
<file path=[Content_Types].xml><?xml version="1.0" encoding="utf-8"?>
<Types xmlns="http://schemas.openxmlformats.org/package/2006/content-types">
  <Default Extension="bin" ContentType="application/vnd.ms-office.activeX"/>
  <Default Extension="data" ContentType="application/vnd.openxmlformats-officedocument.model+data"/>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activeX/activeX8.xml" ContentType="application/vnd.ms-office.activeX+xml"/>
  <Override PartName="/xl/activeX/activeX9.xml" ContentType="application/vnd.ms-office.activeX+xml"/>
  <Override PartName="/xl/activeX/activeX10.xml" ContentType="application/vnd.ms-office.activeX+xml"/>
  <Override PartName="/xl/activeX/activeX11.xml" ContentType="application/vnd.ms-office.activeX+xml"/>
  <Override PartName="/xl/activeX/activeX12.xml" ContentType="application/vnd.ms-office.activeX+xml"/>
  <Override PartName="/xl/activeX/activeX13.xml" ContentType="application/vnd.ms-office.activeX+xml"/>
  <Override PartName="/xl/activeX/activeX14.xml" ContentType="application/vnd.ms-office.activeX+xml"/>
  <Override PartName="/xl/activeX/activeX15.xml" ContentType="application/vnd.ms-office.activeX+xml"/>
  <Override PartName="/xl/activeX/activeX16.xml" ContentType="application/vnd.ms-office.activeX+xml"/>
  <Override PartName="/xl/activeX/activeX17.xml" ContentType="application/vnd.ms-office.activeX+xml"/>
  <Override PartName="/xl/activeX/activeX18.xml" ContentType="application/vnd.ms-office.activeX+xml"/>
  <Override PartName="/xl/activeX/activeX19.xml" ContentType="application/vnd.ms-office.activeX+xml"/>
  <Override PartName="/xl/activeX/activeX20.xml" ContentType="application/vnd.ms-office.activeX+xml"/>
  <Override PartName="/xl/activeX/activeX21.xml" ContentType="application/vnd.ms-office.activeX+xml"/>
  <Override PartName="/xl/activeX/activeX22.xml" ContentType="application/vnd.ms-office.activeX+xml"/>
  <Override PartName="/xl/activeX/activeX23.xml" ContentType="application/vnd.ms-office.activeX+xml"/>
  <Override PartName="/xl/activeX/activeX24.xml" ContentType="application/vnd.ms-office.activeX+xml"/>
  <Override PartName="/xl/activeX/activeX25.xml" ContentType="application/vnd.ms-office.activeX+xml"/>
  <Override PartName="/xl/activeX/activeX26.xml" ContentType="application/vnd.ms-office.activeX+xml"/>
  <Override PartName="/xl/activeX/activeX27.xml" ContentType="application/vnd.ms-office.activeX+xml"/>
  <Override PartName="/xl/activeX/activeX28.xml" ContentType="application/vnd.ms-office.activeX+xml"/>
  <Override PartName="/xl/activeX/activeX29.xml" ContentType="application/vnd.ms-office.activeX+xml"/>
  <Override PartName="/xl/activeX/activeX30.xml" ContentType="application/vnd.ms-office.activeX+xml"/>
  <Override PartName="/xl/activeX/activeX31.xml" ContentType="application/vnd.ms-office.activeX+xml"/>
  <Override PartName="/xl/activeX/activeX32.xml" ContentType="application/vnd.ms-office.activeX+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slicers/slicer3.xml" ContentType="application/vnd.ms-excel.slicer+xml"/>
  <Override PartName="/xl/charts/chart8.xml" ContentType="application/vnd.openxmlformats-officedocument.drawingml.chart+xml"/>
  <Override PartName="/xl/charts/chart9.xml" ContentType="application/vnd.openxmlformats-officedocument.drawingml.chart+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slicers/slicer4.xml" ContentType="application/vnd.ms-excel.slicer+xml"/>
  <Override PartName="/xl/charts/chartEx1.xml" ContentType="application/vnd.ms-office.chartex+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tables/table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mc:AlternateContent xmlns:mc="http://schemas.openxmlformats.org/markup-compatibility/2006">
    <mc:Choice Requires="x15">
      <x15ac:absPath xmlns:x15ac="http://schemas.microsoft.com/office/spreadsheetml/2010/11/ac" url="https://d.docs.live.net/853fc9d06624440f/DataE/Project 1_Excel/"/>
    </mc:Choice>
  </mc:AlternateContent>
  <xr:revisionPtr revIDLastSave="248" documentId="13_ncr:1_{264D6976-C0CE-4527-9E86-61B5DFB7FDAD}" xr6:coauthVersionLast="47" xr6:coauthVersionMax="47" xr10:uidLastSave="{3D1DE69D-C60B-4D5A-8C70-7B182CB7F70F}"/>
  <workbookProtection workbookAlgorithmName="SHA-512" workbookHashValue="mJgnYUwv0pvOw+RDosH3N5XjdqD2FhFMd4FB6fMP4KSzrZPuZr9qRWdw3UWDxp29/BpAwYJ90UZ8Yh9qm65ong==" workbookSaltValue="5HHvD/iXptlRgTM76TfJeA==" workbookSpinCount="100000" lockStructure="1"/>
  <bookViews>
    <workbookView xWindow="-120" yWindow="-120" windowWidth="29040" windowHeight="15720" tabRatio="0" xr2:uid="{00000000-000D-0000-FFFF-FFFF00000000}"/>
  </bookViews>
  <sheets>
    <sheet name="Sales &amp; Profit" sheetId="2" r:id="rId1"/>
    <sheet name="Trends" sheetId="14" r:id="rId2"/>
    <sheet name="Distribution" sheetId="15" r:id="rId3"/>
    <sheet name="Sales Map" sheetId="16" r:id="rId4"/>
    <sheet name="Pivot_tables" sheetId="20" r:id="rId5"/>
    <sheet name="DataSheet" sheetId="1" r:id="rId6"/>
  </sheets>
  <definedNames>
    <definedName name="_xlchart.v5.0" hidden="1">Pivot_tables!$AA$5</definedName>
    <definedName name="_xlchart.v5.1" hidden="1">Pivot_tables!$AA$6:$AA$54</definedName>
    <definedName name="_xlchart.v5.2" hidden="1">Pivot_tables!$AB$5</definedName>
    <definedName name="_xlchart.v5.3" hidden="1">Pivot_tables!$AB$6:$AB$54</definedName>
    <definedName name="_xlcn.WorksheetConnection_SuperstoreRawData.xlsxTable_11" hidden="1">Table_1[]</definedName>
    <definedName name="ExternalData_1" localSheetId="5">DataSheet!$A$1:$X$1937</definedName>
    <definedName name="Slicer_Customer_Segment">#N/A</definedName>
    <definedName name="Slicer_Customer_Segment1">#N/A</definedName>
    <definedName name="Slicer_Manager">#N/A</definedName>
    <definedName name="Slicer_Order_Date__Month">#N/A</definedName>
    <definedName name="Slicer_Order_Date__Month1">#N/A</definedName>
    <definedName name="Slicer_Order_Priority">#N/A</definedName>
    <definedName name="Slicer_Product_Category">#N/A</definedName>
    <definedName name="Slicer_Product_Sub_Category">#N/A</definedName>
  </definedNames>
  <calcPr calcId="191029"/>
  <pivotCaches>
    <pivotCache cacheId="0" r:id="rId7"/>
    <pivotCache cacheId="1" r:id="rId8"/>
    <pivotCache cacheId="2" r:id="rId9"/>
    <pivotCache cacheId="3" r:id="rId10"/>
    <pivotCache cacheId="4" r:id="rId11"/>
    <pivotCache cacheId="5" r:id="rId12"/>
    <pivotCache cacheId="6" r:id="rId13"/>
    <pivotCache cacheId="7" r:id="rId14"/>
    <pivotCache cacheId="8" r:id="rId15"/>
    <pivotCache cacheId="9" r:id="rId16"/>
    <pivotCache cacheId="10" r:id="rId17"/>
    <pivotCache cacheId="11" r:id="rId18"/>
    <pivotCache cacheId="12" r:id="rId19"/>
    <pivotCache cacheId="13" r:id="rId20"/>
    <pivotCache cacheId="14" r:id="rId21"/>
    <pivotCache cacheId="15" r:id="rId22"/>
    <pivotCache cacheId="16" r:id="rId23"/>
    <pivotCache cacheId="17" r:id="rId24"/>
    <pivotCache cacheId="18" r:id="rId25"/>
    <pivotCache cacheId="19" r:id="rId26"/>
    <pivotCache cacheId="20" r:id="rId27"/>
  </pivotCaches>
  <extLst>
    <ext xmlns:x14="http://schemas.microsoft.com/office/spreadsheetml/2009/9/main" uri="{876F7934-8845-4945-9796-88D515C7AA90}">
      <x14:pivotCaches>
        <pivotCache cacheId="21" r:id="rId28"/>
        <pivotCache cacheId="22" r:id="rId29"/>
        <pivotCache cacheId="23" r:id="rId30"/>
        <pivotCache cacheId="24" r:id="rId31"/>
      </x14:pivotCaches>
    </ext>
    <ext xmlns:x14="http://schemas.microsoft.com/office/spreadsheetml/2009/9/main" uri="{BBE1A952-AA13-448e-AADC-164F8A28A991}">
      <x14:slicerCaches>
        <x14:slicerCache r:id="rId32"/>
        <x14:slicerCache r:id="rId33"/>
        <x14:slicerCache r:id="rId34"/>
        <x14:slicerCache r:id="rId35"/>
        <x14:slicerCache r:id="rId36"/>
        <x14:slicerCache r:id="rId37"/>
        <x14:slicerCache r:id="rId38"/>
        <x14:slicerCache r:id="rId39"/>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_1" name="Table_1" connection="WorksheetConnection_Superstore Raw Data.xlsx!Table_1"/>
        </x15:modelTables>
        <x15:extLst>
          <ext xmlns:x16="http://schemas.microsoft.com/office/spreadsheetml/2014/11/main" uri="{9835A34E-60A6-4A7C-AAB8-D5F71C897F49}">
            <x16:modelTimeGroupings>
              <x16:modelTimeGrouping tableName="Table_1" columnName="Order Date" columnId="Order Date">
                <x16:calculatedTimeColumn columnName="Order Date (Month Index)" columnId="Order Date (Month Index)" contentType="monthsindex" isSelected="1"/>
                <x16:calculatedTimeColumn columnName="Order Date (Month)" columnId="Order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N40" i="20" l="1"/>
  <c r="CN41" i="20" s="1"/>
  <c r="CN28" i="20"/>
  <c r="CO32" i="20" s="1" a="1"/>
  <c r="CO32" i="20" s="1"/>
  <c r="CN16" i="20"/>
  <c r="CN18" i="20" s="1" a="1"/>
  <c r="CN18" i="20" s="1"/>
  <c r="CN4" i="20"/>
  <c r="CM6" i="20" s="1" a="1"/>
  <c r="CM6" i="20" s="1"/>
  <c r="CB6" i="20" a="1"/>
  <c r="CB6" i="20" s="1"/>
  <c r="CD8" i="20" s="1"/>
  <c r="CA6" i="20" a="1"/>
  <c r="CA6" i="20" s="1"/>
  <c r="X1939" i="1"/>
  <c r="X1938" i="1"/>
  <c r="CA4" i="20"/>
  <c r="BZ5" i="20" s="1"/>
  <c r="CG5" i="20"/>
  <c r="CF5" i="20"/>
  <c r="CE5" i="20"/>
  <c r="CD5" i="20"/>
  <c r="CC5" i="20"/>
  <c r="BE26" i="20"/>
  <c r="BF26" i="20"/>
  <c r="BD26" i="20"/>
  <c r="BI4" i="20"/>
  <c r="BH5" i="20" s="1"/>
  <c r="BM5" i="20" s="1"/>
  <c r="AD1938" i="1"/>
  <c r="U1938" i="1"/>
  <c r="J1938" i="1"/>
  <c r="F1938" i="1"/>
  <c r="AA54" i="20"/>
  <c r="AA53" i="20"/>
  <c r="AA52" i="20"/>
  <c r="AA51" i="20"/>
  <c r="B51" i="20"/>
  <c r="AA50" i="20"/>
  <c r="B50" i="20"/>
  <c r="AA49" i="20"/>
  <c r="AA48" i="20"/>
  <c r="C48" i="20" a="1"/>
  <c r="B48" i="20"/>
  <c r="AA47" i="20"/>
  <c r="AA46" i="20"/>
  <c r="AA45" i="20"/>
  <c r="AA44" i="20"/>
  <c r="AA43" i="20"/>
  <c r="AA42" i="20"/>
  <c r="AA41" i="20"/>
  <c r="AA40" i="20"/>
  <c r="AA39" i="20"/>
  <c r="AA38" i="20"/>
  <c r="AA37" i="20"/>
  <c r="AA36" i="20"/>
  <c r="AA35" i="20"/>
  <c r="AA34" i="20"/>
  <c r="AA33" i="20"/>
  <c r="AA32" i="20"/>
  <c r="AA31" i="20"/>
  <c r="AA30" i="20"/>
  <c r="AA29" i="20"/>
  <c r="AA28" i="20"/>
  <c r="E28" i="20"/>
  <c r="AA27" i="20"/>
  <c r="AA26" i="20"/>
  <c r="AA25" i="20"/>
  <c r="AA24" i="20"/>
  <c r="AA23" i="20"/>
  <c r="AA22" i="20"/>
  <c r="N22" i="20"/>
  <c r="M22" i="20"/>
  <c r="J22" i="20"/>
  <c r="AA21" i="20"/>
  <c r="N21" i="20"/>
  <c r="M21" i="20"/>
  <c r="J21" i="20"/>
  <c r="AE20" i="20"/>
  <c r="AA20" i="20"/>
  <c r="N20" i="20"/>
  <c r="M20" i="20"/>
  <c r="J20" i="20"/>
  <c r="AA19" i="20"/>
  <c r="N19" i="20"/>
  <c r="M19" i="20"/>
  <c r="J19" i="20"/>
  <c r="AA18" i="20"/>
  <c r="N18" i="20"/>
  <c r="M18" i="20"/>
  <c r="J18" i="20"/>
  <c r="AA17" i="20"/>
  <c r="N17" i="20"/>
  <c r="M17" i="20"/>
  <c r="J17" i="20"/>
  <c r="AA16" i="20"/>
  <c r="N16" i="20"/>
  <c r="M16" i="20"/>
  <c r="J16" i="20"/>
  <c r="AA15" i="20"/>
  <c r="N15" i="20"/>
  <c r="M15" i="20"/>
  <c r="J15" i="20"/>
  <c r="AA14" i="20"/>
  <c r="N14" i="20"/>
  <c r="M14" i="20"/>
  <c r="J14" i="20"/>
  <c r="AA13" i="20"/>
  <c r="N13" i="20"/>
  <c r="M13" i="20"/>
  <c r="J13" i="20"/>
  <c r="AA12" i="20"/>
  <c r="N12" i="20"/>
  <c r="M12" i="20"/>
  <c r="J12" i="20"/>
  <c r="AA11" i="20"/>
  <c r="N11" i="20"/>
  <c r="M11" i="20"/>
  <c r="J11" i="20"/>
  <c r="BK10" i="20"/>
  <c r="AA10" i="20"/>
  <c r="N10" i="20"/>
  <c r="M10" i="20"/>
  <c r="J10" i="20"/>
  <c r="BK9" i="20"/>
  <c r="AA9" i="20"/>
  <c r="N9" i="20"/>
  <c r="M9" i="20"/>
  <c r="J9" i="20"/>
  <c r="BK8" i="20"/>
  <c r="AA8" i="20"/>
  <c r="N8" i="20"/>
  <c r="M8" i="20"/>
  <c r="J8" i="20"/>
  <c r="BK7" i="20"/>
  <c r="AY7" i="20" a="1"/>
  <c r="AY7" i="20" s="1"/>
  <c r="AQ7" i="20" a="1"/>
  <c r="AT49" i="20" s="1"/>
  <c r="AA7" i="20"/>
  <c r="Z7" i="20"/>
  <c r="AB5" i="20" s="1"/>
  <c r="AB6" i="20" s="1" a="1"/>
  <c r="AC54" i="20" s="1"/>
  <c r="N7" i="20"/>
  <c r="M7" i="20"/>
  <c r="J7" i="20"/>
  <c r="BK6" i="20"/>
  <c r="BJ6" i="20" a="1"/>
  <c r="BQ10" i="20" s="1"/>
  <c r="BI6" i="20" a="1"/>
  <c r="BR10" i="20" s="1"/>
  <c r="AA6" i="20"/>
  <c r="N6" i="20"/>
  <c r="M6" i="20"/>
  <c r="J6" i="20"/>
  <c r="BK5" i="20"/>
  <c r="AZ5" i="20"/>
  <c r="AZ6" i="20" s="1"/>
  <c r="AZ7" i="20" s="1" a="1"/>
  <c r="AZ7" i="20" s="1"/>
  <c r="AR5" i="20"/>
  <c r="AR6" i="20" s="1"/>
  <c r="AR7" i="20" s="1" a="1"/>
  <c r="AS184" i="20" s="1"/>
  <c r="AA5" i="20"/>
  <c r="AI29" i="20"/>
  <c r="AJ26" i="20"/>
  <c r="AG31" i="20"/>
  <c r="AF23" i="20"/>
  <c r="AI23" i="20"/>
  <c r="AI32" i="20"/>
  <c r="AF30" i="20"/>
  <c r="AF25" i="20"/>
  <c r="AH32" i="20"/>
  <c r="AJ25" i="20"/>
  <c r="AH28" i="20"/>
  <c r="AH22" i="20"/>
  <c r="AJ27" i="20"/>
  <c r="AI28" i="20"/>
  <c r="AI24" i="20"/>
  <c r="AH25" i="20"/>
  <c r="AJ32" i="20"/>
  <c r="AH21" i="20"/>
  <c r="AJ22" i="20"/>
  <c r="AF24" i="20"/>
  <c r="AF29" i="20"/>
  <c r="AG21" i="20"/>
  <c r="AH23" i="20"/>
  <c r="AI21" i="20"/>
  <c r="AI30" i="20"/>
  <c r="AF27" i="20"/>
  <c r="AG32" i="20"/>
  <c r="AI31" i="20"/>
  <c r="AJ24" i="20"/>
  <c r="AJ30" i="20"/>
  <c r="AG23" i="20"/>
  <c r="AG26" i="20"/>
  <c r="AI27" i="20"/>
  <c r="AF22" i="20"/>
  <c r="AG22" i="20"/>
  <c r="AG30" i="20"/>
  <c r="AI25" i="20"/>
  <c r="AJ23" i="20"/>
  <c r="AG25" i="20"/>
  <c r="AG28" i="20"/>
  <c r="AF31" i="20"/>
  <c r="AG24" i="20"/>
  <c r="AI22" i="20"/>
  <c r="AH26" i="20"/>
  <c r="AH24" i="20"/>
  <c r="AF32" i="20"/>
  <c r="AJ28" i="20"/>
  <c r="AI26" i="20"/>
  <c r="AJ29" i="20"/>
  <c r="AF26" i="20"/>
  <c r="AH31" i="20"/>
  <c r="AF28" i="20"/>
  <c r="AG27" i="20"/>
  <c r="AJ21" i="20"/>
  <c r="AF21" i="20"/>
  <c r="AH30" i="20"/>
  <c r="AG29" i="20"/>
  <c r="AH27" i="20"/>
  <c r="AH29" i="20"/>
  <c r="AJ31" i="20"/>
  <c r="Q6" i="20"/>
  <c r="E32" i="20"/>
  <c r="S6" i="20"/>
  <c r="H28" i="20"/>
  <c r="CN17" i="20" l="1"/>
  <c r="CM18" i="20" a="1"/>
  <c r="CM18" i="20" s="1"/>
  <c r="CM20" i="20" a="1"/>
  <c r="CM20" i="20" s="1"/>
  <c r="CM19" i="20" a="1"/>
  <c r="CM19" i="20" s="1"/>
  <c r="CN19" i="20" a="1"/>
  <c r="CN19" i="20" s="1"/>
  <c r="CO18" i="20" a="1"/>
  <c r="CO18" i="20" s="1"/>
  <c r="CO20" i="20" a="1"/>
  <c r="CO20" i="20" s="1"/>
  <c r="CN20" i="20" a="1"/>
  <c r="CN20" i="20" s="1"/>
  <c r="CO19" i="20" a="1"/>
  <c r="CO19" i="20" s="1"/>
  <c r="CM30" i="20" a="1"/>
  <c r="CM30" i="20" s="1"/>
  <c r="CM32" i="20" a="1"/>
  <c r="CM32" i="20" s="1"/>
  <c r="CM31" i="20" a="1"/>
  <c r="CM31" i="20" s="1"/>
  <c r="CN30" i="20" a="1"/>
  <c r="CN30" i="20" s="1"/>
  <c r="CN31" i="20" a="1"/>
  <c r="CN31" i="20" s="1"/>
  <c r="CN32" i="20" a="1"/>
  <c r="CN32" i="20" s="1"/>
  <c r="CO30" i="20" a="1"/>
  <c r="CO30" i="20" s="1"/>
  <c r="CO31" i="20" a="1"/>
  <c r="CO31" i="20" s="1"/>
  <c r="CN29" i="20"/>
  <c r="CM42" i="20" a="1"/>
  <c r="CM42" i="20" s="1"/>
  <c r="CM44" i="20" a="1"/>
  <c r="CM44" i="20" s="1"/>
  <c r="CM43" i="20" a="1"/>
  <c r="CM43" i="20" s="1"/>
  <c r="CN42" i="20" a="1"/>
  <c r="CN42" i="20" s="1"/>
  <c r="CN44" i="20" a="1"/>
  <c r="CN44" i="20" s="1"/>
  <c r="CN43" i="20" a="1"/>
  <c r="CN43" i="20" s="1"/>
  <c r="CO43" i="20" a="1"/>
  <c r="CO43" i="20" s="1"/>
  <c r="CO42" i="20" a="1"/>
  <c r="CO42" i="20" s="1"/>
  <c r="CO44" i="20" a="1"/>
  <c r="CO44" i="20" s="1"/>
  <c r="CN7" i="20" a="1"/>
  <c r="CN7" i="20" s="1"/>
  <c r="CO6" i="20" a="1"/>
  <c r="CO6" i="20" s="1"/>
  <c r="CO8" i="20" a="1"/>
  <c r="CO8" i="20" s="1"/>
  <c r="CM8" i="20" a="1"/>
  <c r="CM8" i="20" s="1"/>
  <c r="CN6" i="20" a="1"/>
  <c r="CN6" i="20" s="1"/>
  <c r="CN8" i="20" a="1"/>
  <c r="CN8" i="20" s="1"/>
  <c r="CN5" i="20"/>
  <c r="CO7" i="20" a="1"/>
  <c r="CO7" i="20" s="1"/>
  <c r="CM7" i="20" a="1"/>
  <c r="CM7" i="20" s="1"/>
  <c r="CC6" i="20"/>
  <c r="BZ6" i="20" a="1"/>
  <c r="BZ6" i="20" s="1"/>
  <c r="CD6" i="20" s="1"/>
  <c r="CG8" i="20"/>
  <c r="CF8" i="20"/>
  <c r="CE8" i="20"/>
  <c r="BQ7" i="20"/>
  <c r="BQ8" i="20"/>
  <c r="BQ9" i="20"/>
  <c r="BH6" i="20" a="1"/>
  <c r="BL5" i="20"/>
  <c r="BP5" i="20"/>
  <c r="BO5" i="20"/>
  <c r="BN5" i="20"/>
  <c r="Z6" i="20"/>
  <c r="BI6" i="20"/>
  <c r="BR6" i="20" s="1"/>
  <c r="BR9" i="20"/>
  <c r="BJ6" i="20"/>
  <c r="BQ6" i="20" s="1"/>
  <c r="BR8" i="20"/>
  <c r="BR7" i="20"/>
  <c r="AR4" i="20"/>
  <c r="AY26" i="20"/>
  <c r="AY27" i="20" a="1"/>
  <c r="AY27" i="20" s="1"/>
  <c r="AW20" i="20" s="1"/>
  <c r="AX20" i="20" s="1" a="1"/>
  <c r="AX20" i="20" s="1"/>
  <c r="AT9" i="20"/>
  <c r="AS8" i="20"/>
  <c r="AS14" i="20"/>
  <c r="AS9" i="20"/>
  <c r="AT10" i="20"/>
  <c r="AT20" i="20"/>
  <c r="AT21" i="20"/>
  <c r="AT22" i="20"/>
  <c r="AT24" i="20"/>
  <c r="AT27" i="20"/>
  <c r="AT30" i="20"/>
  <c r="AT34" i="20"/>
  <c r="AT38" i="20"/>
  <c r="AT42" i="20"/>
  <c r="AT46" i="20"/>
  <c r="AS53" i="20"/>
  <c r="AT58" i="20"/>
  <c r="AT64" i="20"/>
  <c r="AT70" i="20"/>
  <c r="AT76" i="20"/>
  <c r="AT82" i="20"/>
  <c r="AT88" i="20"/>
  <c r="AT94" i="20"/>
  <c r="AT100" i="20"/>
  <c r="AT106" i="20"/>
  <c r="AT112" i="20"/>
  <c r="AT118" i="20"/>
  <c r="AT124" i="20"/>
  <c r="AT130" i="20"/>
  <c r="AT136" i="20"/>
  <c r="AT142" i="20"/>
  <c r="AT148" i="20"/>
  <c r="AT154" i="20"/>
  <c r="AT160" i="20"/>
  <c r="AT166" i="20"/>
  <c r="AT172" i="20"/>
  <c r="AT178" i="20"/>
  <c r="AT184" i="20"/>
  <c r="AT53" i="20"/>
  <c r="AS59" i="20"/>
  <c r="AS65" i="20"/>
  <c r="AS71" i="20"/>
  <c r="AS77" i="20"/>
  <c r="AS83" i="20"/>
  <c r="AS89" i="20"/>
  <c r="AS95" i="20"/>
  <c r="AS101" i="20"/>
  <c r="AS107" i="20"/>
  <c r="AS113" i="20"/>
  <c r="AS119" i="20"/>
  <c r="AS125" i="20"/>
  <c r="AS131" i="20"/>
  <c r="AS137" i="20"/>
  <c r="AS143" i="20"/>
  <c r="AS149" i="20"/>
  <c r="AS155" i="20"/>
  <c r="AS161" i="20"/>
  <c r="AS167" i="20"/>
  <c r="AS173" i="20"/>
  <c r="AS179" i="20"/>
  <c r="AS185" i="20"/>
  <c r="AT8" i="20"/>
  <c r="AS25" i="20"/>
  <c r="AS31" i="20"/>
  <c r="AS35" i="20"/>
  <c r="AS39" i="20"/>
  <c r="AS43" i="20"/>
  <c r="AS47" i="20"/>
  <c r="AS50" i="20"/>
  <c r="AT59" i="20"/>
  <c r="AT65" i="20"/>
  <c r="AT71" i="20"/>
  <c r="AT77" i="20"/>
  <c r="AT83" i="20"/>
  <c r="AT89" i="20"/>
  <c r="AT95" i="20"/>
  <c r="AT101" i="20"/>
  <c r="AT107" i="20"/>
  <c r="AT113" i="20"/>
  <c r="AT119" i="20"/>
  <c r="AT125" i="20"/>
  <c r="AT131" i="20"/>
  <c r="AT137" i="20"/>
  <c r="AT143" i="20"/>
  <c r="AT149" i="20"/>
  <c r="AT155" i="20"/>
  <c r="AT161" i="20"/>
  <c r="AT167" i="20"/>
  <c r="AT173" i="20"/>
  <c r="AT179" i="20"/>
  <c r="AT185" i="20"/>
  <c r="AT25" i="20"/>
  <c r="AT31" i="20"/>
  <c r="AT35" i="20"/>
  <c r="AT39" i="20"/>
  <c r="AT43" i="20"/>
  <c r="AT47" i="20"/>
  <c r="AT50" i="20"/>
  <c r="AS54" i="20"/>
  <c r="AS60" i="20"/>
  <c r="AS66" i="20"/>
  <c r="AS72" i="20"/>
  <c r="AS78" i="20"/>
  <c r="AS84" i="20"/>
  <c r="AS90" i="20"/>
  <c r="AS96" i="20"/>
  <c r="AS102" i="20"/>
  <c r="AS108" i="20"/>
  <c r="AS114" i="20"/>
  <c r="AS120" i="20"/>
  <c r="AS126" i="20"/>
  <c r="AS132" i="20"/>
  <c r="AS138" i="20"/>
  <c r="AS144" i="20"/>
  <c r="AS150" i="20"/>
  <c r="AS156" i="20"/>
  <c r="AS162" i="20"/>
  <c r="AS168" i="20"/>
  <c r="AS174" i="20"/>
  <c r="AS180" i="20"/>
  <c r="AT54" i="20"/>
  <c r="AT66" i="20"/>
  <c r="AT78" i="20"/>
  <c r="AT90" i="20"/>
  <c r="AT96" i="20"/>
  <c r="AT108" i="20"/>
  <c r="AT114" i="20"/>
  <c r="AT120" i="20"/>
  <c r="AT126" i="20"/>
  <c r="AT132" i="20"/>
  <c r="AT138" i="20"/>
  <c r="AT144" i="20"/>
  <c r="AT150" i="20"/>
  <c r="AT156" i="20"/>
  <c r="AT162" i="20"/>
  <c r="AT168" i="20"/>
  <c r="AT180" i="20"/>
  <c r="AS12" i="20"/>
  <c r="AT60" i="20"/>
  <c r="AT72" i="20"/>
  <c r="AT84" i="20"/>
  <c r="AT102" i="20"/>
  <c r="AT174" i="20"/>
  <c r="AT12" i="20"/>
  <c r="AT14" i="20"/>
  <c r="AT19" i="20"/>
  <c r="AS26" i="20"/>
  <c r="AS28" i="20"/>
  <c r="AS32" i="20"/>
  <c r="AS36" i="20"/>
  <c r="AS40" i="20"/>
  <c r="AS44" i="20"/>
  <c r="AS55" i="20"/>
  <c r="AS61" i="20"/>
  <c r="AS67" i="20"/>
  <c r="AS73" i="20"/>
  <c r="AS79" i="20"/>
  <c r="AS85" i="20"/>
  <c r="AS91" i="20"/>
  <c r="AS97" i="20"/>
  <c r="AS103" i="20"/>
  <c r="AS109" i="20"/>
  <c r="AS115" i="20"/>
  <c r="AS121" i="20"/>
  <c r="AS127" i="20"/>
  <c r="AS133" i="20"/>
  <c r="AS139" i="20"/>
  <c r="AS145" i="20"/>
  <c r="AS151" i="20"/>
  <c r="AS157" i="20"/>
  <c r="AS163" i="20"/>
  <c r="AS169" i="20"/>
  <c r="AS175" i="20"/>
  <c r="AS181" i="20"/>
  <c r="AT26" i="20"/>
  <c r="AT28" i="20"/>
  <c r="AT32" i="20"/>
  <c r="AT36" i="20"/>
  <c r="AT40" i="20"/>
  <c r="AT44" i="20"/>
  <c r="AS51" i="20"/>
  <c r="AT55" i="20"/>
  <c r="AT61" i="20"/>
  <c r="AT67" i="20"/>
  <c r="AT73" i="20"/>
  <c r="AT79" i="20"/>
  <c r="AT85" i="20"/>
  <c r="AT91" i="20"/>
  <c r="AT97" i="20"/>
  <c r="AT103" i="20"/>
  <c r="AT109" i="20"/>
  <c r="AT115" i="20"/>
  <c r="AT121" i="20"/>
  <c r="AT127" i="20"/>
  <c r="AT133" i="20"/>
  <c r="AT139" i="20"/>
  <c r="AT145" i="20"/>
  <c r="AT151" i="20"/>
  <c r="AT157" i="20"/>
  <c r="AT163" i="20"/>
  <c r="AT169" i="20"/>
  <c r="AT175" i="20"/>
  <c r="AT181" i="20"/>
  <c r="AQ7" i="20"/>
  <c r="AT7" i="20" s="1"/>
  <c r="AS48" i="20"/>
  <c r="AT51" i="20"/>
  <c r="AS56" i="20"/>
  <c r="AS62" i="20"/>
  <c r="AS68" i="20"/>
  <c r="AS74" i="20"/>
  <c r="AS80" i="20"/>
  <c r="AS86" i="20"/>
  <c r="AS92" i="20"/>
  <c r="AS98" i="20"/>
  <c r="AS104" i="20"/>
  <c r="AS110" i="20"/>
  <c r="AS116" i="20"/>
  <c r="AS122" i="20"/>
  <c r="AS128" i="20"/>
  <c r="AS134" i="20"/>
  <c r="AS140" i="20"/>
  <c r="AS146" i="20"/>
  <c r="AS152" i="20"/>
  <c r="AS158" i="20"/>
  <c r="AS164" i="20"/>
  <c r="AS170" i="20"/>
  <c r="AS176" i="20"/>
  <c r="AS182" i="20"/>
  <c r="AS23" i="20"/>
  <c r="AS29" i="20"/>
  <c r="AS33" i="20"/>
  <c r="AS37" i="20"/>
  <c r="AS41" i="20"/>
  <c r="AS45" i="20"/>
  <c r="AT48" i="20"/>
  <c r="AT56" i="20"/>
  <c r="AT62" i="20"/>
  <c r="AT68" i="20"/>
  <c r="AT74" i="20"/>
  <c r="AT80" i="20"/>
  <c r="AT86" i="20"/>
  <c r="AT92" i="20"/>
  <c r="AT98" i="20"/>
  <c r="AT104" i="20"/>
  <c r="AT110" i="20"/>
  <c r="AT116" i="20"/>
  <c r="AT122" i="20"/>
  <c r="AT128" i="20"/>
  <c r="AT134" i="20"/>
  <c r="AT140" i="20"/>
  <c r="AT146" i="20"/>
  <c r="AT152" i="20"/>
  <c r="AT158" i="20"/>
  <c r="AT164" i="20"/>
  <c r="AT170" i="20"/>
  <c r="AT176" i="20"/>
  <c r="AT182" i="20"/>
  <c r="AR7" i="20"/>
  <c r="AT23" i="20"/>
  <c r="AT29" i="20"/>
  <c r="AT33" i="20"/>
  <c r="AT37" i="20"/>
  <c r="AT41" i="20"/>
  <c r="AT45" i="20"/>
  <c r="AS52" i="20"/>
  <c r="AS57" i="20"/>
  <c r="AS63" i="20"/>
  <c r="AS69" i="20"/>
  <c r="AS75" i="20"/>
  <c r="AS81" i="20"/>
  <c r="AS87" i="20"/>
  <c r="AS93" i="20"/>
  <c r="AS99" i="20"/>
  <c r="AS105" i="20"/>
  <c r="AS111" i="20"/>
  <c r="AS117" i="20"/>
  <c r="AS123" i="20"/>
  <c r="AS129" i="20"/>
  <c r="AS135" i="20"/>
  <c r="AS141" i="20"/>
  <c r="AS147" i="20"/>
  <c r="AS153" i="20"/>
  <c r="AS159" i="20"/>
  <c r="AS165" i="20"/>
  <c r="AS171" i="20"/>
  <c r="AS177" i="20"/>
  <c r="AS183" i="20"/>
  <c r="AS19" i="20"/>
  <c r="AS17" i="20"/>
  <c r="AT52" i="20"/>
  <c r="AT63" i="20"/>
  <c r="AT75" i="20"/>
  <c r="AT81" i="20"/>
  <c r="AT93" i="20"/>
  <c r="AT99" i="20"/>
  <c r="AT105" i="20"/>
  <c r="AT111" i="20"/>
  <c r="AT117" i="20"/>
  <c r="AT123" i="20"/>
  <c r="AT129" i="20"/>
  <c r="AT135" i="20"/>
  <c r="AT141" i="20"/>
  <c r="AT147" i="20"/>
  <c r="AT153" i="20"/>
  <c r="AT159" i="20"/>
  <c r="AT165" i="20"/>
  <c r="AT171" i="20"/>
  <c r="AT183" i="20"/>
  <c r="AS11" i="20"/>
  <c r="AS13" i="20"/>
  <c r="AS15" i="20"/>
  <c r="AS16" i="20"/>
  <c r="AS18" i="20"/>
  <c r="AS49" i="20"/>
  <c r="AT57" i="20"/>
  <c r="AT69" i="20"/>
  <c r="AT87" i="20"/>
  <c r="AT177" i="20"/>
  <c r="AS10" i="20"/>
  <c r="AT11" i="20"/>
  <c r="AT13" i="20"/>
  <c r="AT15" i="20"/>
  <c r="AT16" i="20"/>
  <c r="AT17" i="20"/>
  <c r="AT18" i="20"/>
  <c r="AS20" i="20"/>
  <c r="AS21" i="20"/>
  <c r="AS22" i="20"/>
  <c r="AS24" i="20"/>
  <c r="AS27" i="20"/>
  <c r="AS30" i="20"/>
  <c r="AS34" i="20"/>
  <c r="AS38" i="20"/>
  <c r="AS42" i="20"/>
  <c r="AS46" i="20"/>
  <c r="AS58" i="20"/>
  <c r="AS64" i="20"/>
  <c r="AS70" i="20"/>
  <c r="AS76" i="20"/>
  <c r="AS82" i="20"/>
  <c r="AS88" i="20"/>
  <c r="AS94" i="20"/>
  <c r="AS100" i="20"/>
  <c r="AS106" i="20"/>
  <c r="AS112" i="20"/>
  <c r="AS118" i="20"/>
  <c r="AS124" i="20"/>
  <c r="AS130" i="20"/>
  <c r="AS136" i="20"/>
  <c r="AS142" i="20"/>
  <c r="AS148" i="20"/>
  <c r="AS154" i="20"/>
  <c r="AS160" i="20"/>
  <c r="AS166" i="20"/>
  <c r="AS172" i="20"/>
  <c r="AS178" i="20"/>
  <c r="L8" i="20"/>
  <c r="L14" i="20"/>
  <c r="L19" i="20"/>
  <c r="L10" i="20"/>
  <c r="L11" i="20"/>
  <c r="L13" i="20"/>
  <c r="K10" i="20"/>
  <c r="L15" i="20"/>
  <c r="L16" i="20"/>
  <c r="L17" i="20"/>
  <c r="L18" i="20"/>
  <c r="L20" i="20"/>
  <c r="L21" i="20"/>
  <c r="L22" i="20"/>
  <c r="AC13" i="20"/>
  <c r="L7" i="20"/>
  <c r="AC8" i="20"/>
  <c r="L12" i="20"/>
  <c r="AF36" i="20" a="1"/>
  <c r="AF36" i="20" s="1"/>
  <c r="AG36" i="20" a="1"/>
  <c r="AG36" i="20" s="1"/>
  <c r="AF35" i="20" a="1"/>
  <c r="AF35" i="20" s="1"/>
  <c r="AH36" i="20" a="1"/>
  <c r="AH36" i="20" s="1"/>
  <c r="AG35" i="20" a="1"/>
  <c r="AG35" i="20" s="1"/>
  <c r="AI36" i="20" a="1"/>
  <c r="AI36" i="20" s="1"/>
  <c r="AH35" i="20" a="1"/>
  <c r="AH35" i="20" s="1"/>
  <c r="AJ36" i="20" a="1"/>
  <c r="AJ36" i="20" s="1"/>
  <c r="Q7" i="20"/>
  <c r="AF34" i="20" a="1"/>
  <c r="AF34" i="20" s="1"/>
  <c r="AI35" i="20" a="1"/>
  <c r="AI35" i="20" s="1"/>
  <c r="AG34" i="20" a="1"/>
  <c r="AG34" i="20" s="1"/>
  <c r="AJ35" i="20" a="1"/>
  <c r="AJ35" i="20" s="1"/>
  <c r="AH34" i="20" a="1"/>
  <c r="AH34" i="20" s="1"/>
  <c r="AI34" i="20" a="1"/>
  <c r="AI34" i="20" s="1"/>
  <c r="AJ34" i="20" a="1"/>
  <c r="AJ34" i="20" s="1"/>
  <c r="K6" i="20"/>
  <c r="AC11" i="20"/>
  <c r="AC15" i="20"/>
  <c r="AC25" i="20"/>
  <c r="AC34" i="20"/>
  <c r="K11" i="20"/>
  <c r="K15" i="20"/>
  <c r="L6" i="20"/>
  <c r="K7" i="20"/>
  <c r="K8" i="20"/>
  <c r="K13" i="20"/>
  <c r="K17" i="20"/>
  <c r="K19" i="20"/>
  <c r="AC31" i="20"/>
  <c r="AC49" i="20"/>
  <c r="K21" i="20"/>
  <c r="AC35" i="20"/>
  <c r="AC14" i="20"/>
  <c r="AC20" i="20"/>
  <c r="AC22" i="20"/>
  <c r="AC24" i="20"/>
  <c r="AC38" i="20"/>
  <c r="AC41" i="20"/>
  <c r="AC44" i="20"/>
  <c r="AC47" i="20"/>
  <c r="AC52" i="20"/>
  <c r="AC30" i="20"/>
  <c r="AC36" i="20"/>
  <c r="K9" i="20"/>
  <c r="AC16" i="20"/>
  <c r="L9" i="20"/>
  <c r="K12" i="20"/>
  <c r="K18" i="20"/>
  <c r="AC17" i="20"/>
  <c r="AC19" i="20"/>
  <c r="AC23" i="20"/>
  <c r="AC37" i="20"/>
  <c r="AC50" i="20"/>
  <c r="AC21" i="20"/>
  <c r="AC29" i="20"/>
  <c r="AC39" i="20"/>
  <c r="AC42" i="20"/>
  <c r="AC45" i="20"/>
  <c r="AC53" i="20"/>
  <c r="AC33" i="20"/>
  <c r="AC7" i="20"/>
  <c r="AC9" i="20"/>
  <c r="AB6" i="20"/>
  <c r="AC12" i="20"/>
  <c r="AC18" i="20"/>
  <c r="AC26" i="20"/>
  <c r="AC27" i="20"/>
  <c r="AC48" i="20"/>
  <c r="AC10" i="20"/>
  <c r="K14" i="20"/>
  <c r="K16" i="20"/>
  <c r="K20" i="20"/>
  <c r="K22" i="20"/>
  <c r="AC28" i="20"/>
  <c r="AC32" i="20"/>
  <c r="AC40" i="20"/>
  <c r="AC43" i="20"/>
  <c r="AC46" i="20"/>
  <c r="AC51" i="20"/>
  <c r="C48" i="20"/>
  <c r="B49" i="20"/>
  <c r="CH8" i="20" l="1"/>
  <c r="CC7" i="20"/>
  <c r="CE6" i="20"/>
  <c r="CF6" i="20"/>
  <c r="CG6" i="20"/>
  <c r="BQ11" i="20"/>
  <c r="BH6" i="20"/>
  <c r="BL9" i="20"/>
  <c r="BL7" i="20"/>
  <c r="BL8" i="20"/>
  <c r="BL10" i="20"/>
  <c r="AW15" i="20"/>
  <c r="AX15" i="20" s="1" a="1"/>
  <c r="AX15" i="20" s="1"/>
  <c r="AW16" i="20"/>
  <c r="AX16" i="20" s="1" a="1"/>
  <c r="AX16" i="20" s="1"/>
  <c r="AW17" i="20"/>
  <c r="AX17" i="20" s="1" a="1"/>
  <c r="AX17" i="20" s="1"/>
  <c r="AW21" i="20"/>
  <c r="AX21" i="20" s="1" a="1"/>
  <c r="AX21" i="20" s="1"/>
  <c r="AW22" i="20"/>
  <c r="AX22" i="20" s="1" a="1"/>
  <c r="AX22" i="20" s="1"/>
  <c r="AR3" i="20"/>
  <c r="AS7" i="20"/>
  <c r="AS3" i="20" s="1"/>
  <c r="AU22" i="20"/>
  <c r="AV22" i="20" s="1" a="1"/>
  <c r="AV22" i="20" s="1"/>
  <c r="AU21" i="20"/>
  <c r="AV21" i="20" s="1" a="1"/>
  <c r="AV21" i="20" s="1"/>
  <c r="AU20" i="20"/>
  <c r="AV20" i="20" s="1" a="1"/>
  <c r="AV20" i="20" s="1"/>
  <c r="AU17" i="20"/>
  <c r="AV17" i="20" s="1" a="1"/>
  <c r="AV17" i="20" s="1"/>
  <c r="AU16" i="20"/>
  <c r="AV16" i="20" s="1" a="1"/>
  <c r="AV16" i="20" s="1"/>
  <c r="AU15" i="20"/>
  <c r="AV15" i="20" s="1" a="1"/>
  <c r="AV15" i="20" s="1"/>
  <c r="AF37" i="20"/>
  <c r="AH37" i="20"/>
  <c r="AG37" i="20"/>
  <c r="AC6" i="20"/>
  <c r="AC55" i="20" s="1"/>
  <c r="AB56" i="20" s="1"/>
  <c r="AB55" i="20"/>
  <c r="AJ37" i="20"/>
  <c r="AI37" i="20"/>
  <c r="C53" i="20"/>
  <c r="CE7" i="20" l="1"/>
  <c r="CH6" i="20"/>
  <c r="CC4" i="20" s="1"/>
  <c r="CF7" i="20"/>
  <c r="CD7" i="20"/>
  <c r="CG7" i="20"/>
  <c r="BO10" i="20"/>
  <c r="BO8" i="20"/>
  <c r="BM7" i="20"/>
  <c r="BO7" i="20"/>
  <c r="BP7" i="20"/>
  <c r="BN7" i="20"/>
  <c r="BN10" i="20"/>
  <c r="BP10" i="20"/>
  <c r="BM10" i="20"/>
  <c r="BL6" i="20"/>
  <c r="BN8" i="20"/>
  <c r="BM8" i="20"/>
  <c r="BP8" i="20"/>
  <c r="BM9" i="20"/>
  <c r="BN9" i="20"/>
  <c r="BP9" i="20"/>
  <c r="BO9" i="20"/>
  <c r="AR2" i="20"/>
  <c r="D49" i="20"/>
  <c r="D51" i="20"/>
  <c r="D50" i="20"/>
  <c r="D48" i="20"/>
  <c r="BP6" i="20" l="1"/>
  <c r="BL11" i="20"/>
  <c r="BO6" i="20"/>
  <c r="BM6" i="20"/>
  <c r="BN6" i="20"/>
  <c r="D53" i="20"/>
  <c r="BK4" i="2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B7D1D75-BDF3-4B90-A840-522CAC23CED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EAB65095-3EBB-4977-9090-CC5BEC3C84EF}" name="WorksheetConnection_Superstore Raw Data.xlsx!Table_1" type="102" refreshedVersion="8" minRefreshableVersion="5">
    <extLst>
      <ext xmlns:x15="http://schemas.microsoft.com/office/spreadsheetml/2010/11/main" uri="{DE250136-89BD-433C-8126-D09CA5730AF9}">
        <x15:connection id="Table_1" autoDelete="1">
          <x15:rangePr sourceName="_xlcn.WorksheetConnection_SuperstoreRawData.xlsxTable_1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<sst xmlns="http://schemas.openxmlformats.org/spreadsheetml/2006/main" count="25672" uniqueCount="3113">
  <si>
    <t>Customer ID</t>
  </si>
  <si>
    <t>Customer Name</t>
  </si>
  <si>
    <t>Order Priority</t>
  </si>
  <si>
    <t>Discount</t>
  </si>
  <si>
    <t>Unit Price</t>
  </si>
  <si>
    <t>Shipping Cost</t>
  </si>
  <si>
    <t>Ship Mode</t>
  </si>
  <si>
    <t>Customer Segment</t>
  </si>
  <si>
    <t>Product Category</t>
  </si>
  <si>
    <t>Product Sub-Category</t>
  </si>
  <si>
    <t>Product Container</t>
  </si>
  <si>
    <t>Product Name</t>
  </si>
  <si>
    <t>Product Base Margin</t>
  </si>
  <si>
    <t>Country</t>
  </si>
  <si>
    <t>Region</t>
  </si>
  <si>
    <t>State or Province</t>
  </si>
  <si>
    <t>City</t>
  </si>
  <si>
    <t>Postal Code</t>
  </si>
  <si>
    <t>Order Date</t>
  </si>
  <si>
    <t>Ship Date</t>
  </si>
  <si>
    <t>Profit</t>
  </si>
  <si>
    <t>Quantity ordered new</t>
  </si>
  <si>
    <t>Sales</t>
  </si>
  <si>
    <t>Order ID</t>
  </si>
  <si>
    <t>Manager</t>
  </si>
  <si>
    <t>Gary Koch</t>
  </si>
  <si>
    <t>Critical</t>
  </si>
  <si>
    <t>Delivery Truck</t>
  </si>
  <si>
    <t>Small Business</t>
  </si>
  <si>
    <t>Furniture</t>
  </si>
  <si>
    <t>Tables</t>
  </si>
  <si>
    <t>Jumbo Box</t>
  </si>
  <si>
    <t>Bretford CR4500 Series Slim Rectangular Table</t>
  </si>
  <si>
    <t>United States</t>
  </si>
  <si>
    <t>South</t>
  </si>
  <si>
    <t>Mississippi</t>
  </si>
  <si>
    <t>Clinton</t>
  </si>
  <si>
    <t>Paige Powers</t>
  </si>
  <si>
    <t>High</t>
  </si>
  <si>
    <t>Regular Air</t>
  </si>
  <si>
    <t>Consumer</t>
  </si>
  <si>
    <t>Technology</t>
  </si>
  <si>
    <t>Computer Peripherals</t>
  </si>
  <si>
    <t>Small Pack</t>
  </si>
  <si>
    <t>Verbatim DVD-RAM, 9.4GB, Rewritable, Type 1, DS, DataLife Plus</t>
  </si>
  <si>
    <t>Arkansas</t>
  </si>
  <si>
    <t>West Memphis</t>
  </si>
  <si>
    <t>Rebecca Lindsey</t>
  </si>
  <si>
    <t>Low</t>
  </si>
  <si>
    <t>Office Supplies</t>
  </si>
  <si>
    <t>Pens &amp; Art Supplies</t>
  </si>
  <si>
    <t>Wrap Bag</t>
  </si>
  <si>
    <t>*Staples* Highlighting Markers</t>
  </si>
  <si>
    <t>Central</t>
  </si>
  <si>
    <t>Indiana</t>
  </si>
  <si>
    <t>Kokomo</t>
  </si>
  <si>
    <t>Gregory Crane</t>
  </si>
  <si>
    <t>Office Machines</t>
  </si>
  <si>
    <t>Jumbo Drum</t>
  </si>
  <si>
    <t>Lexmark 4227 Plus Dot Matrix Printer</t>
  </si>
  <si>
    <t>West</t>
  </si>
  <si>
    <t>Colorado</t>
  </si>
  <si>
    <t>Fort Collins</t>
  </si>
  <si>
    <t>Tamara Dickinson</t>
  </si>
  <si>
    <t>Copiers and Fax</t>
  </si>
  <si>
    <t>Large Box</t>
  </si>
  <si>
    <t>Canon PC940 Copier</t>
  </si>
  <si>
    <t>Washington</t>
  </si>
  <si>
    <t>Mount Vernon</t>
  </si>
  <si>
    <t>Newell 312</t>
  </si>
  <si>
    <t>Sean Stephenson</t>
  </si>
  <si>
    <t>Home Office</t>
  </si>
  <si>
    <t>Binders and Binder Accessories</t>
  </si>
  <si>
    <t>Small Box</t>
  </si>
  <si>
    <t>Binding Machine Supplies</t>
  </si>
  <si>
    <t>Georgia</t>
  </si>
  <si>
    <t>Peachtree City</t>
  </si>
  <si>
    <t>Albert Frost</t>
  </si>
  <si>
    <t>Storage &amp; Organization</t>
  </si>
  <si>
    <t>Fellowes Super Stor/Drawer® Files</t>
  </si>
  <si>
    <t>Missouri</t>
  </si>
  <si>
    <t>Raytown</t>
  </si>
  <si>
    <t>Jane Shah</t>
  </si>
  <si>
    <t>Avery Trapezoid Ring Binder, 3" Capacity, Black, 1040 sheets</t>
  </si>
  <si>
    <t>Minnesota</t>
  </si>
  <si>
    <t>Prior Lake</t>
  </si>
  <si>
    <t>Alex Nicholson</t>
  </si>
  <si>
    <t>Express Air</t>
  </si>
  <si>
    <t>Paper</t>
  </si>
  <si>
    <t>Black Print Carbonless Snap-Off® Rapid Letter, 8 1/2" x 7"</t>
  </si>
  <si>
    <t>California</t>
  </si>
  <si>
    <t>Montebello</t>
  </si>
  <si>
    <t>White GlueTop Scratch Pads</t>
  </si>
  <si>
    <t>Lloyd Levin</t>
  </si>
  <si>
    <t>Corporate</t>
  </si>
  <si>
    <t>Appliances</t>
  </si>
  <si>
    <t>Tripp Lite Isotel 6 Outlet Surge Protector with Fax/Modem Protection</t>
  </si>
  <si>
    <t>North Carolina</t>
  </si>
  <si>
    <t>New Bern</t>
  </si>
  <si>
    <t>Ernest Oh</t>
  </si>
  <si>
    <t>Los Angeles</t>
  </si>
  <si>
    <t>Carmen McPherson</t>
  </si>
  <si>
    <t>Epson LQ-570e Dot Matrix Printer</t>
  </si>
  <si>
    <t>Illinois</t>
  </si>
  <si>
    <t>Carol Stream</t>
  </si>
  <si>
    <t>Ellen McCormick</t>
  </si>
  <si>
    <t>Dual Level, Single-Width Filing Carts</t>
  </si>
  <si>
    <t>Napa</t>
  </si>
  <si>
    <t>Scott Bunn</t>
  </si>
  <si>
    <t>Chairs &amp; Chairmats</t>
  </si>
  <si>
    <t>Hon 4070 Series Pagoda™ Armless Upholstered Stacking Chairs</t>
  </si>
  <si>
    <t>East</t>
  </si>
  <si>
    <t>New York</t>
  </si>
  <si>
    <t>New York City</t>
  </si>
  <si>
    <t>Hon Valutask™ Swivel Chairs</t>
  </si>
  <si>
    <t>Robin Kramer Vaughn</t>
  </si>
  <si>
    <t>Medium</t>
  </si>
  <si>
    <t>Bookcases</t>
  </si>
  <si>
    <t>Bush Westfield Collection Bookcases, Fully Assembled</t>
  </si>
  <si>
    <t>Richland</t>
  </si>
  <si>
    <t>Xerox 1952</t>
  </si>
  <si>
    <t>Allan Shields</t>
  </si>
  <si>
    <t>Maxell Pro 80 Minute CD-R, 10/Pack</t>
  </si>
  <si>
    <t>Florida</t>
  </si>
  <si>
    <t>Seminole</t>
  </si>
  <si>
    <t>Kim Weiss</t>
  </si>
  <si>
    <t>Office Furnishings</t>
  </si>
  <si>
    <t>GE 48" Fluorescent Tube, Cool White Energy Saver, 34 Watts, 30/Box</t>
  </si>
  <si>
    <t>Miami</t>
  </si>
  <si>
    <t>Juanita Coley Knox</t>
  </si>
  <si>
    <t>Watertown</t>
  </si>
  <si>
    <t>Roger Schwartz</t>
  </si>
  <si>
    <t>Xerox 4200 Series MultiUse Premium Copy Paper (20Lb. and 84 Bright)</t>
  </si>
  <si>
    <t>Nebraska</t>
  </si>
  <si>
    <t>Kearney</t>
  </si>
  <si>
    <t>Telephones and Communication</t>
  </si>
  <si>
    <t>T18</t>
  </si>
  <si>
    <t>Ron Newton</t>
  </si>
  <si>
    <t>Dixon Prang® Watercolor Pencils, 10-Color Set with Brush</t>
  </si>
  <si>
    <t>Oregon</t>
  </si>
  <si>
    <t>Lake Oswego</t>
  </si>
  <si>
    <t>Linda Weiss</t>
  </si>
  <si>
    <t>Seattle</t>
  </si>
  <si>
    <t>Anna Burgess</t>
  </si>
  <si>
    <t>Medium Box</t>
  </si>
  <si>
    <t>36X48 HARDFLOOR CHAIRMAT</t>
  </si>
  <si>
    <t>Utah</t>
  </si>
  <si>
    <t>Draper</t>
  </si>
  <si>
    <t>Mary Hewitt</t>
  </si>
  <si>
    <t>Bush Mission Pointe Library</t>
  </si>
  <si>
    <t>Gladstone</t>
  </si>
  <si>
    <t>Beth Dolan</t>
  </si>
  <si>
    <t>Labels</t>
  </si>
  <si>
    <t>Round Specialty Laser Printer Labels</t>
  </si>
  <si>
    <t>Panama City</t>
  </si>
  <si>
    <t>Bevis Round Conference Table Top &amp; Single Column Base</t>
  </si>
  <si>
    <t>Joe Baldwin</t>
  </si>
  <si>
    <t>Troy Casey</t>
  </si>
  <si>
    <t>Xerox 227</t>
  </si>
  <si>
    <t>Edina</t>
  </si>
  <si>
    <t>Lucille Gibbons</t>
  </si>
  <si>
    <t>Peel-Off® China Markers</t>
  </si>
  <si>
    <t>Marshall Sutherland</t>
  </si>
  <si>
    <t>Bush Advantage Collection® Round Conference Table</t>
  </si>
  <si>
    <t>Alabama</t>
  </si>
  <si>
    <t>Phenix City</t>
  </si>
  <si>
    <t>Janice Cole</t>
  </si>
  <si>
    <t>Fellowes Mobile Numeric Keypad, Graphite</t>
  </si>
  <si>
    <t>Louisiana</t>
  </si>
  <si>
    <t>Baton Rouge</t>
  </si>
  <si>
    <t>Polycom ViaVideo™ Desktop Video Communications Unit</t>
  </si>
  <si>
    <t>Staples Wirebound Steno Books, 6" x 9", 12/Pack</t>
  </si>
  <si>
    <t>Miriam Greenberg</t>
  </si>
  <si>
    <t>Riverleaf Stik-Withit® Designer Note Cubes®</t>
  </si>
  <si>
    <t>Valparaiso</t>
  </si>
  <si>
    <t>Matthew Conway</t>
  </si>
  <si>
    <t>Rubber Bands</t>
  </si>
  <si>
    <t>Binder Clips by OIC</t>
  </si>
  <si>
    <t>Ithaca</t>
  </si>
  <si>
    <t>Danny Hong</t>
  </si>
  <si>
    <t>Panasonic KX-P2130 Dot Matrix Printer</t>
  </si>
  <si>
    <t>Layton</t>
  </si>
  <si>
    <t>Eddie Walker</t>
  </si>
  <si>
    <t>Okidata ML320 Series Turbo Dot Matrix Printers</t>
  </si>
  <si>
    <t>Brooklyn Park</t>
  </si>
  <si>
    <t>Maureen Stout</t>
  </si>
  <si>
    <t>Cardinal Poly Pocket Divider Pockets for Ring Binders</t>
  </si>
  <si>
    <t>Texas</t>
  </si>
  <si>
    <t>Pharr</t>
  </si>
  <si>
    <t>"While you Were Out" Message Book, One Form per Page</t>
  </si>
  <si>
    <t>Carol Sherrill</t>
  </si>
  <si>
    <t>Office Star - Professional Matrix Back Chair with 2-to-1 Synchro Tilt and Mesh Fabric Seat</t>
  </si>
  <si>
    <t>Bryan</t>
  </si>
  <si>
    <t>Debbie Dillon</t>
  </si>
  <si>
    <t>Eldon Antistatic Chair Mats for Low to Medium Pile Carpets</t>
  </si>
  <si>
    <t>Roswell</t>
  </si>
  <si>
    <t>Marion Wilcox</t>
  </si>
  <si>
    <t>Burleson</t>
  </si>
  <si>
    <t>Russell Chan</t>
  </si>
  <si>
    <t>Hoover WindTunnel™ Plus Canister Vacuum</t>
  </si>
  <si>
    <t>Waco</t>
  </si>
  <si>
    <t>Billie Fowler</t>
  </si>
  <si>
    <t>Metal Folding Chairs, Beige, 4/Carton</t>
  </si>
  <si>
    <t>Bedford</t>
  </si>
  <si>
    <t>232</t>
  </si>
  <si>
    <t>Betsy Puckett</t>
  </si>
  <si>
    <t>Electrix Halogen Magnifier Lamp</t>
  </si>
  <si>
    <t>Oklahoma</t>
  </si>
  <si>
    <t>Norman</t>
  </si>
  <si>
    <t>Luxo Professional Fluorescent Magnifier Lamp with Clamp-Mount Base</t>
  </si>
  <si>
    <t>Panasonic KX-P1150 Dot Matrix Printer</t>
  </si>
  <si>
    <t>Bobby Powell</t>
  </si>
  <si>
    <t>Memorex 4.7GB DVD+RW, 3/Pack</t>
  </si>
  <si>
    <t>Iowa</t>
  </si>
  <si>
    <t>Fort Dodge</t>
  </si>
  <si>
    <t>3285</t>
  </si>
  <si>
    <t>Guy McDonald</t>
  </si>
  <si>
    <t>Canon S750 Color Inkjet Printer</t>
  </si>
  <si>
    <t>Mount Prospect</t>
  </si>
  <si>
    <t>Joyce Murray</t>
  </si>
  <si>
    <t>GBC Instant Index™ System for Binding Systems</t>
  </si>
  <si>
    <t>Los Altos</t>
  </si>
  <si>
    <t>Avery 514</t>
  </si>
  <si>
    <t>Keith Marsh</t>
  </si>
  <si>
    <t>Carina Double Wide Media Storage Towers in Natural &amp; Black</t>
  </si>
  <si>
    <t>Tennsco Snap-Together Open Shelving Units, Starter Sets and Add-On Units</t>
  </si>
  <si>
    <t>Marion Lindsey</t>
  </si>
  <si>
    <t>Commerce City</t>
  </si>
  <si>
    <t>Elisabeth Shaw</t>
  </si>
  <si>
    <t>Perma STOR-ALL™ Hanging File Box, 13 1/8"W x 12 1/4"D x 10 1/2"H</t>
  </si>
  <si>
    <t>Ormond Beach</t>
  </si>
  <si>
    <t>Ted Dunlap</t>
  </si>
  <si>
    <t>Rediform Wirebound "Phone Memo" Message Book, 11 x 5-3/4</t>
  </si>
  <si>
    <t>Deer Park</t>
  </si>
  <si>
    <t>Melinda Rogers</t>
  </si>
  <si>
    <t>Hon Deluxe Fabric Upholstered Stacking Chairs, Rounded Back</t>
  </si>
  <si>
    <t>Dubuque</t>
  </si>
  <si>
    <t>Derek Jernigan</t>
  </si>
  <si>
    <t>Riverside Palais Royal Lawyers Bookcase, Royale Cherry Finish</t>
  </si>
  <si>
    <t>Galesburg</t>
  </si>
  <si>
    <t>Kyle Fink</t>
  </si>
  <si>
    <t>Sanford EarthWrite® Recycled Pencils, Medium Soft, #2</t>
  </si>
  <si>
    <t>Virginia</t>
  </si>
  <si>
    <t>Petersburg</t>
  </si>
  <si>
    <t>Lawrence Dennis</t>
  </si>
  <si>
    <t>Newell 342</t>
  </si>
  <si>
    <t>San Clemente</t>
  </si>
  <si>
    <t>Carlos Byrd</t>
  </si>
  <si>
    <t>Connecticut</t>
  </si>
  <si>
    <t>Bristol</t>
  </si>
  <si>
    <t>Stacey Lucas</t>
  </si>
  <si>
    <t>Wilson Jones Hanging View Binder, White, 1"</t>
  </si>
  <si>
    <t>Cedar Falls</t>
  </si>
  <si>
    <t>Fellowes Basic 104-Key Keyboard, Platinum</t>
  </si>
  <si>
    <t>Suzanne Cochran</t>
  </si>
  <si>
    <t>Ibico Recycled Linen-Style Covers</t>
  </si>
  <si>
    <t>Cedar Rapids</t>
  </si>
  <si>
    <t>Self-Adhesive Ring Binder Labels</t>
  </si>
  <si>
    <t>Tenex File Box, Personal Filing Tote with Lid, Black</t>
  </si>
  <si>
    <t>Courtney Boyd</t>
  </si>
  <si>
    <t>Tennsco Commercial Shelving</t>
  </si>
  <si>
    <t>Fairfax</t>
  </si>
  <si>
    <t>Anna Wood</t>
  </si>
  <si>
    <t>Utica</t>
  </si>
  <si>
    <t>252</t>
  </si>
  <si>
    <t>Carrie McIntosh</t>
  </si>
  <si>
    <t>GBC VeloBinder Strips</t>
  </si>
  <si>
    <t>Royal Palm Beach</t>
  </si>
  <si>
    <t>G.E. Longer-Life Indoor Recessed Floodlight Bulbs</t>
  </si>
  <si>
    <t>Lee McKenna Gregory</t>
  </si>
  <si>
    <t>Novimex Swivel Fabric Task Chair</t>
  </si>
  <si>
    <t>South Carolina</t>
  </si>
  <si>
    <t>Hilton Head Island</t>
  </si>
  <si>
    <t>Eldon Portable Mobile Manager</t>
  </si>
  <si>
    <t>Accessory35</t>
  </si>
  <si>
    <t>Leslie Shannon</t>
  </si>
  <si>
    <t>Xerox 1986</t>
  </si>
  <si>
    <t>Montana</t>
  </si>
  <si>
    <t>Butte</t>
  </si>
  <si>
    <t>Glen Robertson</t>
  </si>
  <si>
    <t>Belkin F9M820V08 8 Outlet Surge</t>
  </si>
  <si>
    <t>Coon Rapids</t>
  </si>
  <si>
    <t>Holmes HEPA Air Purifier</t>
  </si>
  <si>
    <t>Ricky Garner</t>
  </si>
  <si>
    <t>BASF Silver 74 Minute CD-R</t>
  </si>
  <si>
    <t>Herndon</t>
  </si>
  <si>
    <t>Xerox 19</t>
  </si>
  <si>
    <t>Howard Rogers</t>
  </si>
  <si>
    <t>Coloredge Poster Frame</t>
  </si>
  <si>
    <t>Michigan</t>
  </si>
  <si>
    <t>Southgate</t>
  </si>
  <si>
    <t>Bonnie Potter</t>
  </si>
  <si>
    <t>SANFORD Liquid Accent™ Tank-Style Highlighters</t>
  </si>
  <si>
    <t>Anacortes</t>
  </si>
  <si>
    <t>Leah Clapp</t>
  </si>
  <si>
    <t>GBC Pre-Punched Binding Paper, Plastic, White, 8-1/2" x 11"</t>
  </si>
  <si>
    <t>Nevada</t>
  </si>
  <si>
    <t>Las Vegas</t>
  </si>
  <si>
    <t>i1000</t>
  </si>
  <si>
    <t>Jackie Capps</t>
  </si>
  <si>
    <t>Master Caster Door Stop, Brown</t>
  </si>
  <si>
    <t>San Carlos</t>
  </si>
  <si>
    <t>Jamie Manning</t>
  </si>
  <si>
    <t>Melrose Park</t>
  </si>
  <si>
    <t>Carole Creech</t>
  </si>
  <si>
    <t>File Shuttle II and Handi-File, Black</t>
  </si>
  <si>
    <t>Lake Worth</t>
  </si>
  <si>
    <t>James Hunter</t>
  </si>
  <si>
    <t>Keytronic French Keyboard</t>
  </si>
  <si>
    <t>Lubbock</t>
  </si>
  <si>
    <t>Don Rogers</t>
  </si>
  <si>
    <t>Avery Reinforcements for Hole-Punch Pages</t>
  </si>
  <si>
    <t>Franklin Square</t>
  </si>
  <si>
    <t>Canon PC1060 Personal Laser Copier</t>
  </si>
  <si>
    <t>Polycom ViewStation™ ISDN Videoconferencing Unit</t>
  </si>
  <si>
    <t>Peter Hardy</t>
  </si>
  <si>
    <t>O'Sullivan Cherrywood Estates Traditional Barrister Bookcase</t>
  </si>
  <si>
    <t>Ohio</t>
  </si>
  <si>
    <t>Stow</t>
  </si>
  <si>
    <t>Andrew Levine</t>
  </si>
  <si>
    <t>Pennsylvania</t>
  </si>
  <si>
    <t>Philadelphia</t>
  </si>
  <si>
    <t>Eugene Clayton</t>
  </si>
  <si>
    <t>GBC DocuBind TL300 Electric Binding System</t>
  </si>
  <si>
    <t>Edmonds</t>
  </si>
  <si>
    <t>Robyn Lyon</t>
  </si>
  <si>
    <t>Avery 491</t>
  </si>
  <si>
    <t>Garfield Heights</t>
  </si>
  <si>
    <t>Executive Impressions 14" Two-Color Numerals Wall Clock</t>
  </si>
  <si>
    <t>Pauline Brooks</t>
  </si>
  <si>
    <t>Fellowes Black Plastic Comb Bindings</t>
  </si>
  <si>
    <t>Maine</t>
  </si>
  <si>
    <t>Sanford</t>
  </si>
  <si>
    <t>Nathan Fox</t>
  </si>
  <si>
    <t>Acco 6 Outlet Guardian Premium Surge Suppressor</t>
  </si>
  <si>
    <t>Myrtle Beach</t>
  </si>
  <si>
    <t>Judy Singer</t>
  </si>
  <si>
    <t>VTech VT20-2481 2.4GHz Two-Line Phone System w/Answering Machine</t>
  </si>
  <si>
    <t>Neil Parker</t>
  </si>
  <si>
    <t>Boston School Pro Electric Pencil Sharpener, 1670</t>
  </si>
  <si>
    <t>Decatur</t>
  </si>
  <si>
    <t>Brad Stark</t>
  </si>
  <si>
    <t>GBC DocuBind 300 Electric Binding Machine</t>
  </si>
  <si>
    <t>Eden</t>
  </si>
  <si>
    <t>Melvin Benton</t>
  </si>
  <si>
    <t>Envelopes</t>
  </si>
  <si>
    <t>Staples Brown Kraft Recycled Clasp Envelopes</t>
  </si>
  <si>
    <t>Encinitas</t>
  </si>
  <si>
    <t>4009® Highlighters by Sanford</t>
  </si>
  <si>
    <t>Gerald Love</t>
  </si>
  <si>
    <t>Boston 16765 Mini Stand Up Battery Pencil Sharpener</t>
  </si>
  <si>
    <t>Gilroy</t>
  </si>
  <si>
    <t>Chris F Brandt</t>
  </si>
  <si>
    <t>M70</t>
  </si>
  <si>
    <t>King of Prussia</t>
  </si>
  <si>
    <t>Karl Knowles</t>
  </si>
  <si>
    <t>12 Colored Short Pencils</t>
  </si>
  <si>
    <t>Wisconsin</t>
  </si>
  <si>
    <t>Madison</t>
  </si>
  <si>
    <t>Herbert Holden</t>
  </si>
  <si>
    <t>Avery 05222 Permanent Self-Adhesive File Folder Labels for Typewriters, on Rolls, White, 250/Roll</t>
  </si>
  <si>
    <t>Atlanta</t>
  </si>
  <si>
    <t>Sherri P Stephens</t>
  </si>
  <si>
    <t>Lawton</t>
  </si>
  <si>
    <t>Harry Sellers</t>
  </si>
  <si>
    <t>Acco PRESSTEX® Data Binder with Storage Hooks, Dark Blue, 9 1/2" X 11"</t>
  </si>
  <si>
    <t>Pasadena</t>
  </si>
  <si>
    <t>Newell 337</t>
  </si>
  <si>
    <t>Melanie Knight</t>
  </si>
  <si>
    <t>Newell 339</t>
  </si>
  <si>
    <t>Augusta</t>
  </si>
  <si>
    <t>EcoTones® Memo Sheets</t>
  </si>
  <si>
    <t>Gail Rankin Cole</t>
  </si>
  <si>
    <t>Document Clip Frames</t>
  </si>
  <si>
    <t>District of Columbia</t>
  </si>
  <si>
    <t>Jennifer Siegel</t>
  </si>
  <si>
    <t>Denton</t>
  </si>
  <si>
    <t>Sherri F Vogel</t>
  </si>
  <si>
    <t>Hon Metal Bookcases, Putty</t>
  </si>
  <si>
    <t>East Lansing</t>
  </si>
  <si>
    <t>Newell 309</t>
  </si>
  <si>
    <t>Canon PC1080F Personal Copier</t>
  </si>
  <si>
    <t>Newell 318</t>
  </si>
  <si>
    <t>Philip Hawkins</t>
  </si>
  <si>
    <t>Fellowes Internet Keyboard, Platinum</t>
  </si>
  <si>
    <t>Hazelwood</t>
  </si>
  <si>
    <t>Sylvia Kumar</t>
  </si>
  <si>
    <t>Panasonic KX-P3200 Dot Matrix Printer</t>
  </si>
  <si>
    <t>Kentucky</t>
  </si>
  <si>
    <t>Pleasure Ridge Park</t>
  </si>
  <si>
    <t>Cameron Kendall</t>
  </si>
  <si>
    <t>Imation 3.5, DISKETTE 44766 HGHLD3.52HD/FM, 10/Pack</t>
  </si>
  <si>
    <t>Pittsburgh</t>
  </si>
  <si>
    <t>Tammy Goldman</t>
  </si>
  <si>
    <t>Xerox 1996</t>
  </si>
  <si>
    <t>Lehi</t>
  </si>
  <si>
    <t>Dorothy Buchanan</t>
  </si>
  <si>
    <t>New Jersey</t>
  </si>
  <si>
    <t>Bayonne</t>
  </si>
  <si>
    <t>Vicki Hauser</t>
  </si>
  <si>
    <t>Tennessee</t>
  </si>
  <si>
    <t>Lebanon</t>
  </si>
  <si>
    <t>Marc Nash</t>
  </si>
  <si>
    <t>Massachusetts</t>
  </si>
  <si>
    <t>Bellingham</t>
  </si>
  <si>
    <t>Maria Thomas</t>
  </si>
  <si>
    <t>Tensor "Hersey Kiss" Styled Floor Lamp</t>
  </si>
  <si>
    <t>Beverly</t>
  </si>
  <si>
    <t>Craig Bennett</t>
  </si>
  <si>
    <t>Holmes Odor Grabber</t>
  </si>
  <si>
    <t>Hanson</t>
  </si>
  <si>
    <t>Marion Bowling</t>
  </si>
  <si>
    <t>Eldon Image Series Black Desk Accessories</t>
  </si>
  <si>
    <t>Hawthorne</t>
  </si>
  <si>
    <t>Tony Doyle</t>
  </si>
  <si>
    <t>Xerox 188</t>
  </si>
  <si>
    <t>Trenton</t>
  </si>
  <si>
    <t>April Henson</t>
  </si>
  <si>
    <t>Maryland</t>
  </si>
  <si>
    <t>Gaithersburg</t>
  </si>
  <si>
    <t>Prang Dustless Chalk Sticks</t>
  </si>
  <si>
    <t>Helen H Murphy</t>
  </si>
  <si>
    <t>Avery 51</t>
  </si>
  <si>
    <t>6185</t>
  </si>
  <si>
    <t>Harriet Hodges</t>
  </si>
  <si>
    <t>Lexmark Z55se Color Inkjet Printer</t>
  </si>
  <si>
    <t>Jordan Berry</t>
  </si>
  <si>
    <t>Altoona</t>
  </si>
  <si>
    <t>Sidney Greenberg</t>
  </si>
  <si>
    <t>3M Polarizing Task Lamp with Clamp Arm, Light Gray</t>
  </si>
  <si>
    <t>Salinas</t>
  </si>
  <si>
    <t>Christian Albright</t>
  </si>
  <si>
    <t>Eldon Expressions Mahogany Wood Desk Collection</t>
  </si>
  <si>
    <t>Smyrna</t>
  </si>
  <si>
    <t>Joann Moser</t>
  </si>
  <si>
    <t>Atlantic Metals Mobile 3-Shelf Bookcases, Custom Colors</t>
  </si>
  <si>
    <t>Spring Hill</t>
  </si>
  <si>
    <t>Robyn Zhou</t>
  </si>
  <si>
    <t>Global Leather Executive Chair</t>
  </si>
  <si>
    <t>Englewood</t>
  </si>
  <si>
    <t>#10- 4 1/8" x 9 1/2" Recycled Envelopes</t>
  </si>
  <si>
    <t>Brites Rubber Bands, 1 1/2 oz. Box</t>
  </si>
  <si>
    <t>Becky Farmer</t>
  </si>
  <si>
    <t>Verbatim DVD-RAM, 5.2GB, Rewritable, Type 1, DS</t>
  </si>
  <si>
    <t>Lansing</t>
  </si>
  <si>
    <t>Elsie Boykin</t>
  </si>
  <si>
    <t>Targus USB Numeric Keypad</t>
  </si>
  <si>
    <t>Fort Thomas</t>
  </si>
  <si>
    <t>Jordan Wilkinson</t>
  </si>
  <si>
    <t>Fellowes Super Stor/Drawer®</t>
  </si>
  <si>
    <t>Florence</t>
  </si>
  <si>
    <t>Craig Liu</t>
  </si>
  <si>
    <t>6120</t>
  </si>
  <si>
    <t>Concord</t>
  </si>
  <si>
    <t>Pauline Finch</t>
  </si>
  <si>
    <t>TDK 4.7GB DVD-R</t>
  </si>
  <si>
    <t>Costa Mesa</t>
  </si>
  <si>
    <t>Sean N Boyer</t>
  </si>
  <si>
    <t>Lynn Hines</t>
  </si>
  <si>
    <t>Eldon® Wave Desk Accessories</t>
  </si>
  <si>
    <t>College Park</t>
  </si>
  <si>
    <t>Gregory Rao</t>
  </si>
  <si>
    <t>Xerox 1910</t>
  </si>
  <si>
    <t>Manteca</t>
  </si>
  <si>
    <t>Katharine Bass</t>
  </si>
  <si>
    <t>Bell Sonecor JB700 Caller ID</t>
  </si>
  <si>
    <t>Henderson</t>
  </si>
  <si>
    <t>Gordon Lyon</t>
  </si>
  <si>
    <t>Hoover Portapower™ Portable Vacuum</t>
  </si>
  <si>
    <t>Pomona</t>
  </si>
  <si>
    <t>Mike G Hartman</t>
  </si>
  <si>
    <t>Xerox 1903</t>
  </si>
  <si>
    <t>Pembroke Pines</t>
  </si>
  <si>
    <t>Phillip Blum</t>
  </si>
  <si>
    <t>i1000plus</t>
  </si>
  <si>
    <t>Troutdale</t>
  </si>
  <si>
    <t>Jean Webster</t>
  </si>
  <si>
    <t>Hoover Commercial Soft Guard Upright Vacuum And Disposable Filtration Bags</t>
  </si>
  <si>
    <t>Allentown</t>
  </si>
  <si>
    <t>Xerox 1939</t>
  </si>
  <si>
    <t>Hewlett-Packard Deskjet 5550 Color Inkjet Printer</t>
  </si>
  <si>
    <t>Newell 336</t>
  </si>
  <si>
    <t>Debbie Stevenson</t>
  </si>
  <si>
    <t>Economy Rollaway Files</t>
  </si>
  <si>
    <t>West Hollywood</t>
  </si>
  <si>
    <t>Clarence Crowder</t>
  </si>
  <si>
    <t>Wirebound Four 2-3/4 x 5 Forms per Page, 400 Sets per Book</t>
  </si>
  <si>
    <t>Lacey</t>
  </si>
  <si>
    <t>Leroy Field</t>
  </si>
  <si>
    <t>Telescoping Adjustable Floor Lamp</t>
  </si>
  <si>
    <t>Idaho</t>
  </si>
  <si>
    <t>Post Falls</t>
  </si>
  <si>
    <t>Harriet Moore</t>
  </si>
  <si>
    <t>Hon 4070 Series Pagoda™ Round Back Stacking Chairs</t>
  </si>
  <si>
    <t>Rexburg</t>
  </si>
  <si>
    <t>Laurence Simon</t>
  </si>
  <si>
    <t>Boston 16801 Nautilus™ Battery Pencil Sharpener</t>
  </si>
  <si>
    <t>Oakville</t>
  </si>
  <si>
    <t>Robyn Crawford</t>
  </si>
  <si>
    <t>1.7 Cubic Foot Compact "Cube" Office Refrigerators</t>
  </si>
  <si>
    <t>Germantown</t>
  </si>
  <si>
    <t>Arthur Gold</t>
  </si>
  <si>
    <t>Tyvek® Side-Opening Peel &amp; Seel® Expanding Envelopes</t>
  </si>
  <si>
    <t>Hendersonville</t>
  </si>
  <si>
    <t>DAX Two-Tone Rosewood/Black Document Frame, Desktop, 5 x 7</t>
  </si>
  <si>
    <t>Kent Kerr</t>
  </si>
  <si>
    <t>Newell 335</t>
  </si>
  <si>
    <t>Knoxville</t>
  </si>
  <si>
    <t>Dawn Larson</t>
  </si>
  <si>
    <t>Newell 346</t>
  </si>
  <si>
    <t>Madison Heights</t>
  </si>
  <si>
    <t>Ernest Barber</t>
  </si>
  <si>
    <t>Memorex 4.7GB DVD+R, 3/Pack</t>
  </si>
  <si>
    <t>Carson City</t>
  </si>
  <si>
    <t>Accessory20</t>
  </si>
  <si>
    <t>Eileen Fletcher</t>
  </si>
  <si>
    <t>Pressboard Covers with Storage Hooks, 9 1/2" x 11", Light Blue</t>
  </si>
  <si>
    <t>Gary</t>
  </si>
  <si>
    <t>Canon imageCLASS 2200 Advanced Copier</t>
  </si>
  <si>
    <t>Jeremy Pratt</t>
  </si>
  <si>
    <t>Granger</t>
  </si>
  <si>
    <t>Lori Wolfe</t>
  </si>
  <si>
    <t>6" Cubicle Wall Clock, Black</t>
  </si>
  <si>
    <t>Hattiesburg</t>
  </si>
  <si>
    <t>Tina Evans</t>
  </si>
  <si>
    <t>Hammermill CopyPlus Copy Paper (20Lb. and 84 Bright)</t>
  </si>
  <si>
    <t>Lombard</t>
  </si>
  <si>
    <t>Telephone Message Books with Fax/Mobile Section, 5 1/2" x 3 3/16"</t>
  </si>
  <si>
    <t>Rhonda Ivey</t>
  </si>
  <si>
    <t>Wirebound Message Books, 2 7/8" x 5", 3 Forms per Page</t>
  </si>
  <si>
    <t>West Mifflin</t>
  </si>
  <si>
    <t>Wesley Tate</t>
  </si>
  <si>
    <t>Avery Printable Repositionable Plastic Tabs</t>
  </si>
  <si>
    <t>Chicago</t>
  </si>
  <si>
    <t>Crystal Floyd</t>
  </si>
  <si>
    <t>Battle Creek</t>
  </si>
  <si>
    <t>Patricia Cole Blair</t>
  </si>
  <si>
    <t>Kansas</t>
  </si>
  <si>
    <t>Wichita</t>
  </si>
  <si>
    <t>MicroTAC 650</t>
  </si>
  <si>
    <t>Alex Watkins</t>
  </si>
  <si>
    <t>Stockwell Push Pins</t>
  </si>
  <si>
    <t>Woodmere</t>
  </si>
  <si>
    <t>Bevis Round Conference Table Top, X-Base</t>
  </si>
  <si>
    <t>Courtney Nelson</t>
  </si>
  <si>
    <t>Rubbermaid ClusterMat Chairmats, Mat Size- 66" x 60", Lip 20" x 11" -90 Degree Angle</t>
  </si>
  <si>
    <t>Laurel</t>
  </si>
  <si>
    <t>TOPS Money Receipt Book, Consecutively Numbered in Red,</t>
  </si>
  <si>
    <t>Max Small</t>
  </si>
  <si>
    <t>Imation 3.5" Unformatted DS/HD Diskettes, 10/Box</t>
  </si>
  <si>
    <t>Bartlesville</t>
  </si>
  <si>
    <t>Miriam Mueller</t>
  </si>
  <si>
    <t>Murfreesboro</t>
  </si>
  <si>
    <t>Allison Kirby</t>
  </si>
  <si>
    <t>Dallas</t>
  </si>
  <si>
    <t>Daniel Richmond</t>
  </si>
  <si>
    <t>Premium Writing Pencils, Soft, #2 by Central Association for the Blind</t>
  </si>
  <si>
    <t>Boardman</t>
  </si>
  <si>
    <t>Holly Osborne</t>
  </si>
  <si>
    <t>Fellowes Personal Hanging Folder Files, Navy</t>
  </si>
  <si>
    <t>Hot Springs</t>
  </si>
  <si>
    <t>Kristine Singleton</t>
  </si>
  <si>
    <t>Naperville</t>
  </si>
  <si>
    <t>Assorted Color Push Pins</t>
  </si>
  <si>
    <t>Edith Reynolds</t>
  </si>
  <si>
    <t>North Dakota</t>
  </si>
  <si>
    <t>Mandan</t>
  </si>
  <si>
    <t>Xerox 1906</t>
  </si>
  <si>
    <t>Scissors, Rulers and Trimmers</t>
  </si>
  <si>
    <t>Acme® 8" Straight Scissors</t>
  </si>
  <si>
    <t>Eva Silverman</t>
  </si>
  <si>
    <t>Avery 4027 File Folder Labels for Dot Matrix Printers, 5000 Labels per Box, White</t>
  </si>
  <si>
    <t>Wilmette</t>
  </si>
  <si>
    <t>Joel Huffman</t>
  </si>
  <si>
    <t>Newell 323</t>
  </si>
  <si>
    <t>Woodridge</t>
  </si>
  <si>
    <t>Jon Ayers</t>
  </si>
  <si>
    <t>Avery 508</t>
  </si>
  <si>
    <t>Palm Coast</t>
  </si>
  <si>
    <t>Floyd Dale</t>
  </si>
  <si>
    <t>Super Bands, 12/Pack</t>
  </si>
  <si>
    <t>Troy</t>
  </si>
  <si>
    <t>Patrick Rosenthal</t>
  </si>
  <si>
    <t>Sanyo Counter Height Refrigerator with Crisper, 3.6 Cubic Foot, Stainless Steel/Black</t>
  </si>
  <si>
    <t>Rhode Island</t>
  </si>
  <si>
    <t>Cranston</t>
  </si>
  <si>
    <t>Joy Maxwell</t>
  </si>
  <si>
    <t>Hewlett-Packard 2600DN Business Color Inkjet Printer</t>
  </si>
  <si>
    <t>Arizona</t>
  </si>
  <si>
    <t>Oro Valley</t>
  </si>
  <si>
    <t>Mary Page</t>
  </si>
  <si>
    <t>Verbatim DVD-R, 4.7GB, Spindle, WE, Blank, Ink Jet/Thermal, 20/Spindle</t>
  </si>
  <si>
    <t>Peoria</t>
  </si>
  <si>
    <t>Sandra Berry</t>
  </si>
  <si>
    <t>Holmes Replacement Filter for HEPA Air Cleaner, Large Room</t>
  </si>
  <si>
    <t>Meridian</t>
  </si>
  <si>
    <t>Important Message Pads, 50 4-1/4 x 5-1/2 Forms per Pad</t>
  </si>
  <si>
    <t>Lillian Day</t>
  </si>
  <si>
    <t>Staples Standard Envelopes</t>
  </si>
  <si>
    <t>Shaker Heights</t>
  </si>
  <si>
    <t>Russell W Melton</t>
  </si>
  <si>
    <t>Maxell DVD-RAM Discs</t>
  </si>
  <si>
    <t>Northport</t>
  </si>
  <si>
    <t>Lisa Kim</t>
  </si>
  <si>
    <t>Palm Beach Gardens</t>
  </si>
  <si>
    <t>Xerox 1991</t>
  </si>
  <si>
    <t>Regeneration Desk Collection</t>
  </si>
  <si>
    <t>Amy Hamrick Melvin</t>
  </si>
  <si>
    <t>Security-Tint Envelopes</t>
  </si>
  <si>
    <t>6162</t>
  </si>
  <si>
    <t>Danielle P Rao</t>
  </si>
  <si>
    <t>Moore</t>
  </si>
  <si>
    <t>April Hu</t>
  </si>
  <si>
    <t>Staples® General Use 3-Ring Binders</t>
  </si>
  <si>
    <t>Mesa</t>
  </si>
  <si>
    <t>Xerox 1978</t>
  </si>
  <si>
    <t>Nathan Newton</t>
  </si>
  <si>
    <t>High Point</t>
  </si>
  <si>
    <t>Katharine Hudson</t>
  </si>
  <si>
    <t>Boston Model 1800 Electric Pencil Sharpener, Gray</t>
  </si>
  <si>
    <t>Clarksville</t>
  </si>
  <si>
    <t>Danny Richmond</t>
  </si>
  <si>
    <t>Avery Arch Ring Binders</t>
  </si>
  <si>
    <t>Marsha Roy</t>
  </si>
  <si>
    <t>Peel &amp; Seel® Recycled Catalog Envelopes, Brown</t>
  </si>
  <si>
    <t>Tupelo</t>
  </si>
  <si>
    <t>Priscilla Brandon</t>
  </si>
  <si>
    <t>Willow Grove</t>
  </si>
  <si>
    <t>AT&amp;T Black Trimline Phone, Model 210</t>
  </si>
  <si>
    <t>Derek McCormick</t>
  </si>
  <si>
    <t>Computer Printout Paper with Letter-Trim Perforations</t>
  </si>
  <si>
    <t>Oxford</t>
  </si>
  <si>
    <t>Marjorie Arthur</t>
  </si>
  <si>
    <t>Vermont</t>
  </si>
  <si>
    <t>South Burlington</t>
  </si>
  <si>
    <t>Milton Lindsay</t>
  </si>
  <si>
    <t>Kensington 7 Outlet MasterPiece Power Center with Fax/Phone Line Protection</t>
  </si>
  <si>
    <t>Hamilton</t>
  </si>
  <si>
    <t>Edward Pugh</t>
  </si>
  <si>
    <t>Newell 340</t>
  </si>
  <si>
    <t>New Mexico</t>
  </si>
  <si>
    <t>Santa Fe</t>
  </si>
  <si>
    <t>Julian Keith Mayer</t>
  </si>
  <si>
    <t>Fellowes Smart Surge Ten-Outlet Protector, Platinum</t>
  </si>
  <si>
    <t>Matthew Berman</t>
  </si>
  <si>
    <t>StarTAC 3000</t>
  </si>
  <si>
    <t>Grants Pass</t>
  </si>
  <si>
    <t>Douglas Buck</t>
  </si>
  <si>
    <t>Xerox 21</t>
  </si>
  <si>
    <t>Seatac</t>
  </si>
  <si>
    <t>Advantus Rolling Storage Box</t>
  </si>
  <si>
    <t>Gina McKnight</t>
  </si>
  <si>
    <t>Fellowes PB500 Electric Punch Plastic Comb Binding Machine with Manual Bind</t>
  </si>
  <si>
    <t>Farragut</t>
  </si>
  <si>
    <t>Dennis Boykin Townsend</t>
  </si>
  <si>
    <t>Joe George</t>
  </si>
  <si>
    <t>GBC Standard Plastic Binding Systems' Combs</t>
  </si>
  <si>
    <t>Bossier City</t>
  </si>
  <si>
    <t>Avery 481</t>
  </si>
  <si>
    <t>Paul Puckett</t>
  </si>
  <si>
    <t>Memorex Slim 80 Minute CD-R, 10/Pack</t>
  </si>
  <si>
    <t>Wooster</t>
  </si>
  <si>
    <t>Valerie Siegel</t>
  </si>
  <si>
    <t>TimeportP7382</t>
  </si>
  <si>
    <t>Woodstock</t>
  </si>
  <si>
    <t>Carlos Hess</t>
  </si>
  <si>
    <t>Hon iLevel™ Computer Training Table</t>
  </si>
  <si>
    <t>Cleveland Heights</t>
  </si>
  <si>
    <t>Nicholas Wallace</t>
  </si>
  <si>
    <t>Logitech Cordless Elite Duo</t>
  </si>
  <si>
    <t>Hurst</t>
  </si>
  <si>
    <t>Andrew Gonzalez</t>
  </si>
  <si>
    <t>Memorex 80 Minute CD-R Spindle, 100/Pack</t>
  </si>
  <si>
    <t>Charlotte</t>
  </si>
  <si>
    <t>Fellowes 17-key keypad for PS/2 interface</t>
  </si>
  <si>
    <t>Cindy McLeod</t>
  </si>
  <si>
    <t>Premier Elliptical Ring Binder, Black</t>
  </si>
  <si>
    <t>Sioux City</t>
  </si>
  <si>
    <t>Vicki Womble</t>
  </si>
  <si>
    <t>XtraLife® ClearVue™ Slant-D® Ring Binders by Cardinal</t>
  </si>
  <si>
    <t>Des Moines</t>
  </si>
  <si>
    <t>Deflect-o DuraMat Antistatic Studded Beveled Mat for Medium Pile Carpeting</t>
  </si>
  <si>
    <t>Timothy Currie</t>
  </si>
  <si>
    <t>Woburn</t>
  </si>
  <si>
    <t>Dennis Bowen</t>
  </si>
  <si>
    <t>Avery Premier Heavy-Duty Binder with Round Locking Rings</t>
  </si>
  <si>
    <t>Pottstown</t>
  </si>
  <si>
    <t>Juanita Ballard</t>
  </si>
  <si>
    <t>Super Decoflex Portable Personal File</t>
  </si>
  <si>
    <t>Kent</t>
  </si>
  <si>
    <t>Gregory R Snow</t>
  </si>
  <si>
    <t>Ibico EPK-21 Electric Binding System</t>
  </si>
  <si>
    <t>Greer</t>
  </si>
  <si>
    <t>David Weaver</t>
  </si>
  <si>
    <t>Hon 4700 Series Mobuis™ Mid-Back Task Chairs with Adjustable Arms</t>
  </si>
  <si>
    <t>Holladay</t>
  </si>
  <si>
    <t>Southworth 25% Cotton Premium Laser Paper and Envelopes</t>
  </si>
  <si>
    <t>Sharon Kessler</t>
  </si>
  <si>
    <t>Large Capacity Hanging Post Binders</t>
  </si>
  <si>
    <t>Superior</t>
  </si>
  <si>
    <t>Monica Stuart</t>
  </si>
  <si>
    <t>Imation 3.5" DS/HD IBM Formatted Diskettes, 50/Pack</t>
  </si>
  <si>
    <t>Waukesha</t>
  </si>
  <si>
    <t>Geoffrey Zhu</t>
  </si>
  <si>
    <t>PC Concepts 116 Key Quantum 3000 Keyboard</t>
  </si>
  <si>
    <t>Kingsport</t>
  </si>
  <si>
    <t>Jean Weiss Diaz</t>
  </si>
  <si>
    <t>Carina 42"Hx23 3/4"W Media Storage Unit</t>
  </si>
  <si>
    <t>Elyria</t>
  </si>
  <si>
    <t>Bonnie Matthews Rowland</t>
  </si>
  <si>
    <t>Career Cubicle Clock, 8 1/4", Black</t>
  </si>
  <si>
    <t>Michele Bradshaw</t>
  </si>
  <si>
    <t>8890</t>
  </si>
  <si>
    <t>Dunedin</t>
  </si>
  <si>
    <t>Joan Beach</t>
  </si>
  <si>
    <t>Motorola SB4200 Cable Modem</t>
  </si>
  <si>
    <t>Mobile</t>
  </si>
  <si>
    <t>Deflect-o RollaMat Studded, Beveled Mat for Medium Pile Carpeting</t>
  </si>
  <si>
    <t>Yvonne Collier</t>
  </si>
  <si>
    <t>GBC Twin Loop™ Wire Binding Elements, 9/16" Spine, Black</t>
  </si>
  <si>
    <t>Lino Lakes</t>
  </si>
  <si>
    <t>Sharon Thomas</t>
  </si>
  <si>
    <t>Adams Phone Message Book, Professional, 400 Message Capacity, 5 3/6” x 11”</t>
  </si>
  <si>
    <t>Anna Ellis</t>
  </si>
  <si>
    <t>Mankato</t>
  </si>
  <si>
    <t>Arlene Wiggins Dalton</t>
  </si>
  <si>
    <t>Avery Binder Labels</t>
  </si>
  <si>
    <t>Huntsville</t>
  </si>
  <si>
    <t>Benjamin Gunter</t>
  </si>
  <si>
    <t>Avery 498</t>
  </si>
  <si>
    <t>Hialeah</t>
  </si>
  <si>
    <t>Chromcraft Bull-Nose Wood Round Conference Table Top, Wood Base</t>
  </si>
  <si>
    <t>Amy York</t>
  </si>
  <si>
    <t>Keytronic 105-Key Spanish Keyboard</t>
  </si>
  <si>
    <t>Parkland</t>
  </si>
  <si>
    <t>Rhonda Schroeder</t>
  </si>
  <si>
    <t>Acme Design Line 8" Stainless Steel Bent Scissors w/Champagne Handles, 3-1/8" Cut</t>
  </si>
  <si>
    <t>Newton</t>
  </si>
  <si>
    <t>Melinda Thornton</t>
  </si>
  <si>
    <t>IBM Multi-Purpose Copy Paper, 8 1/2 x 11", Case</t>
  </si>
  <si>
    <t>Reston</t>
  </si>
  <si>
    <t>Lindsay P Ashley</t>
  </si>
  <si>
    <t>Douglas Sutton</t>
  </si>
  <si>
    <t>Wheat Ridge</t>
  </si>
  <si>
    <t>Phillip Pollard</t>
  </si>
  <si>
    <t>Fellowes Command Center 5-outlet power strip</t>
  </si>
  <si>
    <t>Pauline Denton</t>
  </si>
  <si>
    <t>Canon PC-428 Personal Copier</t>
  </si>
  <si>
    <t>Vincennes</t>
  </si>
  <si>
    <t>Dana Sharpe</t>
  </si>
  <si>
    <t>Neil Bailey</t>
  </si>
  <si>
    <t>636</t>
  </si>
  <si>
    <t>Harrisburg</t>
  </si>
  <si>
    <t>Anthony Stanley</t>
  </si>
  <si>
    <t>Eureka The Boss® Cordless Rechargeable Stick Vac</t>
  </si>
  <si>
    <t>Fords</t>
  </si>
  <si>
    <t>Sandy Cannon</t>
  </si>
  <si>
    <t>Eureka Hand Vacuum, Bagless</t>
  </si>
  <si>
    <t>Leawood</t>
  </si>
  <si>
    <t>Nancy Holden</t>
  </si>
  <si>
    <t>Harmony HEPA Quiet Air Purifiers</t>
  </si>
  <si>
    <t>Franklin</t>
  </si>
  <si>
    <t>Roger Blalock Cassidy</t>
  </si>
  <si>
    <t>Recycled Premium Regency Composition Covers</t>
  </si>
  <si>
    <t>Fairfield</t>
  </si>
  <si>
    <t>Charles Cline</t>
  </si>
  <si>
    <t>Tennsco Regal Shelving Units</t>
  </si>
  <si>
    <t>Thousand Oaks</t>
  </si>
  <si>
    <t>T60</t>
  </si>
  <si>
    <t>Jean Khan</t>
  </si>
  <si>
    <t>Eldon Regeneration Recycled Desk Accessories, Smoke</t>
  </si>
  <si>
    <t>Menlo Park</t>
  </si>
  <si>
    <t>Diana Xu</t>
  </si>
  <si>
    <t>Belkin 6 Outlet Metallic Surge Strip</t>
  </si>
  <si>
    <t>Harriet Bowman</t>
  </si>
  <si>
    <t>5170i</t>
  </si>
  <si>
    <t>Arlene Gibbons</t>
  </si>
  <si>
    <t>Nu-Dell Leatherette Frames</t>
  </si>
  <si>
    <t>Muscatine</t>
  </si>
  <si>
    <t>Kristina Collier</t>
  </si>
  <si>
    <t>Allen Park</t>
  </si>
  <si>
    <t>Faye Manning</t>
  </si>
  <si>
    <t>Canon MP41DH Printing Calculator</t>
  </si>
  <si>
    <t>Saint Petersburg</t>
  </si>
  <si>
    <t>Global Stack Chair without Arms, Black</t>
  </si>
  <si>
    <t>Fellowes Neat Ideas® Storage Cubes</t>
  </si>
  <si>
    <t>Pam Patton</t>
  </si>
  <si>
    <t>Xerox 1897</t>
  </si>
  <si>
    <t>Boston</t>
  </si>
  <si>
    <t>Marjorie Owens</t>
  </si>
  <si>
    <t>Farmers Branch</t>
  </si>
  <si>
    <t>Harry Burns</t>
  </si>
  <si>
    <t>Barrel Sharpener</t>
  </si>
  <si>
    <t>Mason City</t>
  </si>
  <si>
    <t>2160i</t>
  </si>
  <si>
    <t>A1228</t>
  </si>
  <si>
    <t>Priscilla Allen</t>
  </si>
  <si>
    <t>Pontiac</t>
  </si>
  <si>
    <t>Edwin Blackburn</t>
  </si>
  <si>
    <t>Rogers® Profile Extra Capacity Storage Tub</t>
  </si>
  <si>
    <t>Agawam</t>
  </si>
  <si>
    <t>Jackie Flynn</t>
  </si>
  <si>
    <t>Winchester</t>
  </si>
  <si>
    <t>Billy Hale</t>
  </si>
  <si>
    <t>Global High-Back Leather Tilter, Burgundy</t>
  </si>
  <si>
    <t>Fort Lee</t>
  </si>
  <si>
    <t>Teresa Wallace</t>
  </si>
  <si>
    <t>Eldon ClusterMat Chair Mat with Cordless Antistatic Protection</t>
  </si>
  <si>
    <t>Mount Lebanon</t>
  </si>
  <si>
    <t>Xerox 1947</t>
  </si>
  <si>
    <t>Oscar Kenney</t>
  </si>
  <si>
    <t>Staples Plastic Wall Frames</t>
  </si>
  <si>
    <t>West Bend</t>
  </si>
  <si>
    <t>Helen Dickerson</t>
  </si>
  <si>
    <t>Joplin</t>
  </si>
  <si>
    <t>Edgar McKenzie</t>
  </si>
  <si>
    <t>Staples 6 Outlet Surge</t>
  </si>
  <si>
    <t>Oswego</t>
  </si>
  <si>
    <t>Lloyd Dolan</t>
  </si>
  <si>
    <t>Newell 338</t>
  </si>
  <si>
    <t>Dickinson</t>
  </si>
  <si>
    <t>Joanna Kenney</t>
  </si>
  <si>
    <t>Boston 1645 Deluxe Heavier-Duty Electric Pencil Sharpener</t>
  </si>
  <si>
    <t>Sandusky</t>
  </si>
  <si>
    <t>OIC Thumb-Tacks</t>
  </si>
  <si>
    <t>Jeff Meadows</t>
  </si>
  <si>
    <t>Avery 48</t>
  </si>
  <si>
    <t>Paducah</t>
  </si>
  <si>
    <t>Judy Hall</t>
  </si>
  <si>
    <t>Newell 343</t>
  </si>
  <si>
    <t>Worcester</t>
  </si>
  <si>
    <t>Kara Allison</t>
  </si>
  <si>
    <t>Alton</t>
  </si>
  <si>
    <t>Array® Memo Cubes</t>
  </si>
  <si>
    <t>Janet McCullough</t>
  </si>
  <si>
    <t>LX 677</t>
  </si>
  <si>
    <t>Coconut Creek</t>
  </si>
  <si>
    <t>Monica Harvey</t>
  </si>
  <si>
    <t>V70</t>
  </si>
  <si>
    <t>Eau Claire</t>
  </si>
  <si>
    <t>Sidney Russell Austin</t>
  </si>
  <si>
    <t>Okidata Pacemark 4410N Wide Format Dot Matrix Printer</t>
  </si>
  <si>
    <t>Redmond</t>
  </si>
  <si>
    <t>Edgar Kumar</t>
  </si>
  <si>
    <t>Billie Stern</t>
  </si>
  <si>
    <t>North Plainfield</t>
  </si>
  <si>
    <t>Edna Thomas</t>
  </si>
  <si>
    <t>Xerox 194</t>
  </si>
  <si>
    <t>Laguna Niguel</t>
  </si>
  <si>
    <t>Belkin 8 Outlet SurgeMaster II Gold Surge Protector</t>
  </si>
  <si>
    <t>Wilson Jones Impact Binders</t>
  </si>
  <si>
    <t>Kristine Connolly</t>
  </si>
  <si>
    <t>Adams Phone Message Book, 200 Message Capacity, 8 1/16” x 11”</t>
  </si>
  <si>
    <t>Kristina Sanders</t>
  </si>
  <si>
    <t>Provo</t>
  </si>
  <si>
    <t>Martin Kirk</t>
  </si>
  <si>
    <t>Chesapeake</t>
  </si>
  <si>
    <t>James Davenport</t>
  </si>
  <si>
    <t>Acco Four Pocket Poly Ring Binder with Label Holder, Smoke, 1"</t>
  </si>
  <si>
    <t>Kansas City</t>
  </si>
  <si>
    <t>Xerox 213</t>
  </si>
  <si>
    <t>Jenny Gold</t>
  </si>
  <si>
    <t>Hon 2090 “Pillow Soft” Series Mid Back Swivel/Tilt Chairs</t>
  </si>
  <si>
    <t>Marianne Carey</t>
  </si>
  <si>
    <t>Atlantic Metals Mobile 2-Shelf Bookcases, Custom Colors</t>
  </si>
  <si>
    <t>North Platte</t>
  </si>
  <si>
    <t>Alfred Singh</t>
  </si>
  <si>
    <t>GBC DocuBind 200 Manual Binding Machine</t>
  </si>
  <si>
    <t>Mechanicsville</t>
  </si>
  <si>
    <t>Jeffrey Mueller</t>
  </si>
  <si>
    <t>Memorex 4.7GB DVD-RAM, 3/Pack</t>
  </si>
  <si>
    <t>Rock Island</t>
  </si>
  <si>
    <t>Edna Monroe Talley</t>
  </si>
  <si>
    <t>Seguin</t>
  </si>
  <si>
    <t>BoxOffice By Design Rectangular and Half-Moon Meeting Room Tables</t>
  </si>
  <si>
    <t>Peggy Chan</t>
  </si>
  <si>
    <t>Sherman</t>
  </si>
  <si>
    <t>Rodney Field</t>
  </si>
  <si>
    <t>Springfield</t>
  </si>
  <si>
    <t>Howard Miller 13" Diameter Goldtone Round Wall Clock</t>
  </si>
  <si>
    <t>Theodore Rubin</t>
  </si>
  <si>
    <t>Franklin Park</t>
  </si>
  <si>
    <t>Irene Li</t>
  </si>
  <si>
    <t>Acme® Elite Stainless Steel Scissors</t>
  </si>
  <si>
    <t>Hanover</t>
  </si>
  <si>
    <t>Lynn Epstein</t>
  </si>
  <si>
    <t>Anderson Hickey Conga Table Tops &amp; Accessories</t>
  </si>
  <si>
    <t>Bangor</t>
  </si>
  <si>
    <t>Constance Flowers</t>
  </si>
  <si>
    <t>US Robotics 56K V.92 Internal PCI Faxmodem</t>
  </si>
  <si>
    <t>San Diego</t>
  </si>
  <si>
    <t>Laurie Howe</t>
  </si>
  <si>
    <t>Office Star - Mid Back Dual function Ergonomic High Back Chair with 2-Way Adjustable Arms</t>
  </si>
  <si>
    <t>Brooklyn Center</t>
  </si>
  <si>
    <t>Rediform S.O.S. Phone Message Books</t>
  </si>
  <si>
    <t>Kelly Byers</t>
  </si>
  <si>
    <t>Peel &amp; Stick Add-On Corner Pockets</t>
  </si>
  <si>
    <t>Woodburn</t>
  </si>
  <si>
    <t>Hewlett-Packard Business Color Inkjet 3000 [N, DTN] Series Printers</t>
  </si>
  <si>
    <t>Xerox 217</t>
  </si>
  <si>
    <t>April Bowers</t>
  </si>
  <si>
    <t>Cedar Hill</t>
  </si>
  <si>
    <t>Marsha P Joyner</t>
  </si>
  <si>
    <t>West Virginia</t>
  </si>
  <si>
    <t>Wheeling</t>
  </si>
  <si>
    <t>Crystal Crabtree</t>
  </si>
  <si>
    <t>West Palm Beach</t>
  </si>
  <si>
    <t>C-Line Peel &amp; Stick Add-On Filing Pockets, 8-3/4 x 5-1/8, 10/Pack</t>
  </si>
  <si>
    <t>Carolyn Fisher</t>
  </si>
  <si>
    <t>Lexmark Z25 Color Inkjet Printer</t>
  </si>
  <si>
    <t>Sherwood</t>
  </si>
  <si>
    <t>Debra Proctor</t>
  </si>
  <si>
    <t>Avery 497</t>
  </si>
  <si>
    <t>Fort Wayne</t>
  </si>
  <si>
    <t>Dana Waller</t>
  </si>
  <si>
    <t>Bush Advantage Collection® Racetrack Conference Table</t>
  </si>
  <si>
    <t>Bozeman</t>
  </si>
  <si>
    <t>Victor Cherry</t>
  </si>
  <si>
    <t>Imation 5.2GB DVD-RAM</t>
  </si>
  <si>
    <t>Farmington Hills</t>
  </si>
  <si>
    <t>Malcolm S Lanier</t>
  </si>
  <si>
    <t>Speediset Carbonless Redi-Letter® 7" x 8 1/2"</t>
  </si>
  <si>
    <t>Flint</t>
  </si>
  <si>
    <t>Denise Carver</t>
  </si>
  <si>
    <t>Laminate Occasional Tables</t>
  </si>
  <si>
    <t>Cuyahoga Falls</t>
  </si>
  <si>
    <t>Mead 1st Gear 2" Zipper Binder, Asst. Colors</t>
  </si>
  <si>
    <t>Annette Boone</t>
  </si>
  <si>
    <t>Burlington</t>
  </si>
  <si>
    <t>Arlene Long</t>
  </si>
  <si>
    <t>Eldon® 200 Class™ Desk Accessories</t>
  </si>
  <si>
    <t>Kevin Smith</t>
  </si>
  <si>
    <t>Lake In The Hills</t>
  </si>
  <si>
    <t>Helen Stein</t>
  </si>
  <si>
    <t>Cincinnati</t>
  </si>
  <si>
    <t>Marc Ray</t>
  </si>
  <si>
    <t>Avery Hi-Liter® Fluorescent Desk Style Markers</t>
  </si>
  <si>
    <t>Mountain View</t>
  </si>
  <si>
    <t>Pamela Wiley</t>
  </si>
  <si>
    <t>Rick Foster Hawkins</t>
  </si>
  <si>
    <t>Hewlett-Packard Deskjet 6122 Color Inkjet Printer</t>
  </si>
  <si>
    <t>San Francisco</t>
  </si>
  <si>
    <t>Wallace Pugh</t>
  </si>
  <si>
    <t>Northbrook</t>
  </si>
  <si>
    <t>Jack Horn</t>
  </si>
  <si>
    <t>Office Star - Ergonomic Mid Back Chair with 2-Way Adjustable Arms</t>
  </si>
  <si>
    <t>Statesboro</t>
  </si>
  <si>
    <t>Robin Tyler</t>
  </si>
  <si>
    <t>i2000</t>
  </si>
  <si>
    <t>Murray</t>
  </si>
  <si>
    <t>Gretchen Ball</t>
  </si>
  <si>
    <t>Accessory27</t>
  </si>
  <si>
    <t>Pueblo</t>
  </si>
  <si>
    <t>Glenda Hunter</t>
  </si>
  <si>
    <t>Twentynine Palms</t>
  </si>
  <si>
    <t>Acme Galleria® Hot Forged Steel Scissors with Colored Handles</t>
  </si>
  <si>
    <t>Nathan Wyatt</t>
  </si>
  <si>
    <t>Pasco</t>
  </si>
  <si>
    <t>Phillip Chappell</t>
  </si>
  <si>
    <t>Redondo Beach</t>
  </si>
  <si>
    <t>Yvonne Clarke</t>
  </si>
  <si>
    <t>Southworth 25% Cotton Antique Laid Paper &amp; Envelopes</t>
  </si>
  <si>
    <t>Oscar Ford</t>
  </si>
  <si>
    <t>Burnsville</t>
  </si>
  <si>
    <t>Tommy Honeycutt</t>
  </si>
  <si>
    <t>Saint Peters</t>
  </si>
  <si>
    <t>Earl Roy</t>
  </si>
  <si>
    <t>Casselberry</t>
  </si>
  <si>
    <t>Advantus Push Pins, Aluminum Head</t>
  </si>
  <si>
    <t>Charlotte L Doyle</t>
  </si>
  <si>
    <t>Coral Gables</t>
  </si>
  <si>
    <t>BPI Conference Tables</t>
  </si>
  <si>
    <t>Larry Langston</t>
  </si>
  <si>
    <t>Avery 493</t>
  </si>
  <si>
    <t>Spartanburg</t>
  </si>
  <si>
    <t>Array® Parchment Paper, Assorted Colors</t>
  </si>
  <si>
    <t>HP Office Paper (20Lb. and 87 Bright)</t>
  </si>
  <si>
    <t>Logitech Cordless Navigator Duo</t>
  </si>
  <si>
    <t>Tara Gold</t>
  </si>
  <si>
    <t>GBC White Gloss Covers, Plain Front</t>
  </si>
  <si>
    <t>Hutchinson</t>
  </si>
  <si>
    <t>Charlotte Patterson</t>
  </si>
  <si>
    <t>Terre Haute</t>
  </si>
  <si>
    <t>Kathy Turner</t>
  </si>
  <si>
    <t>Depew</t>
  </si>
  <si>
    <t>Don Cameron</t>
  </si>
  <si>
    <t>Sanyo 2.5 Cubic Foot Mid-Size Office Refrigerators</t>
  </si>
  <si>
    <t>Annie Horne</t>
  </si>
  <si>
    <t>Post-it® “Important Message” Note Pad, Neon Colors, 50 Sheets/Pad</t>
  </si>
  <si>
    <t>Fort Myers</t>
  </si>
  <si>
    <t>Brian Leach</t>
  </si>
  <si>
    <t>Sanford Colorific Colored Pencils, 12/Box</t>
  </si>
  <si>
    <t>R380</t>
  </si>
  <si>
    <t>Stacy Gould</t>
  </si>
  <si>
    <t>Bay City</t>
  </si>
  <si>
    <t>Danielle Schneider</t>
  </si>
  <si>
    <t>Staples Battery-Operated Desktop Pencil Sharpener</t>
  </si>
  <si>
    <t>Canton</t>
  </si>
  <si>
    <t>Vanessa Boyer</t>
  </si>
  <si>
    <t>Howard Burnett</t>
  </si>
  <si>
    <t>Companion Letter/Legal File, Black</t>
  </si>
  <si>
    <t>Vernon Hirsch Singleton</t>
  </si>
  <si>
    <t>Bretford CR8500 Series Meeting Room Furniture</t>
  </si>
  <si>
    <t>Chico</t>
  </si>
  <si>
    <t>Jimmy Waters</t>
  </si>
  <si>
    <t>Fitchburg</t>
  </si>
  <si>
    <t>Brian Grady</t>
  </si>
  <si>
    <t>Eldon® Expressions™ Wood and Plastic Desk Accessories, Oak</t>
  </si>
  <si>
    <t>Catherine Dorsey Burnett</t>
  </si>
  <si>
    <t>Hewlett-Packard cp1700 [D, PS] Series Color Inkjet Printers</t>
  </si>
  <si>
    <t>East Los Angeles</t>
  </si>
  <si>
    <t>Hot File® 7-Pocket, Floor Stand</t>
  </si>
  <si>
    <t>Samantha Koch</t>
  </si>
  <si>
    <t>Space Solutions Commercial Steel Shelving</t>
  </si>
  <si>
    <t>Tucson</t>
  </si>
  <si>
    <t>Scott Feldman</t>
  </si>
  <si>
    <t>Polycom Soundstation EX Audio-Conferencing Telephone, Black</t>
  </si>
  <si>
    <t>Elizabeth</t>
  </si>
  <si>
    <t>Julie Porter</t>
  </si>
  <si>
    <t>ACCOHIDE® 3-Ring Binder, Blue, 1"</t>
  </si>
  <si>
    <t>Pittsburg</t>
  </si>
  <si>
    <t>Ampad #10 Peel &amp; Seel® Holiday Envelopes</t>
  </si>
  <si>
    <t>Nicole Reid</t>
  </si>
  <si>
    <t>Maxell 3.5" DS/HD IBM-Formatted Diskettes, 10/Pack</t>
  </si>
  <si>
    <t>University City</t>
  </si>
  <si>
    <t>Earl Alston</t>
  </si>
  <si>
    <t>Bevis Round Bullnose 29" High Table Top</t>
  </si>
  <si>
    <t>Greenville</t>
  </si>
  <si>
    <t>Melvin Kendall</t>
  </si>
  <si>
    <t>SouthWestern Bell FA970 Digital Answering Machine with Time/Day Stamp</t>
  </si>
  <si>
    <t>Clovis</t>
  </si>
  <si>
    <t>Lesro Sheffield Collection Coffee Table, End Table, Center Table, Corner Table</t>
  </si>
  <si>
    <t>StarTAC 8000</t>
  </si>
  <si>
    <t>Joel Buckley</t>
  </si>
  <si>
    <t>Lincoln</t>
  </si>
  <si>
    <t>Kathleen Huang Hall</t>
  </si>
  <si>
    <t>Acme® Preferred Stainless Steel Scissors</t>
  </si>
  <si>
    <t>Freeport</t>
  </si>
  <si>
    <t>Kristine Holden</t>
  </si>
  <si>
    <t>Kensington 6 Outlet Guardian Standard Surge Protector</t>
  </si>
  <si>
    <t>Mauldin</t>
  </si>
  <si>
    <t>Adam G Sawyer</t>
  </si>
  <si>
    <t>East Chicago</t>
  </si>
  <si>
    <t>Nelson Hensley</t>
  </si>
  <si>
    <t>Lillian Fischer</t>
  </si>
  <si>
    <t>Avery Trapezoid Extra Heavy Duty 4" Binders</t>
  </si>
  <si>
    <t>Turquoise Lead Holder with Pocket Clip</t>
  </si>
  <si>
    <t>Tonya Proctor</t>
  </si>
  <si>
    <t>Temecula</t>
  </si>
  <si>
    <t>Timeport L7089</t>
  </si>
  <si>
    <t>Xerox 1923</t>
  </si>
  <si>
    <t>Portfile® Personal File Boxes</t>
  </si>
  <si>
    <t>Marjorie Burnette</t>
  </si>
  <si>
    <t>Surelock™ Post Binders</t>
  </si>
  <si>
    <t>Cleveland</t>
  </si>
  <si>
    <t>Eugene Kerr</t>
  </si>
  <si>
    <t>i500plus</t>
  </si>
  <si>
    <t>Central Islip</t>
  </si>
  <si>
    <t>Tammy Buckley</t>
  </si>
  <si>
    <t>Tenex 46" x 60" Computer Anti-Static Chairmat, Rectangular Shaped</t>
  </si>
  <si>
    <t>Wyoming</t>
  </si>
  <si>
    <t>Cheyenne</t>
  </si>
  <si>
    <t>Ross Simpson</t>
  </si>
  <si>
    <t>Donna Craven</t>
  </si>
  <si>
    <t>Randallstown</t>
  </si>
  <si>
    <t>Binder Posts</t>
  </si>
  <si>
    <t>Mitchell Ross</t>
  </si>
  <si>
    <t>Burke</t>
  </si>
  <si>
    <t>Sherry Hurley</t>
  </si>
  <si>
    <t>Fayetteville</t>
  </si>
  <si>
    <t>Brandon E Shepherd</t>
  </si>
  <si>
    <t>South Dakota</t>
  </si>
  <si>
    <t>Sioux Falls</t>
  </si>
  <si>
    <t>Toni Swanson</t>
  </si>
  <si>
    <t>Jimmy Alston Holder</t>
  </si>
  <si>
    <t>Rosemary Branch</t>
  </si>
  <si>
    <t>Sharp EL500L Fraction Calculator</t>
  </si>
  <si>
    <t>Boca Raton</t>
  </si>
  <si>
    <t>Xerox 1894</t>
  </si>
  <si>
    <t>Hon 94000 Series Round Tables</t>
  </si>
  <si>
    <t>Larry Hall</t>
  </si>
  <si>
    <t>Birmingham</t>
  </si>
  <si>
    <t>Denise McIntosh</t>
  </si>
  <si>
    <t>Accessory24</t>
  </si>
  <si>
    <t>Marie Bass</t>
  </si>
  <si>
    <t>Avery Flip-Chart Easel Binder, Black</t>
  </si>
  <si>
    <t>Edward Bynum</t>
  </si>
  <si>
    <t>Chambersburg</t>
  </si>
  <si>
    <t>Maurice Everett</t>
  </si>
  <si>
    <t>Xerox 1930</t>
  </si>
  <si>
    <t>Tennsco Lockers, Gray</t>
  </si>
  <si>
    <t>Thomas Spence</t>
  </si>
  <si>
    <t>Idaho Falls</t>
  </si>
  <si>
    <t>Michael Robbins</t>
  </si>
  <si>
    <t>Euless</t>
  </si>
  <si>
    <t>Kerry Hardy</t>
  </si>
  <si>
    <t>Fort Lauderdale</t>
  </si>
  <si>
    <t>Gerald Raynor</t>
  </si>
  <si>
    <t>Imation 3.5" IBM-Formatted Diskettes, 10/Pack</t>
  </si>
  <si>
    <t>Horn Lake</t>
  </si>
  <si>
    <t>Global Enterprise Series Seating High-Back Swivel/Tilt Chairs</t>
  </si>
  <si>
    <t>Aaron Dillon</t>
  </si>
  <si>
    <t>Weatherford</t>
  </si>
  <si>
    <t>Avery White Multi-Purpose Labels</t>
  </si>
  <si>
    <t>Ultra Door Pull Handle</t>
  </si>
  <si>
    <t>Xerox 1920</t>
  </si>
  <si>
    <t>Alison Jones</t>
  </si>
  <si>
    <t>Talkabout T8097</t>
  </si>
  <si>
    <t>Wilmington</t>
  </si>
  <si>
    <t>Marvin Yang</t>
  </si>
  <si>
    <t>Lexmark Z54se Color Inkjet Printer</t>
  </si>
  <si>
    <t>Pearl</t>
  </si>
  <si>
    <t>Neil Hogan</t>
  </si>
  <si>
    <t>Snap-A-Way® Black Print Carbonless Ruled Speed Letter, Triplicate</t>
  </si>
  <si>
    <t>Tualatin</t>
  </si>
  <si>
    <t>Sarah Ramsey</t>
  </si>
  <si>
    <t>Staples Gold Paper Clips</t>
  </si>
  <si>
    <t>Syracuse</t>
  </si>
  <si>
    <t>StarTAC 7797</t>
  </si>
  <si>
    <t>Lloyd Norris</t>
  </si>
  <si>
    <t>Arlington Heights</t>
  </si>
  <si>
    <t>Gerald Kearney</t>
  </si>
  <si>
    <t>APC 7 Outlet Network SurgeArrest Surge Protector</t>
  </si>
  <si>
    <t>Aurora</t>
  </si>
  <si>
    <t>Andrew Pearce</t>
  </si>
  <si>
    <t>Hon Every-Day® Chair Series Swivel Task Chairs</t>
  </si>
  <si>
    <t>Tony Chandler</t>
  </si>
  <si>
    <t>Self-Adhesive Address Labels for Typewriters by Universal</t>
  </si>
  <si>
    <t>Highland Village</t>
  </si>
  <si>
    <t>Paige Jacobs</t>
  </si>
  <si>
    <t>Accessory28</t>
  </si>
  <si>
    <t>Friendswood</t>
  </si>
  <si>
    <t>Virginia McNeill</t>
  </si>
  <si>
    <t>GBC ProClick Spines for 32-Hole Punch</t>
  </si>
  <si>
    <t>Kenosha</t>
  </si>
  <si>
    <t>Leslie Jacobson</t>
  </si>
  <si>
    <t>El Mirage</t>
  </si>
  <si>
    <t>Stacy Byrne</t>
  </si>
  <si>
    <t>Westerville</t>
  </si>
  <si>
    <t>Herbert Beard</t>
  </si>
  <si>
    <t>Sulphur Springs</t>
  </si>
  <si>
    <t>Fellowes High-Stak® Drawer Files</t>
  </si>
  <si>
    <t>Erika Jordan</t>
  </si>
  <si>
    <t>O'Sullivan Living Dimensions 2-Shelf Bookcases</t>
  </si>
  <si>
    <t>Plum</t>
  </si>
  <si>
    <t>Paul Tate</t>
  </si>
  <si>
    <t>Jim Hinson</t>
  </si>
  <si>
    <t>Rochester Hills</t>
  </si>
  <si>
    <t>Joan Floyd</t>
  </si>
  <si>
    <t>Bevis 36 x 72 Conference Tables</t>
  </si>
  <si>
    <t>Gulfport</t>
  </si>
  <si>
    <t>Betty Giles</t>
  </si>
  <si>
    <t>Hewlett-Packard Deskjet 940 REFURBISHED Color Inkjet Printer</t>
  </si>
  <si>
    <t>Maple Grove</t>
  </si>
  <si>
    <t>Xerox 1997</t>
  </si>
  <si>
    <t>Louise Webster Sharma</t>
  </si>
  <si>
    <t>Xerox 1983</t>
  </si>
  <si>
    <t>Hickory</t>
  </si>
  <si>
    <t>Lawrence Haas</t>
  </si>
  <si>
    <t>Southworth Structures Collection™</t>
  </si>
  <si>
    <t>Port Saint Lucie</t>
  </si>
  <si>
    <t>Marvin Patrick</t>
  </si>
  <si>
    <t>Stanley Bostitch Contemporary Electric Pencil Sharpeners</t>
  </si>
  <si>
    <t>Detroit</t>
  </si>
  <si>
    <t>282</t>
  </si>
  <si>
    <t>Donald Melton</t>
  </si>
  <si>
    <t>Danielle Baird</t>
  </si>
  <si>
    <t>Kleencut® Forged Office Shears by Acme United Corporation</t>
  </si>
  <si>
    <t>Tiffany Merrill</t>
  </si>
  <si>
    <t>Newell 307</t>
  </si>
  <si>
    <t>Oakdale</t>
  </si>
  <si>
    <t>Irene Murphy</t>
  </si>
  <si>
    <t>Pullman</t>
  </si>
  <si>
    <t>Thomas McAllister</t>
  </si>
  <si>
    <t>80 Minute Slim Jewel Case CD-R , 10/Pack - Staples</t>
  </si>
  <si>
    <t>Pikesville</t>
  </si>
  <si>
    <t>Accessory34</t>
  </si>
  <si>
    <t>Glen Caldwell</t>
  </si>
  <si>
    <t>Edith Forbes</t>
  </si>
  <si>
    <t>2180</t>
  </si>
  <si>
    <t>Tewksbury</t>
  </si>
  <si>
    <t>Tenex Traditional Chairmats for Medium Pile Carpet, Standard Lip, 36" x 48"</t>
  </si>
  <si>
    <t>Lois Rowland</t>
  </si>
  <si>
    <t>Chromcraft Rectangular Conference Tables</t>
  </si>
  <si>
    <t>Santa Maria</t>
  </si>
  <si>
    <t>Neal Wolfe</t>
  </si>
  <si>
    <t>Julie Edwards</t>
  </si>
  <si>
    <t>Wesley Corbett</t>
  </si>
  <si>
    <t>Conroe</t>
  </si>
  <si>
    <t>Marcus Dunlap</t>
  </si>
  <si>
    <t>Roselle</t>
  </si>
  <si>
    <t>Doris Fitzpatrick</t>
  </si>
  <si>
    <t>Durable Pressboard Binders</t>
  </si>
  <si>
    <t>Carmel</t>
  </si>
  <si>
    <t>Adams Telephone Message Book w/Frequently-Called Numbers Space, 400 Messages per Book</t>
  </si>
  <si>
    <t>Bretford “Just In Time” Height-Adjustable Multi-Task Work Tables</t>
  </si>
  <si>
    <t>Geoffrey H Wong</t>
  </si>
  <si>
    <t>Rome</t>
  </si>
  <si>
    <t>Accessory15</t>
  </si>
  <si>
    <t>Jonathan Crabtree</t>
  </si>
  <si>
    <t>Addison</t>
  </si>
  <si>
    <t>Accessory37</t>
  </si>
  <si>
    <t>Shawn Combs</t>
  </si>
  <si>
    <t>Filing/Storage Totes and Swivel Casters</t>
  </si>
  <si>
    <t>Auburn</t>
  </si>
  <si>
    <t>Electrix 20W Halogen Replacement Bulb for Zoom-In Desk Lamp</t>
  </si>
  <si>
    <t>210 Trimline Phone, White</t>
  </si>
  <si>
    <t>Edna Michael</t>
  </si>
  <si>
    <t>Port Charlotte</t>
  </si>
  <si>
    <t>Jordan Womble</t>
  </si>
  <si>
    <t>Hays</t>
  </si>
  <si>
    <t>Global Leather Task Chair, Black</t>
  </si>
  <si>
    <t>Clyde Burnett</t>
  </si>
  <si>
    <t>Howard Miller 12-3/4 Diameter Accuwave DS ™ Wall Clock</t>
  </si>
  <si>
    <t>Coachella</t>
  </si>
  <si>
    <t>Canon Imageclass D680 Copier / Fax</t>
  </si>
  <si>
    <t>Ronnie Nolan</t>
  </si>
  <si>
    <t>Waterville</t>
  </si>
  <si>
    <t>Malcolm Floyd</t>
  </si>
  <si>
    <t>The Colony</t>
  </si>
  <si>
    <t>Hazel Jennings</t>
  </si>
  <si>
    <t>Imation 3.5", DISKETTE 44766 HGHLD3.52HD/FM, 10/Pack</t>
  </si>
  <si>
    <t>Patrick Byrne</t>
  </si>
  <si>
    <t>Molly Browning</t>
  </si>
  <si>
    <t>Hon 2111 Invitation™ Series Corner Table</t>
  </si>
  <si>
    <t>Glen Cove</t>
  </si>
  <si>
    <t>BOSTON® Ranger® #55 Pencil Sharpener, Black</t>
  </si>
  <si>
    <t>Robyn Garner</t>
  </si>
  <si>
    <t>Adams Telephone Message Books, 5 1/4” x 11”</t>
  </si>
  <si>
    <t>Redlands</t>
  </si>
  <si>
    <t>Chris Pritchard</t>
  </si>
  <si>
    <t>Deflect-o Glass Clear Studded Chair Mats</t>
  </si>
  <si>
    <t>West Valley City</t>
  </si>
  <si>
    <t>John Merritt</t>
  </si>
  <si>
    <t>White Dual Perf Computer Printout Paper, 2700 Sheets, 1 Part, Heavyweight, 20 lbs., 14 7/8 x 11</t>
  </si>
  <si>
    <t>Keller</t>
  </si>
  <si>
    <t>Vicki Bond</t>
  </si>
  <si>
    <t>Burbank</t>
  </si>
  <si>
    <t>Maureen Whitley</t>
  </si>
  <si>
    <t>DS/HD IBM Formatted Diskettes, 200/Pack - Staples</t>
  </si>
  <si>
    <t>Tamarac</t>
  </si>
  <si>
    <t>Molly Webster</t>
  </si>
  <si>
    <t>Wilson Jones Custom Binder Spines &amp; Labels</t>
  </si>
  <si>
    <t>Durango</t>
  </si>
  <si>
    <t>Sharp 1540cs Digital Laser Copier</t>
  </si>
  <si>
    <t>Multi-Use Personal File Cart and Caster Set, Three Stacking Bins</t>
  </si>
  <si>
    <t>Wallace Werner</t>
  </si>
  <si>
    <t>Vallejo</t>
  </si>
  <si>
    <t>Shawn Meyer</t>
  </si>
  <si>
    <t>5165</t>
  </si>
  <si>
    <t>Corsicana</t>
  </si>
  <si>
    <t>Geoffrey Koch</t>
  </si>
  <si>
    <t>Kankakee</t>
  </si>
  <si>
    <t>Gail Currin</t>
  </si>
  <si>
    <t>Xerox 1971</t>
  </si>
  <si>
    <t>Oxnard</t>
  </si>
  <si>
    <t>Cindy Harvey</t>
  </si>
  <si>
    <t>80 Minute CD-R Spindle, 100/Pack - Staples</t>
  </si>
  <si>
    <t>Tooele</t>
  </si>
  <si>
    <t>Monica Howard</t>
  </si>
  <si>
    <t>X-Rack™ File for Hanging Folders</t>
  </si>
  <si>
    <t>El Centro</t>
  </si>
  <si>
    <t>3390</t>
  </si>
  <si>
    <t>Samuel Newman</t>
  </si>
  <si>
    <t>Desktop 3-Pocket Hot File®</t>
  </si>
  <si>
    <t>Summerville</t>
  </si>
  <si>
    <t>Vincent Hale</t>
  </si>
  <si>
    <t>Newell 315</t>
  </si>
  <si>
    <t>Francis Kendall</t>
  </si>
  <si>
    <t>Albuquerque</t>
  </si>
  <si>
    <t>Wausau Papers Astrobrights® Colored Envelopes</t>
  </si>
  <si>
    <t>Eureka Disposable Bags for Sanitaire® Vibra Groomer I® Upright Vac</t>
  </si>
  <si>
    <t>Avery 510</t>
  </si>
  <si>
    <t>Dana Swing-Arm Lamps</t>
  </si>
  <si>
    <t>Gretchen McKinney</t>
  </si>
  <si>
    <t>Parma</t>
  </si>
  <si>
    <t>Michael Shaffer</t>
  </si>
  <si>
    <t>Executive Impressions 13" Clairmont Wall Clock</t>
  </si>
  <si>
    <t>Kissimmee</t>
  </si>
  <si>
    <t>Michele Bullard</t>
  </si>
  <si>
    <t>Orland Park</t>
  </si>
  <si>
    <t>Eldon Expressions™ Desk Accessory, Wood Pencil Holder, Oak</t>
  </si>
  <si>
    <t>Wayne Sutherland</t>
  </si>
  <si>
    <t>Ibico Covers for Plastic or Wire Binding Elements</t>
  </si>
  <si>
    <t>Downers Grove</t>
  </si>
  <si>
    <t>Hanging Personal Folder File</t>
  </si>
  <si>
    <t>Tennsco Double-Tier Lockers</t>
  </si>
  <si>
    <t>Wesley Waller</t>
  </si>
  <si>
    <t>Zoom V.92 USB External Faxmodem</t>
  </si>
  <si>
    <t>Phillip Holmes</t>
  </si>
  <si>
    <t>Arlington</t>
  </si>
  <si>
    <t>Sean McKenna</t>
  </si>
  <si>
    <t>Office Star Flex Back Scooter Chair with Aluminum Finish Frame</t>
  </si>
  <si>
    <t>Hobbs</t>
  </si>
  <si>
    <t>Erika Fink</t>
  </si>
  <si>
    <t>Eureka Sanitaire ® Multi-Pro Heavy-Duty Upright, Disposable Bags</t>
  </si>
  <si>
    <t>Salt Lake City</t>
  </si>
  <si>
    <t>CF 688</t>
  </si>
  <si>
    <t>Ricky Sanders</t>
  </si>
  <si>
    <t>Joliet</t>
  </si>
  <si>
    <t>Walter Young</t>
  </si>
  <si>
    <t>Pleasant Grove</t>
  </si>
  <si>
    <t>Lee Hancock</t>
  </si>
  <si>
    <t>Global Leather &amp; Oak Executive Chair, Burgundy</t>
  </si>
  <si>
    <t>Hunt Boston® Vacuum Mount KS Pencil Sharpener</t>
  </si>
  <si>
    <t>Carrie Lewis</t>
  </si>
  <si>
    <t>Eaton Premium Continuous-Feed Paper, 25% Cotton, Letter Size, White, 1000 Shts/Box</t>
  </si>
  <si>
    <t>Kettering</t>
  </si>
  <si>
    <t>Paula Hubbard</t>
  </si>
  <si>
    <t>Xerox 1938</t>
  </si>
  <si>
    <t>Kearns</t>
  </si>
  <si>
    <t>Shawn McIntyre</t>
  </si>
  <si>
    <t>Okidata ML390 Turbo Dot Matrix Printers</t>
  </si>
  <si>
    <t>Louisville</t>
  </si>
  <si>
    <t>Monica Law Thompson</t>
  </si>
  <si>
    <t>Texarkana</t>
  </si>
  <si>
    <t>Leo Kane</t>
  </si>
  <si>
    <t>Derby</t>
  </si>
  <si>
    <t>Hand-Finished Solid Wood Document Frame</t>
  </si>
  <si>
    <t>Miriam Bowman</t>
  </si>
  <si>
    <t>Wirebound Service Call Books, 5 1/2" x 4"</t>
  </si>
  <si>
    <t>Hollywood</t>
  </si>
  <si>
    <t>Iceberg OfficeWorks 42" Round Tables</t>
  </si>
  <si>
    <t>Ricky W Clements</t>
  </si>
  <si>
    <t>Vestavia Hills</t>
  </si>
  <si>
    <t>Roberta Mitchell</t>
  </si>
  <si>
    <t>9-3/4 Diameter Round Wall Clock</t>
  </si>
  <si>
    <t>Paris</t>
  </si>
  <si>
    <t>Fellowes Bases and Tops For Staxonsteel®/High-Stak® Systems</t>
  </si>
  <si>
    <t>Cameron Owens</t>
  </si>
  <si>
    <t>Covington</t>
  </si>
  <si>
    <t>Benjamin Porter</t>
  </si>
  <si>
    <t>Livonia</t>
  </si>
  <si>
    <t>Kathryn Tate</t>
  </si>
  <si>
    <t>Staples Copy Paper (20Lb. and 84 Bright)</t>
  </si>
  <si>
    <t>Marshall Brandt Briggs</t>
  </si>
  <si>
    <t>Maryville</t>
  </si>
  <si>
    <t>Roy Hardison</t>
  </si>
  <si>
    <t>Belkin Premiere Surge Master II 8-outlet surge protector</t>
  </si>
  <si>
    <t>Maureen Herbert Hood</t>
  </si>
  <si>
    <t>Global Leather and Oak Executive Chair, Black</t>
  </si>
  <si>
    <t>Appleton</t>
  </si>
  <si>
    <t>Nathan Jenkins</t>
  </si>
  <si>
    <t>T28 WORLD</t>
  </si>
  <si>
    <t>Pine Bluff</t>
  </si>
  <si>
    <t>Ray Grady</t>
  </si>
  <si>
    <t>Eagle Pass</t>
  </si>
  <si>
    <t>Benjamin Chan</t>
  </si>
  <si>
    <t>Redwood City</t>
  </si>
  <si>
    <t>Julian F Wolfe</t>
  </si>
  <si>
    <t>Hanover Park</t>
  </si>
  <si>
    <t>Louis Parrish</t>
  </si>
  <si>
    <t>Ibico Laser Imprintable Binding System Covers</t>
  </si>
  <si>
    <t>Dixon Ticonderoga Core-Lock Colored Pencils, 48-Color Set</t>
  </si>
  <si>
    <t>Edward Lamm</t>
  </si>
  <si>
    <t>Eldon® Gobal File Keepers</t>
  </si>
  <si>
    <t>New Hampshire</t>
  </si>
  <si>
    <t>Nashua</t>
  </si>
  <si>
    <t>Beth English</t>
  </si>
  <si>
    <t>Elmwood Park</t>
  </si>
  <si>
    <t>Faye Wolf</t>
  </si>
  <si>
    <t>South Orange</t>
  </si>
  <si>
    <t>Vincent Daniel</t>
  </si>
  <si>
    <t>Fruit Cove</t>
  </si>
  <si>
    <t>Helen H Heller</t>
  </si>
  <si>
    <t>Dana Fluorescent Magnifying Lamp, White, 36"</t>
  </si>
  <si>
    <t>Hacienda Heights</t>
  </si>
  <si>
    <t>Avery 494</t>
  </si>
  <si>
    <t>Sharon Ellis</t>
  </si>
  <si>
    <t>Deflect-o SuperTray™ Unbreakable Stackable Tray, Letter, Black</t>
  </si>
  <si>
    <t>Shoreview</t>
  </si>
  <si>
    <t>Rachel Casey</t>
  </si>
  <si>
    <t>Accessory41</t>
  </si>
  <si>
    <t>Marvin Rollins</t>
  </si>
  <si>
    <t>Stamford</t>
  </si>
  <si>
    <t>Paige Mason</t>
  </si>
  <si>
    <t>Hon GuestStacker Chair</t>
  </si>
  <si>
    <t>Norfolk</t>
  </si>
  <si>
    <t>Wilson Jones 14 Line Acrylic Coated Pressboard Data Binders</t>
  </si>
  <si>
    <t>Wilson Jones Ledger-Size, Piano-Hinge Binder, 2", Blue</t>
  </si>
  <si>
    <t>Vanessa Winstead</t>
  </si>
  <si>
    <t>Deluxe Rollaway Locking File with Drawer</t>
  </si>
  <si>
    <t>Pekin</t>
  </si>
  <si>
    <t>Elsie Pridgen</t>
  </si>
  <si>
    <t>Telephone Message Books with Fax/Mobile Section, 4 1/4" x 6"</t>
  </si>
  <si>
    <t>Laguna Hills</t>
  </si>
  <si>
    <t>Dana Burgess</t>
  </si>
  <si>
    <t>Xerox 1985</t>
  </si>
  <si>
    <t>Heather Stern</t>
  </si>
  <si>
    <t>Newington</t>
  </si>
  <si>
    <t>Hazel Khan</t>
  </si>
  <si>
    <t>Ann Steele</t>
  </si>
  <si>
    <t>Kirkland</t>
  </si>
  <si>
    <t>Sharp AL-1530CS Digital Copier</t>
  </si>
  <si>
    <t>Marcia Feldman</t>
  </si>
  <si>
    <t>TI 30X Scientific Calculator</t>
  </si>
  <si>
    <t>Little Rock</t>
  </si>
  <si>
    <t>Lloyd Dickson</t>
  </si>
  <si>
    <t>Xerox 1893</t>
  </si>
  <si>
    <t>Buffalo Grove</t>
  </si>
  <si>
    <t>Erin Ballard</t>
  </si>
  <si>
    <t>Gayle Pearson</t>
  </si>
  <si>
    <t>David Wrenn</t>
  </si>
  <si>
    <t>O'Sullivan Elevations Bookcase, Cherry Finish</t>
  </si>
  <si>
    <t>Georgetown</t>
  </si>
  <si>
    <t>Nelson Hong</t>
  </si>
  <si>
    <t>Hewlett-Packard 4.7GB DVD+R Discs</t>
  </si>
  <si>
    <t>Torrance</t>
  </si>
  <si>
    <t>600 Series Flip</t>
  </si>
  <si>
    <t>Gilbert Godfrey</t>
  </si>
  <si>
    <t>Economy Binders</t>
  </si>
  <si>
    <t>Sault Sainte Marie</t>
  </si>
  <si>
    <t>Nu-Form 106-Key Ergonomic Keyboard w/ Touchpad</t>
  </si>
  <si>
    <t>Xerox 1989</t>
  </si>
  <si>
    <t>Gregory Holden</t>
  </si>
  <si>
    <t>Global Commerce™ Series High-Back Swivel/Tilt Chairs</t>
  </si>
  <si>
    <t>Riverside</t>
  </si>
  <si>
    <t>Jennifer Stanton</t>
  </si>
  <si>
    <t>Winter Garden</t>
  </si>
  <si>
    <t>Gordon Brandt</t>
  </si>
  <si>
    <t>Lorraine Boykin</t>
  </si>
  <si>
    <t>Shirley</t>
  </si>
  <si>
    <t>Glenda Simon</t>
  </si>
  <si>
    <t>GBC VeloBinder Electric Binding Machine</t>
  </si>
  <si>
    <t>Camarillo</t>
  </si>
  <si>
    <t>Imation 3.5 IBM Formatted Diskettes, 10/Box</t>
  </si>
  <si>
    <t>V3682</t>
  </si>
  <si>
    <t>Eugene H Walsh</t>
  </si>
  <si>
    <t>Xerox 20</t>
  </si>
  <si>
    <t>Manitowoc</t>
  </si>
  <si>
    <t>Dwight Robinson</t>
  </si>
  <si>
    <t>1726 Digital Answering Machine</t>
  </si>
  <si>
    <t>Lynne Griffith</t>
  </si>
  <si>
    <t>Hagerstown</t>
  </si>
  <si>
    <t>Fiskars 8" Scissors, 2/Pack</t>
  </si>
  <si>
    <t>Stephen Lam</t>
  </si>
  <si>
    <t>Pahrump</t>
  </si>
  <si>
    <t>Fellowes Stor/Drawer® Steel Plus™ Storage Drawers</t>
  </si>
  <si>
    <t>Michael Tanner</t>
  </si>
  <si>
    <t>Fellowes EZ Multi-Media Keyboard</t>
  </si>
  <si>
    <t>Serrated Blade or Curved Handle Hand Letter Openers</t>
  </si>
  <si>
    <t>Faye Hanna</t>
  </si>
  <si>
    <t>El Dorado Hills</t>
  </si>
  <si>
    <t>Denise Parks</t>
  </si>
  <si>
    <t>Theresa Winters</t>
  </si>
  <si>
    <t>Bryant</t>
  </si>
  <si>
    <t>KF 788</t>
  </si>
  <si>
    <t>Josephine Rao</t>
  </si>
  <si>
    <t>Hammond</t>
  </si>
  <si>
    <t>Harold Albright</t>
  </si>
  <si>
    <t>Caroline Stone</t>
  </si>
  <si>
    <t>Memo Book, 100 Message Capacity, 5 3/8” x 11”</t>
  </si>
  <si>
    <t>Edwin Coley</t>
  </si>
  <si>
    <t>Staples 1 Part Blank Computer Paper</t>
  </si>
  <si>
    <t>Mansfield</t>
  </si>
  <si>
    <t>12-1/2 Diameter Round Wall Clock</t>
  </si>
  <si>
    <t>Tracy Buckley</t>
  </si>
  <si>
    <t>Executive Impressions 14" Contract Wall Clock</t>
  </si>
  <si>
    <t>North Little Rock</t>
  </si>
  <si>
    <t>Judith Shepherd</t>
  </si>
  <si>
    <t>Muskego</t>
  </si>
  <si>
    <t>Donna Braun</t>
  </si>
  <si>
    <t>Hoover</t>
  </si>
  <si>
    <t>Anita Kent</t>
  </si>
  <si>
    <t>Linden</t>
  </si>
  <si>
    <t>Jacob Hirsch</t>
  </si>
  <si>
    <t>Epson LQ-870 Dot Matrix Printer</t>
  </si>
  <si>
    <t>Barrington</t>
  </si>
  <si>
    <t>Sidney Gilliam</t>
  </si>
  <si>
    <t>Rush Hierlooms Collection 1" Thick Stackable Bookcases</t>
  </si>
  <si>
    <t>Riverview</t>
  </si>
  <si>
    <t>Lynn Morrow</t>
  </si>
  <si>
    <t>Avery 501</t>
  </si>
  <si>
    <t>Salem</t>
  </si>
  <si>
    <t>Shannon Aldridge</t>
  </si>
  <si>
    <t>North Olmsted</t>
  </si>
  <si>
    <t>Susan Carroll Berman</t>
  </si>
  <si>
    <t>Carole Miller</t>
  </si>
  <si>
    <t>Austintown</t>
  </si>
  <si>
    <t>Lynn O'Donnell</t>
  </si>
  <si>
    <t>Elgin</t>
  </si>
  <si>
    <t>Manila Recycled Extra-Heavyweight Clasp Envelopes, 6" x 9"</t>
  </si>
  <si>
    <t>Peter McConnell</t>
  </si>
  <si>
    <t>Columbus</t>
  </si>
  <si>
    <t>3M Organizer Strips</t>
  </si>
  <si>
    <t>Imation 3.5 IBM Diskettes, 10/Box</t>
  </si>
  <si>
    <t>GE 4 Foot Flourescent Tube, 40 Watt</t>
  </si>
  <si>
    <t>300 Series Non-Flip</t>
  </si>
  <si>
    <t>Katie Dougherty</t>
  </si>
  <si>
    <t>Hoover Replacement Belts For Soft Guard™ &amp; Commercial Ltweight Upright Vacs, 2/Pk</t>
  </si>
  <si>
    <t>Spanaway</t>
  </si>
  <si>
    <t>Ibico Ibimaster 300 Manual Binding System</t>
  </si>
  <si>
    <t>Laurence Poe</t>
  </si>
  <si>
    <t>Spokane</t>
  </si>
  <si>
    <t>Sally Dunn</t>
  </si>
  <si>
    <t>Tenex Contemporary Contur Chairmats for Low and Medium Pile Carpet, Computer, 39" x 49"</t>
  </si>
  <si>
    <t>Tuscaloosa</t>
  </si>
  <si>
    <t>Debra Batchelor</t>
  </si>
  <si>
    <t>Moscow</t>
  </si>
  <si>
    <t>Eldon Shelf Savers™ Cubes and Bins</t>
  </si>
  <si>
    <t>Lewis Baldwin</t>
  </si>
  <si>
    <t>Montclair</t>
  </si>
  <si>
    <t>Elsie Lane</t>
  </si>
  <si>
    <t>Presstex Flexible Ring Binders</t>
  </si>
  <si>
    <t>Midland</t>
  </si>
  <si>
    <t>Erica R Fuller</t>
  </si>
  <si>
    <t>Clayton</t>
  </si>
  <si>
    <t>Roy Rouse</t>
  </si>
  <si>
    <t>Coeur D Alene</t>
  </si>
  <si>
    <t>Heavy-Duty E-Z-D® Binders</t>
  </si>
  <si>
    <t>Kerry Green</t>
  </si>
  <si>
    <t>Staples #10 Laser &amp; Inkjet Envelopes, 4 1/8" x 9 1/2", 100/Box</t>
  </si>
  <si>
    <t>Indianapolis</t>
  </si>
  <si>
    <t>Frances Jackson</t>
  </si>
  <si>
    <t>Jeffersonville</t>
  </si>
  <si>
    <t>Cynthia Khan</t>
  </si>
  <si>
    <t>Xerox 1950</t>
  </si>
  <si>
    <t>Xerox 224</t>
  </si>
  <si>
    <t>Penny Rich</t>
  </si>
  <si>
    <t>Xerox 1896</t>
  </si>
  <si>
    <t>Minnetonka Mills</t>
  </si>
  <si>
    <t>Ashley Reese</t>
  </si>
  <si>
    <t>Avery® Durable Slant Ring Binders With Label Holder</t>
  </si>
  <si>
    <t>Saint Louis</t>
  </si>
  <si>
    <t>Eileen Riddle</t>
  </si>
  <si>
    <t>Xerox 204</t>
  </si>
  <si>
    <t>Roy</t>
  </si>
  <si>
    <t>Penny O Caldwell</t>
  </si>
  <si>
    <t>Bush® Cubix Conference Tables, Fully Assembled</t>
  </si>
  <si>
    <t>Jeff Spivey</t>
  </si>
  <si>
    <t>Euro Pro Shark Stick Mini Vacuum</t>
  </si>
  <si>
    <t>Stephanie Sun Perry</t>
  </si>
  <si>
    <t>GBC Wire Binding Strips</t>
  </si>
  <si>
    <t>Saratoga</t>
  </si>
  <si>
    <t>Bob Gibson</t>
  </si>
  <si>
    <t>Hon Comfortask® Task/Swivel Chairs</t>
  </si>
  <si>
    <t>Port Huron</t>
  </si>
  <si>
    <t>Panasonic KX-P3626 Dot Matrix Printer</t>
  </si>
  <si>
    <t>Jesse Hutchinson</t>
  </si>
  <si>
    <t>Zebra Zazzle Fluorescent Highlighters</t>
  </si>
  <si>
    <t>Goleta</t>
  </si>
  <si>
    <t>Holmes Cool Mist Humidifier for the Whole House with 8-Gallon Output per Day, Extended Life Filter</t>
  </si>
  <si>
    <t>Allen Nash</t>
  </si>
  <si>
    <t>Waynesboro</t>
  </si>
  <si>
    <t>Joel Burnette</t>
  </si>
  <si>
    <t>Dunwoody</t>
  </si>
  <si>
    <t>Leslie Hawley</t>
  </si>
  <si>
    <t>Canon MP25DIII Desktop Whisper-Quiet Printing Calculator</t>
  </si>
  <si>
    <t>Tulsa</t>
  </si>
  <si>
    <t>Richard McClure</t>
  </si>
  <si>
    <t>Thornton</t>
  </si>
  <si>
    <t>Bush Heritage Pine Collection 5-Shelf Bookcase, Albany Pine Finish, *Special Order</t>
  </si>
  <si>
    <t>i470</t>
  </si>
  <si>
    <t>Kathy Shah</t>
  </si>
  <si>
    <t>Garner</t>
  </si>
  <si>
    <t>Theodore Tyson</t>
  </si>
  <si>
    <t>Romeoville</t>
  </si>
  <si>
    <t>Nicole Pope</t>
  </si>
  <si>
    <t>#10- 4 1/8" x 9 1/2" Security-Tint Envelopes</t>
  </si>
  <si>
    <t>Rocky Mount</t>
  </si>
  <si>
    <t>Hewlett-Packard Deskjet 1220Cse Color Inkjet Printer</t>
  </si>
  <si>
    <t>Rick Ellis</t>
  </si>
  <si>
    <t>AT&amp;T 2230 Dual Handset Phone With Caller ID/Call Waiting</t>
  </si>
  <si>
    <t>Angela Rose</t>
  </si>
  <si>
    <t>Xerox 1961</t>
  </si>
  <si>
    <t>Lorraine Kelly</t>
  </si>
  <si>
    <t>6160</t>
  </si>
  <si>
    <t>Puyallup</t>
  </si>
  <si>
    <t>Elisabeth Massey</t>
  </si>
  <si>
    <t>Avery 479</t>
  </si>
  <si>
    <t>Prescott</t>
  </si>
  <si>
    <t>Kate Lehman</t>
  </si>
  <si>
    <t>Westinghouse Clip-On Gooseneck Lamps</t>
  </si>
  <si>
    <t>Dundalk</t>
  </si>
  <si>
    <t>Gloria Jacobs</t>
  </si>
  <si>
    <t>Eldon® 200 Class™ Desk Accessories, Burgundy</t>
  </si>
  <si>
    <t>Elmira</t>
  </si>
  <si>
    <t>Laurence Hull</t>
  </si>
  <si>
    <t>Portage</t>
  </si>
  <si>
    <t>Alison Stewart</t>
  </si>
  <si>
    <t>US Robotics 56K V.92 External Faxmodem</t>
  </si>
  <si>
    <t>Des Plaines</t>
  </si>
  <si>
    <t>Fellowes Staxonsteel® Drawer Files</t>
  </si>
  <si>
    <t>Accessory39</t>
  </si>
  <si>
    <t>Andrea Shaw</t>
  </si>
  <si>
    <t>Crate-A-Files™</t>
  </si>
  <si>
    <t>Danville</t>
  </si>
  <si>
    <t>Avery Hanging File Binders</t>
  </si>
  <si>
    <t>Amanda Conner</t>
  </si>
  <si>
    <t>Papillion</t>
  </si>
  <si>
    <t>Anne Bland</t>
  </si>
  <si>
    <t>Channelview</t>
  </si>
  <si>
    <t>Xerox 1973</t>
  </si>
  <si>
    <t>Brian Bennett</t>
  </si>
  <si>
    <t>Cheektowaga</t>
  </si>
  <si>
    <t>Anne Schultz</t>
  </si>
  <si>
    <t>Accessory4</t>
  </si>
  <si>
    <t>Athens</t>
  </si>
  <si>
    <t>Megan York</t>
  </si>
  <si>
    <t>Caldwell</t>
  </si>
  <si>
    <t>Yvonne Fox</t>
  </si>
  <si>
    <t>Tenex B1-RE Series Chair Mats for Low Pile Carpets</t>
  </si>
  <si>
    <t>Watauga</t>
  </si>
  <si>
    <t>Francis Spivey</t>
  </si>
  <si>
    <t>Lynda Herman</t>
  </si>
  <si>
    <t>Rodney Kearney</t>
  </si>
  <si>
    <t>Metairie</t>
  </si>
  <si>
    <t>Kent Burton</t>
  </si>
  <si>
    <t>Delaware</t>
  </si>
  <si>
    <t>Jessica Huffman</t>
  </si>
  <si>
    <t>Dublin</t>
  </si>
  <si>
    <t>Rhonda Stein</t>
  </si>
  <si>
    <t>i270</t>
  </si>
  <si>
    <t>Salisbury</t>
  </si>
  <si>
    <t>Vickie Morse</t>
  </si>
  <si>
    <t>Xerox 210</t>
  </si>
  <si>
    <t>Reisterstown</t>
  </si>
  <si>
    <t>Arnold Floyd Blair</t>
  </si>
  <si>
    <t>Rock Hill</t>
  </si>
  <si>
    <t>Rhonda Bryant</t>
  </si>
  <si>
    <t>Xerox 216</t>
  </si>
  <si>
    <t>Winter Haven</t>
  </si>
  <si>
    <t>Fellowes Recycled Storage Drawers</t>
  </si>
  <si>
    <t>Alison Peters Wooten</t>
  </si>
  <si>
    <t>West Islip</t>
  </si>
  <si>
    <t>Neal Weber</t>
  </si>
  <si>
    <t>Rita Barton</t>
  </si>
  <si>
    <t>Ridgewood</t>
  </si>
  <si>
    <t>Lynn Bell</t>
  </si>
  <si>
    <t>Linden® 12" Wall Clock With Oak Frame</t>
  </si>
  <si>
    <t>Bennington</t>
  </si>
  <si>
    <t>Colleen Marsh</t>
  </si>
  <si>
    <t>Global Leather Highback Executive Chair with Pneumatic Height Adjustment, Black</t>
  </si>
  <si>
    <t>Ken H Frazier</t>
  </si>
  <si>
    <t>StarTAC 7760</t>
  </si>
  <si>
    <t>Oakton</t>
  </si>
  <si>
    <t>Ricky Allred</t>
  </si>
  <si>
    <t>Columbia</t>
  </si>
  <si>
    <t>Jeanne Werner</t>
  </si>
  <si>
    <t>O'Sullivan Living Dimensions 3-Shelf Bookcases</t>
  </si>
  <si>
    <t>Sandra Sharma</t>
  </si>
  <si>
    <t>Morristown</t>
  </si>
  <si>
    <t>Laurie Petty</t>
  </si>
  <si>
    <t>Jupiter</t>
  </si>
  <si>
    <t>Charlie Moore</t>
  </si>
  <si>
    <t>Anderson</t>
  </si>
  <si>
    <t>Edgar Stone</t>
  </si>
  <si>
    <t>Peggy Lanier</t>
  </si>
  <si>
    <t>Angle-D Binders with Locking Rings, Label Holders</t>
  </si>
  <si>
    <t>Roseville</t>
  </si>
  <si>
    <t>Dorothy Holt</t>
  </si>
  <si>
    <t>Advantus Employee of the Month Certificate Frame, 11 x 13-1/2</t>
  </si>
  <si>
    <t>Irving</t>
  </si>
  <si>
    <t>Beverly Cooke Brooks</t>
  </si>
  <si>
    <t>SC7868i</t>
  </si>
  <si>
    <t>Stratford</t>
  </si>
  <si>
    <t>Lindsay Link</t>
  </si>
  <si>
    <t>Belkin 107-key enhanced keyboard, USB/PS/2 interface</t>
  </si>
  <si>
    <t>Lewiston</t>
  </si>
  <si>
    <t>Emma Bloom</t>
  </si>
  <si>
    <t>Seth Thomas 14" Putty-Colored Wall Clock</t>
  </si>
  <si>
    <t>Rock Springs</t>
  </si>
  <si>
    <t>Marvin Parrott</t>
  </si>
  <si>
    <t>Newell 310</t>
  </si>
  <si>
    <t>Duluth</t>
  </si>
  <si>
    <t>Sandy Ellington</t>
  </si>
  <si>
    <t>Reno</t>
  </si>
  <si>
    <t>Eugene Brewer Knox</t>
  </si>
  <si>
    <t>Acco® Hot Clips™ Clips to Go</t>
  </si>
  <si>
    <t>Bethpage</t>
  </si>
  <si>
    <t>Leah Davenport</t>
  </si>
  <si>
    <t>Storex DuraTech Recycled Plastic Frosted Binders</t>
  </si>
  <si>
    <t>Hesperia</t>
  </si>
  <si>
    <t>Brett Ingram</t>
  </si>
  <si>
    <t>Harker Heights</t>
  </si>
  <si>
    <t>Emma Buckley</t>
  </si>
  <si>
    <t>Holmes Replacement Filter for HEPA Air Cleaner, Very Large Room, HEPA Filter</t>
  </si>
  <si>
    <t>Boston 1730 StandUp Electric Pencil Sharpener</t>
  </si>
  <si>
    <t>Erik Barr</t>
  </si>
  <si>
    <t>Xerox 1982</t>
  </si>
  <si>
    <t>Calumet City</t>
  </si>
  <si>
    <t>Tom Hoyle Honeycutt</t>
  </si>
  <si>
    <t>Eldon Cleatmat® Chair Mats for Medium Pile Carpets</t>
  </si>
  <si>
    <t>Warren</t>
  </si>
  <si>
    <t>Bradley Schroeder</t>
  </si>
  <si>
    <t>Fellowes PB300 Plastic Comb Binding Machine</t>
  </si>
  <si>
    <t>Sharon Long</t>
  </si>
  <si>
    <t>Master Giant Foot® Doorstop, Safety Yellow</t>
  </si>
  <si>
    <t>Marietta</t>
  </si>
  <si>
    <t>Lindsay O'Connell</t>
  </si>
  <si>
    <t>Canon BP1200DH 12-Digit Bubble Jet Printing Calculator</t>
  </si>
  <si>
    <t>688</t>
  </si>
  <si>
    <t>Teresa Bishop</t>
  </si>
  <si>
    <t>Staples Surge Protector 6 outlet</t>
  </si>
  <si>
    <t>Bakersfield</t>
  </si>
  <si>
    <t>Eldon Radial Chair Mat for Low to Medium Pile Carpets</t>
  </si>
  <si>
    <t>Bobby Clements</t>
  </si>
  <si>
    <t>Joyce Knox</t>
  </si>
  <si>
    <t>Imation Neon Mac Format Diskettes, 10/Pack</t>
  </si>
  <si>
    <t>Parkersburg</t>
  </si>
  <si>
    <t>Chris Ford</t>
  </si>
  <si>
    <t>Camp Springs</t>
  </si>
  <si>
    <t>Anthony Foley</t>
  </si>
  <si>
    <t>Joyce Kern</t>
  </si>
  <si>
    <t>Xerox 1974</t>
  </si>
  <si>
    <t>Sterling Heights</t>
  </si>
  <si>
    <t>Jenny Hawkins</t>
  </si>
  <si>
    <t>Stevens Point</t>
  </si>
  <si>
    <t>Grace McNeill Hunt</t>
  </si>
  <si>
    <t>Sudbury</t>
  </si>
  <si>
    <t>Quality Park Security Envelopes</t>
  </si>
  <si>
    <t>Beverly Cameron</t>
  </si>
  <si>
    <t>Apex</t>
  </si>
  <si>
    <t>Carolyn Hoffman</t>
  </si>
  <si>
    <t>Honeywell Quietcare HEPA Air Cleaner</t>
  </si>
  <si>
    <t>Xerox 1908</t>
  </si>
  <si>
    <t>Arnold Gay</t>
  </si>
  <si>
    <t>Bush Cubix Collection Bookcases, Fully Assembled</t>
  </si>
  <si>
    <t>Chandler</t>
  </si>
  <si>
    <t>Edward Leonard</t>
  </si>
  <si>
    <t>Avery 49</t>
  </si>
  <si>
    <t>Fresno</t>
  </si>
  <si>
    <t>Renee Alston</t>
  </si>
  <si>
    <t>Pressboard Data Binder, Crimson, 12" X 8 1/2"</t>
  </si>
  <si>
    <t>Drexel Hill</t>
  </si>
  <si>
    <t>8860</t>
  </si>
  <si>
    <t>Geraldine Puckett</t>
  </si>
  <si>
    <t>Deborah Paul</t>
  </si>
  <si>
    <t>West Linn</t>
  </si>
  <si>
    <t>Brother DCP1000 Digital 3 in 1 Multifunction Machine</t>
  </si>
  <si>
    <t>Toni Owens Poe</t>
  </si>
  <si>
    <t>GBC Standard Therm-A-Bind Covers</t>
  </si>
  <si>
    <t>Munster</t>
  </si>
  <si>
    <t>Staples Premium Bright 1-Part Blank Computer Paper</t>
  </si>
  <si>
    <t>Robyn Hayes</t>
  </si>
  <si>
    <t>Sanford 52201 APSCO Electric Pencil Sharpener</t>
  </si>
  <si>
    <t>Brentwood</t>
  </si>
  <si>
    <t>Bob Berg</t>
  </si>
  <si>
    <t>Panasonic KP-310 Heavy-Duty Electric Pencil Sharpener</t>
  </si>
  <si>
    <t>North Miami</t>
  </si>
  <si>
    <t>Stuart C Robinson</t>
  </si>
  <si>
    <t>North Ridgeville</t>
  </si>
  <si>
    <t>Diane Lu</t>
  </si>
  <si>
    <t>Tallahassee</t>
  </si>
  <si>
    <t>Joy Kaplan McNeill</t>
  </si>
  <si>
    <t>Xerox 23</t>
  </si>
  <si>
    <t>Carlsbad</t>
  </si>
  <si>
    <t>Erika Morgan</t>
  </si>
  <si>
    <t>Seymour</t>
  </si>
  <si>
    <t>Marianne Connor</t>
  </si>
  <si>
    <t>Lawrence Hester</t>
  </si>
  <si>
    <t>Xerox 1976</t>
  </si>
  <si>
    <t>Alexander O'Brien</t>
  </si>
  <si>
    <t>Houston</t>
  </si>
  <si>
    <t>Christopher Bryant</t>
  </si>
  <si>
    <t>Rush Hierlooms Collection Rich Wood Bookcases</t>
  </si>
  <si>
    <t>Santa Clara</t>
  </si>
  <si>
    <t>Ruby Gibbons</t>
  </si>
  <si>
    <t>High Speed Automatic Electric Letter Opener</t>
  </si>
  <si>
    <t>Forest Park</t>
  </si>
  <si>
    <t>Benjamin Kaufman</t>
  </si>
  <si>
    <t>Belkin 105-Key Black Keyboard</t>
  </si>
  <si>
    <t>Belchertown</t>
  </si>
  <si>
    <t>Amy Shea</t>
  </si>
  <si>
    <t>Ottumwa</t>
  </si>
  <si>
    <t>Xerox 1891</t>
  </si>
  <si>
    <t>Jeanne Nguyen</t>
  </si>
  <si>
    <t>DAX Wood Document Frame.</t>
  </si>
  <si>
    <t>Fairborn</t>
  </si>
  <si>
    <t>Connie Bunn</t>
  </si>
  <si>
    <t>Marshalltown</t>
  </si>
  <si>
    <t>Daniel Huff</t>
  </si>
  <si>
    <t>West Allis</t>
  </si>
  <si>
    <t>Nu-Dell Executive Frame</t>
  </si>
  <si>
    <t>Alicia Curtis</t>
  </si>
  <si>
    <t>Xerox 200</t>
  </si>
  <si>
    <t>Tacoma</t>
  </si>
  <si>
    <t>Danielle Daniel</t>
  </si>
  <si>
    <t>Malcolm French</t>
  </si>
  <si>
    <t>Acme Kleencut® Forged Steel Scissors</t>
  </si>
  <si>
    <t>Merrimack</t>
  </si>
  <si>
    <t>Tenex Personal Project File with Scoop Front Design, Black</t>
  </si>
  <si>
    <t>Lee Xu</t>
  </si>
  <si>
    <t>Gretchen Best Wilkins</t>
  </si>
  <si>
    <t>Fellowes Smart Design 104-Key Enhanced Keyboard, PS/2 Adapter, Platinum</t>
  </si>
  <si>
    <t>Lynnwood</t>
  </si>
  <si>
    <t>Norman Shields</t>
  </si>
  <si>
    <t>Vacaville</t>
  </si>
  <si>
    <t>Cathy Simon</t>
  </si>
  <si>
    <t>Council Bluffs</t>
  </si>
  <si>
    <t>Epson DFX5000+ Dot Matrix Printer</t>
  </si>
  <si>
    <t>Newell 320</t>
  </si>
  <si>
    <t>Franklin Spencer</t>
  </si>
  <si>
    <t>Adesso Programmable 142-Key Keyboard</t>
  </si>
  <si>
    <t>Emporia</t>
  </si>
  <si>
    <t>Eileen McDonald</t>
  </si>
  <si>
    <t>Sally House</t>
  </si>
  <si>
    <t>Tara Powers Underwood</t>
  </si>
  <si>
    <t>Laurie Moon</t>
  </si>
  <si>
    <t>Ossining</t>
  </si>
  <si>
    <t>Fellowes Mighty 8 Compact Surge Protector</t>
  </si>
  <si>
    <t>Phyllis Little</t>
  </si>
  <si>
    <t>Bartlett</t>
  </si>
  <si>
    <t>Ellen Sparks</t>
  </si>
  <si>
    <t>Accessory21</t>
  </si>
  <si>
    <t>Neenah</t>
  </si>
  <si>
    <t>Patsy Harmon</t>
  </si>
  <si>
    <t>Lufkin</t>
  </si>
  <si>
    <t>Joe D Dean</t>
  </si>
  <si>
    <t>Beverly Roberts</t>
  </si>
  <si>
    <t>Savannah</t>
  </si>
  <si>
    <t>Christopher Norton Patterson</t>
  </si>
  <si>
    <t>Staples SlimLine Pencil Sharpener</t>
  </si>
  <si>
    <t>Macon</t>
  </si>
  <si>
    <t>Robert Cowan</t>
  </si>
  <si>
    <t>Pueblo West</t>
  </si>
  <si>
    <t>Edwin Chung</t>
  </si>
  <si>
    <t>Natick</t>
  </si>
  <si>
    <t>Tiffany Grossman Hardin</t>
  </si>
  <si>
    <t>Sandwich</t>
  </si>
  <si>
    <t>Larry Church</t>
  </si>
  <si>
    <t>Tennsco Industrial Shelving</t>
  </si>
  <si>
    <t>Highland</t>
  </si>
  <si>
    <t>Laurence Cummings</t>
  </si>
  <si>
    <t>Lehigh Acres</t>
  </si>
  <si>
    <t>Gene Gilliam</t>
  </si>
  <si>
    <t>Balt Split Level Computer Training Table</t>
  </si>
  <si>
    <t>Willie Robinson</t>
  </si>
  <si>
    <t>Coram</t>
  </si>
  <si>
    <t>Advantus Map Pennant Flags and Round Head Tacks</t>
  </si>
  <si>
    <t>Novimex Turbo Task Chair</t>
  </si>
  <si>
    <t>Kara Foster</t>
  </si>
  <si>
    <t>Lock-Up Easel 'Spel-Binder'</t>
  </si>
  <si>
    <t>Marion</t>
  </si>
  <si>
    <t>Neil Song</t>
  </si>
  <si>
    <t>Decoflex Hanging Personal Folder File</t>
  </si>
  <si>
    <t>Pflugerville</t>
  </si>
  <si>
    <t>Kimberly Reilly</t>
  </si>
  <si>
    <t>Killeen</t>
  </si>
  <si>
    <t>Ellen Beck</t>
  </si>
  <si>
    <t>Scottsdale</t>
  </si>
  <si>
    <t>Xerox 1964</t>
  </si>
  <si>
    <t>Nina Bowles</t>
  </si>
  <si>
    <t>Bionaire Personal Warm Mist Humidifier/Vaporizer</t>
  </si>
  <si>
    <t>Eldon Expressions Punched Metal &amp; Wood Desk Accessories, Pewter &amp; Cherry</t>
  </si>
  <si>
    <t>David Hoyle</t>
  </si>
  <si>
    <t>Tensor Computer Mounted Lamp</t>
  </si>
  <si>
    <t>Bloomington</t>
  </si>
  <si>
    <t>Gladys Holloway</t>
  </si>
  <si>
    <t>Accessory17</t>
  </si>
  <si>
    <t>Oakland Park</t>
  </si>
  <si>
    <t>DMI Eclipse Executive Suite Bookcases</t>
  </si>
  <si>
    <t>James Nicholson</t>
  </si>
  <si>
    <t>Annandale</t>
  </si>
  <si>
    <t>Joseph Hurst</t>
  </si>
  <si>
    <t>Ibico Presentation Index for Binding Systems</t>
  </si>
  <si>
    <t>Levittown</t>
  </si>
  <si>
    <t>Xerox 207</t>
  </si>
  <si>
    <t>Sara O'Connor</t>
  </si>
  <si>
    <t>Loveland</t>
  </si>
  <si>
    <t>Xerox 1933</t>
  </si>
  <si>
    <t>Tim Connolly</t>
  </si>
  <si>
    <t>Sauder Forest Hills Library, Woodland Oak Finish</t>
  </si>
  <si>
    <t>Inver Grove Heights</t>
  </si>
  <si>
    <t>Talkabout T8367</t>
  </si>
  <si>
    <t>Robert Rollins</t>
  </si>
  <si>
    <t>Microsoft Natural Multimedia Keyboard</t>
  </si>
  <si>
    <t>Newnan</t>
  </si>
  <si>
    <t>Sanford Liquid Accent Highlighters</t>
  </si>
  <si>
    <t>Annette McIntyre</t>
  </si>
  <si>
    <t>Xerox 1936</t>
  </si>
  <si>
    <t>Kennesaw</t>
  </si>
  <si>
    <t>Claudia Webb</t>
  </si>
  <si>
    <t>Iris® 3-Drawer Stacking Bin, Black</t>
  </si>
  <si>
    <t>Indian Trail</t>
  </si>
  <si>
    <t>Sandra Faulkner</t>
  </si>
  <si>
    <t>Holmes Harmony HEPA Air Purifier for 17 x 20 Room</t>
  </si>
  <si>
    <t>Portsmouth</t>
  </si>
  <si>
    <t>Christina Zhu</t>
  </si>
  <si>
    <t>Lumber Crayons</t>
  </si>
  <si>
    <t>Canon P1-DHIII Palm Printing Calculator</t>
  </si>
  <si>
    <t>Jessie Kelly</t>
  </si>
  <si>
    <t>Logitech Access Keyboard</t>
  </si>
  <si>
    <t>Johnny Reid</t>
  </si>
  <si>
    <t>Crown Point</t>
  </si>
  <si>
    <t>Deflect-o EconoMat Nonstudded, No Bevel Mat</t>
  </si>
  <si>
    <t>Xerox 1882</t>
  </si>
  <si>
    <t>Letter/Legal File Tote with Clear Snap-On Lid, Black Granite</t>
  </si>
  <si>
    <t>Executive Impressions 13-1/2" Indoor/Outdoor Wall Clock</t>
  </si>
  <si>
    <t>Marion Owens</t>
  </si>
  <si>
    <t>Bethlehem</t>
  </si>
  <si>
    <t>Marvin MacDonald</t>
  </si>
  <si>
    <t>Recycled Desk Saver Line "While You Were Out" Book, 5 1/2" X 4"</t>
  </si>
  <si>
    <t>Sara Faulkner</t>
  </si>
  <si>
    <t>Avery 487</t>
  </si>
  <si>
    <t>Calexico</t>
  </si>
  <si>
    <t>Carlos Hanson</t>
  </si>
  <si>
    <t>Executive Impressions 8-1/2" Career Panel/Partition Cubicle Clock</t>
  </si>
  <si>
    <t>Rapid City</t>
  </si>
  <si>
    <t>Xerox 1962</t>
  </si>
  <si>
    <t>Cheryl Guthrie</t>
  </si>
  <si>
    <t>Dean Solomon</t>
  </si>
  <si>
    <t>Gastonia</t>
  </si>
  <si>
    <t>Grace Black</t>
  </si>
  <si>
    <t>North Miami Beach</t>
  </si>
  <si>
    <t>StarTAC Analog</t>
  </si>
  <si>
    <t>Wilson Jones DublLock® D-Ring Binders</t>
  </si>
  <si>
    <t>Janet Zhang</t>
  </si>
  <si>
    <t>Apple Valley</t>
  </si>
  <si>
    <t>Mitchell Goldberg</t>
  </si>
  <si>
    <t>Accessory9</t>
  </si>
  <si>
    <t>7160</t>
  </si>
  <si>
    <t>Marguerite Rodgers</t>
  </si>
  <si>
    <t>SANFORD Major Accent™ Highlighters</t>
  </si>
  <si>
    <t>Commack</t>
  </si>
  <si>
    <t>HP Office Recycled Paper (20Lb. and 87 Bright)</t>
  </si>
  <si>
    <t>Eva Simpson</t>
  </si>
  <si>
    <t>Eldon® Expressions™ Wood Desk Accessories, Oak</t>
  </si>
  <si>
    <t>Carrollton</t>
  </si>
  <si>
    <t>Marvin Reid</t>
  </si>
  <si>
    <t>Faye Silver</t>
  </si>
  <si>
    <t>Xerox 220</t>
  </si>
  <si>
    <t>Crofton</t>
  </si>
  <si>
    <t>Milton Harrell</t>
  </si>
  <si>
    <t>Rotterdam</t>
  </si>
  <si>
    <t>Alvin Mullins</t>
  </si>
  <si>
    <t>Dana Rankin</t>
  </si>
  <si>
    <t>Microsoft Natural Keyboard Elite</t>
  </si>
  <si>
    <t>Twin Falls</t>
  </si>
  <si>
    <t>Wilson Jones® Four-Pocket Poly Binders</t>
  </si>
  <si>
    <t>Sam Rouse</t>
  </si>
  <si>
    <t>Accessory6</t>
  </si>
  <si>
    <t>Adam Saunders Gray</t>
  </si>
  <si>
    <t>Acco Pressboard Covers with Storage Hooks, 14 7/8" x 11", Light Blue</t>
  </si>
  <si>
    <t>Colorado Springs</t>
  </si>
  <si>
    <t>Clifford Webb</t>
  </si>
  <si>
    <t>Townsend</t>
  </si>
  <si>
    <t>Hazel Dale</t>
  </si>
  <si>
    <t>Accessory36</t>
  </si>
  <si>
    <t>Claudia White</t>
  </si>
  <si>
    <t>Novimex Fabric Task Chair</t>
  </si>
  <si>
    <t>Gallatin</t>
  </si>
  <si>
    <t>Jenny Petty</t>
  </si>
  <si>
    <t>Xerox 212</t>
  </si>
  <si>
    <t>Manchester</t>
  </si>
  <si>
    <t>Terry Klein</t>
  </si>
  <si>
    <t>Rutland</t>
  </si>
  <si>
    <t>Michelle Steele</t>
  </si>
  <si>
    <t>Enterprise</t>
  </si>
  <si>
    <t>Wanda Harris</t>
  </si>
  <si>
    <t>Hudson</t>
  </si>
  <si>
    <t>Catalog Binders with Expanding Posts</t>
  </si>
  <si>
    <t>Claire Warren</t>
  </si>
  <si>
    <t>Holmes Replacement Filter for HEPA Air Cleaner, Medium Room</t>
  </si>
  <si>
    <t>New London</t>
  </si>
  <si>
    <t>Brad H Blake</t>
  </si>
  <si>
    <t>Letter Size Cart</t>
  </si>
  <si>
    <t>Gainesville</t>
  </si>
  <si>
    <t>Samantha Weaver</t>
  </si>
  <si>
    <t>Overland Park</t>
  </si>
  <si>
    <t>Leroy Blanchard</t>
  </si>
  <si>
    <t>Pat Baker</t>
  </si>
  <si>
    <t>Kensington 6 Outlet MasterPiece® HOMEOFFICE Power Control Center</t>
  </si>
  <si>
    <t>Lakewood</t>
  </si>
  <si>
    <t>Colleen Andrews</t>
  </si>
  <si>
    <t>Global Push Button Manager's Chair, Indigo</t>
  </si>
  <si>
    <t>Mint Hill</t>
  </si>
  <si>
    <t>Francis I Davis</t>
  </si>
  <si>
    <t>Milwaukee</t>
  </si>
  <si>
    <t>Luis Kerr</t>
  </si>
  <si>
    <t>Atlantic Metals Mobile 5-Shelf Bookcases, Custom Colors</t>
  </si>
  <si>
    <t>Yucaipa</t>
  </si>
  <si>
    <t>Epson DFX-8500 Dot Matrix Printer</t>
  </si>
  <si>
    <t>Advantus 10-Drawer Portable Organizer, Chrome Metal Frame, Smoke Drawers</t>
  </si>
  <si>
    <t>Kathryn Wolfe</t>
  </si>
  <si>
    <t>GBC Plastic Binding Combs</t>
  </si>
  <si>
    <t>Plainview</t>
  </si>
  <si>
    <t>Arthur Lowe Nash</t>
  </si>
  <si>
    <t>Potomac</t>
  </si>
  <si>
    <t>Francis Evans</t>
  </si>
  <si>
    <t>Hoover Replacement Belt for Commercial Guardsman Heavy-Duty Upright Vacuum</t>
  </si>
  <si>
    <t>Hannah Tyson</t>
  </si>
  <si>
    <t>Avery® 3 1/2" Diskette Storage Pages, 10/Pack</t>
  </si>
  <si>
    <t>Paragould</t>
  </si>
  <si>
    <t>Wayne Bass</t>
  </si>
  <si>
    <t>Accessory31</t>
  </si>
  <si>
    <t>Joan Bowers</t>
  </si>
  <si>
    <t>York</t>
  </si>
  <si>
    <t>Lucille Buchanan</t>
  </si>
  <si>
    <t>Eldon Expressions™ Desk Accessory, Wood Photo Frame, Mahogany</t>
  </si>
  <si>
    <t>Willoughby</t>
  </si>
  <si>
    <t>Ronald O'Neill</t>
  </si>
  <si>
    <t>Avery Durable Poly Binders</t>
  </si>
  <si>
    <t>Kenneth Capps</t>
  </si>
  <si>
    <t>Howard Miller 16" Diameter Gallery Wall Clock</t>
  </si>
  <si>
    <t>Melbourne</t>
  </si>
  <si>
    <t>Natalie Aldridge</t>
  </si>
  <si>
    <t>Merritt Island</t>
  </si>
  <si>
    <t>Florence Gold</t>
  </si>
  <si>
    <t>Eldon Expressions Punched Metal &amp; Wood Desk Accessories, Black &amp; Cherry</t>
  </si>
  <si>
    <t>Fairmont</t>
  </si>
  <si>
    <t>Nina Horne Kelly</t>
  </si>
  <si>
    <t>Christopher Meadows</t>
  </si>
  <si>
    <t>Harrison</t>
  </si>
  <si>
    <t>Penny Leach</t>
  </si>
  <si>
    <t>Hackensack</t>
  </si>
  <si>
    <t>Gina Curry</t>
  </si>
  <si>
    <t>Iselin</t>
  </si>
  <si>
    <t>Juan Justice</t>
  </si>
  <si>
    <t>Saint Paul</t>
  </si>
  <si>
    <t>Sauder Facets Collection Locker/File Cabinet, Sky Alder Finish</t>
  </si>
  <si>
    <t>Lois Hansen</t>
  </si>
  <si>
    <t>G.E. Halogen Desk Lamp Bulbs</t>
  </si>
  <si>
    <t>Henry O'Connell</t>
  </si>
  <si>
    <t>Leander</t>
  </si>
  <si>
    <t>Steve Raynor</t>
  </si>
  <si>
    <t>Taylors</t>
  </si>
  <si>
    <t>Gretchen Levine</t>
  </si>
  <si>
    <t>Chromcraft 48" x 96" Racetrack Double Pedestal Table</t>
  </si>
  <si>
    <t>Lima</t>
  </si>
  <si>
    <t>Allan Dickinson</t>
  </si>
  <si>
    <t>Van Buren</t>
  </si>
  <si>
    <t>Ruth Dudley</t>
  </si>
  <si>
    <t>Advantus Push Pins</t>
  </si>
  <si>
    <t>Calvin Conway</t>
  </si>
  <si>
    <t>Old Bridge</t>
  </si>
  <si>
    <t>Julia Reynolds</t>
  </si>
  <si>
    <t>Arvada</t>
  </si>
  <si>
    <t>Kelly Sawyer</t>
  </si>
  <si>
    <t>Lafayette</t>
  </si>
  <si>
    <t>June Roberts</t>
  </si>
  <si>
    <t>Martin-Yale Premier Letter Opener</t>
  </si>
  <si>
    <t>Gerald Petty</t>
  </si>
  <si>
    <t>600 Series Non-Flip</t>
  </si>
  <si>
    <t>Lancaster</t>
  </si>
  <si>
    <t>Fellowes Officeware™ Wire Shelving</t>
  </si>
  <si>
    <t>Maurice Kelly</t>
  </si>
  <si>
    <t>Lakeland</t>
  </si>
  <si>
    <t>Stephanie Hawkins</t>
  </si>
  <si>
    <t>Greenfield</t>
  </si>
  <si>
    <t>Marian Willis</t>
  </si>
  <si>
    <t>La Vista</t>
  </si>
  <si>
    <t>Caroline Johnston</t>
  </si>
  <si>
    <t>Lois Hamilton</t>
  </si>
  <si>
    <t>Dover</t>
  </si>
  <si>
    <t>Jason Bray</t>
  </si>
  <si>
    <t>Mission Viejo</t>
  </si>
  <si>
    <t>Kerry Wilkerson</t>
  </si>
  <si>
    <t>Ted Crowder</t>
  </si>
  <si>
    <t>Micro Innovations Media Access Pro Keyboard</t>
  </si>
  <si>
    <t>James Beck</t>
  </si>
  <si>
    <t>Flagstaff</t>
  </si>
  <si>
    <t>Eldon Executive Woodline II Cherry Finish Desk Accessories</t>
  </si>
  <si>
    <t>Eleanor Swain</t>
  </si>
  <si>
    <t>Keytronic Designer 104- Key Black Keyboard</t>
  </si>
  <si>
    <t>Seth Merrill</t>
  </si>
  <si>
    <t>Executive Impressions 12" Wall Clock</t>
  </si>
  <si>
    <t>Charles Ward</t>
  </si>
  <si>
    <t>g520</t>
  </si>
  <si>
    <t>Moreno Valley</t>
  </si>
  <si>
    <t>Gene Heath Cross</t>
  </si>
  <si>
    <t>Belkin MediaBoard 104- Keyboard</t>
  </si>
  <si>
    <t>Jamestown</t>
  </si>
  <si>
    <t>Fellowes Strictly Business® Drawer File, Letter/Legal Size</t>
  </si>
  <si>
    <t>Evan Kelley</t>
  </si>
  <si>
    <t>Garden City</t>
  </si>
  <si>
    <t>Max Hubbard</t>
  </si>
  <si>
    <t>Avery 485</t>
  </si>
  <si>
    <t>Winter Park</t>
  </si>
  <si>
    <t>Helen Ferguson</t>
  </si>
  <si>
    <t>Winter Springs</t>
  </si>
  <si>
    <t>Timothy Reese</t>
  </si>
  <si>
    <t>Grip Seal Envelopes</t>
  </si>
  <si>
    <t>Smithtown</t>
  </si>
  <si>
    <t>Diana Coble Hubbard</t>
  </si>
  <si>
    <t>Grand Prairie</t>
  </si>
  <si>
    <t>Benjamin Lam</t>
  </si>
  <si>
    <t>Prang Colored Pencils</t>
  </si>
  <si>
    <t>Xerox 1932</t>
  </si>
  <si>
    <t>Wayne Lutz</t>
  </si>
  <si>
    <t>TDK 4.7GB DVD-R Spindle, 15/Pack</t>
  </si>
  <si>
    <t>Hopkinton</t>
  </si>
  <si>
    <t>Meredith Humphrey</t>
  </si>
  <si>
    <t>Jet-Pak Recycled Peel 'N' Seal Padded Mailers</t>
  </si>
  <si>
    <t>Cary</t>
  </si>
  <si>
    <t>Personal Creations™ Ink Jet Cards and Labels</t>
  </si>
  <si>
    <t>Aluminum Document Frame</t>
  </si>
  <si>
    <t>Karen Warren</t>
  </si>
  <si>
    <t>Fridley</t>
  </si>
  <si>
    <t>Marcia Greenberg</t>
  </si>
  <si>
    <t>Hon Metal Bookcases, Black</t>
  </si>
  <si>
    <t>Bullhead City</t>
  </si>
  <si>
    <t>Shawn Stern</t>
  </si>
  <si>
    <t>Acme® Office Executive Series Stainless Steel Trimmers</t>
  </si>
  <si>
    <t>Tysons Corner</t>
  </si>
  <si>
    <t>Glenda Herbert</t>
  </si>
  <si>
    <t>Huntington Beach</t>
  </si>
  <si>
    <t>Gary Hester</t>
  </si>
  <si>
    <t>Flower Mound</t>
  </si>
  <si>
    <t>Sandy Hunt</t>
  </si>
  <si>
    <t>Altamonte Springs</t>
  </si>
  <si>
    <t>Kara Patton</t>
  </si>
  <si>
    <t>Carpentersville</t>
  </si>
  <si>
    <t>Gordon Walker</t>
  </si>
  <si>
    <t>Cabot</t>
  </si>
  <si>
    <t>Dwight M Carr</t>
  </si>
  <si>
    <t>Fuji Slim Jewel Case CD-R</t>
  </si>
  <si>
    <t>Mcminnville</t>
  </si>
  <si>
    <t>Annie Sherrill</t>
  </si>
  <si>
    <t>5185</t>
  </si>
  <si>
    <t>Odessa</t>
  </si>
  <si>
    <t>Joanne Church</t>
  </si>
  <si>
    <t>La Mesa</t>
  </si>
  <si>
    <t>StarTAC ST7762</t>
  </si>
  <si>
    <t>Katherine W Epstein</t>
  </si>
  <si>
    <t>Hewlett-Packard Deskjet 3820 Color Inkjet Printer</t>
  </si>
  <si>
    <t>Jackson</t>
  </si>
  <si>
    <t>Vanessa Day</t>
  </si>
  <si>
    <t>Collierville</t>
  </si>
  <si>
    <t>DAX Solid Wood Frames</t>
  </si>
  <si>
    <t>Frank Hess</t>
  </si>
  <si>
    <t>Waldorf</t>
  </si>
  <si>
    <t>Tyvek ® Top-Opening Peel &amp; Seel ® Envelopes, Gray</t>
  </si>
  <si>
    <t>DAX Value U-Channel Document Frames, Easel Back</t>
  </si>
  <si>
    <t>Staples Metal Binder Clips</t>
  </si>
  <si>
    <t>Sidney Bowling</t>
  </si>
  <si>
    <t>Omaha</t>
  </si>
  <si>
    <t>Timothy Ross</t>
  </si>
  <si>
    <t>Kim McCarthy</t>
  </si>
  <si>
    <t>Fiskars® Softgrip Scissors</t>
  </si>
  <si>
    <t>Oak Park</t>
  </si>
  <si>
    <t>Jacob Murray</t>
  </si>
  <si>
    <t>DAX Cubicle Frames - 8x10</t>
  </si>
  <si>
    <t>Medina</t>
  </si>
  <si>
    <t>Carrie High</t>
  </si>
  <si>
    <t>Troy Moon</t>
  </si>
  <si>
    <t>Oakland</t>
  </si>
  <si>
    <t>Regina Langley</t>
  </si>
  <si>
    <t>Hunt BOSTON® Vista® Battery-Operated Pencil Sharpener, Black</t>
  </si>
  <si>
    <t>Martinez</t>
  </si>
  <si>
    <t>Melvin Duke</t>
  </si>
  <si>
    <t>Frankfort</t>
  </si>
  <si>
    <t>Judy Barrett</t>
  </si>
  <si>
    <t>14-7/8 x 11 Blue Bar Computer Printout Paper</t>
  </si>
  <si>
    <t>Kerry Jernigan</t>
  </si>
  <si>
    <t>Steel Personal Filing/Posting Tote</t>
  </si>
  <si>
    <t>Rancho Cucamonga</t>
  </si>
  <si>
    <t>Tracy Livingston</t>
  </si>
  <si>
    <t>Redding</t>
  </si>
  <si>
    <t>Fellowes Twister Kit, Gray/Clear, 3/pkg</t>
  </si>
  <si>
    <t>Helen Lyons</t>
  </si>
  <si>
    <t>Epson C82 Color Inkjet Printer</t>
  </si>
  <si>
    <t>Prescott Valley</t>
  </si>
  <si>
    <t>Sean Pugh</t>
  </si>
  <si>
    <t>Sunrise</t>
  </si>
  <si>
    <t>Christina Matthews</t>
  </si>
  <si>
    <t>Advantus Panel Wall Certificate Holder - 8.5x11</t>
  </si>
  <si>
    <t>Sherri Kramer</t>
  </si>
  <si>
    <t>Imation Neon 80 Minute CD-R Spindle, 50/Pack</t>
  </si>
  <si>
    <t>Janice Boswell</t>
  </si>
  <si>
    <t>Port Orange</t>
  </si>
  <si>
    <t>Sally Liu</t>
  </si>
  <si>
    <t>Microsoft Multimedia Keyboard</t>
  </si>
  <si>
    <t>New Berlin</t>
  </si>
  <si>
    <t>Alvin Hoover</t>
  </si>
  <si>
    <t>State College</t>
  </si>
  <si>
    <t>Albert Maxwell</t>
  </si>
  <si>
    <t>New Milford</t>
  </si>
  <si>
    <t>Faye Dyer</t>
  </si>
  <si>
    <t>Bradley Pollock</t>
  </si>
  <si>
    <t>Acco Keyboard-In-A-Box®</t>
  </si>
  <si>
    <t>Goffstown</t>
  </si>
  <si>
    <t>Zachary Maynard</t>
  </si>
  <si>
    <t>Blacksburg</t>
  </si>
  <si>
    <t>Xerox 1922</t>
  </si>
  <si>
    <t>Thelma Murray</t>
  </si>
  <si>
    <t>Grove City</t>
  </si>
  <si>
    <t>Tripp Lite Isotel 8 Ultra 8 Outlet Metal Surge</t>
  </si>
  <si>
    <t>GBC Clear Cover, 8-1/2 x 11, unpunched, 25 covers per pack</t>
  </si>
  <si>
    <t>Ian Hall</t>
  </si>
  <si>
    <t>Dearborn</t>
  </si>
  <si>
    <t>3M Polarizing Light Filter Sleeves</t>
  </si>
  <si>
    <t>Jon Kendall</t>
  </si>
  <si>
    <t>Ann Katz</t>
  </si>
  <si>
    <t>Wilson Jones Suede Grain Vinyl Binders</t>
  </si>
  <si>
    <t>Mildred Chase</t>
  </si>
  <si>
    <t>Woodland</t>
  </si>
  <si>
    <t>Jackie Burke</t>
  </si>
  <si>
    <t>Carol City</t>
  </si>
  <si>
    <t>Dana Teague</t>
  </si>
  <si>
    <t>Oscar Bowers</t>
  </si>
  <si>
    <t>Space Solutions™ Industrial Galvanized Steel Shelving.</t>
  </si>
  <si>
    <t>Smead Adjustable Mobile File Trolley with Lockable Top</t>
  </si>
  <si>
    <t>Sylvia Bush</t>
  </si>
  <si>
    <t>3M Office Air Cleaner</t>
  </si>
  <si>
    <t>Batavia</t>
  </si>
  <si>
    <t>James Dickinson Ball</t>
  </si>
  <si>
    <t>Carol Saunders</t>
  </si>
  <si>
    <t>Bowling Green</t>
  </si>
  <si>
    <t>Office Star - Contemporary Task Swivel chair with 2-way adjustable arms, Plum</t>
  </si>
  <si>
    <t>Hammermill Color Copier Paper (28Lb. and 96 Bright)</t>
  </si>
  <si>
    <t>Xerox 1937</t>
  </si>
  <si>
    <t>Sean Burton</t>
  </si>
  <si>
    <t>Saginaw</t>
  </si>
  <si>
    <t>Kate Peck</t>
  </si>
  <si>
    <t>Gould Plastics 9-Pocket Panel Bin, 18-3/8w x 5-1/4d x 20-1/2h, Black</t>
  </si>
  <si>
    <t>Bettendorf</t>
  </si>
  <si>
    <t>Bush Westfield Collection Bookcases, Dark Cherry Finish, Fully Assembled</t>
  </si>
  <si>
    <t>Patsy Shea</t>
  </si>
  <si>
    <t>Gyration Ultra Professional Cordless Optical Suite</t>
  </si>
  <si>
    <t>Tracy Dyer</t>
  </si>
  <si>
    <t>Ultra Commercial Grade Dual Valve Door Closer</t>
  </si>
  <si>
    <t>Mount Pleasant</t>
  </si>
  <si>
    <t>Gyration RF Keyboard</t>
  </si>
  <si>
    <t>Dwight Albright Huffman</t>
  </si>
  <si>
    <t>Herbert Williamson</t>
  </si>
  <si>
    <t>San Gabriel</t>
  </si>
  <si>
    <t>Stacy Chang</t>
  </si>
  <si>
    <t>Catonsville</t>
  </si>
  <si>
    <t>Eldon Cleatmat Plus™ Chair Mats for High Pile Carpets</t>
  </si>
  <si>
    <t>William Crawford</t>
  </si>
  <si>
    <t>OIC Colored Binder Clips, Assorted Sizes</t>
  </si>
  <si>
    <t>Garland</t>
  </si>
  <si>
    <t>Edna Freeman</t>
  </si>
  <si>
    <t>Xerox 1905</t>
  </si>
  <si>
    <t>Virginia Beach</t>
  </si>
  <si>
    <t>Eva Decker</t>
  </si>
  <si>
    <t>GBC ProClick™ 150 Presentation Binding System</t>
  </si>
  <si>
    <t>La Grange</t>
  </si>
  <si>
    <t>Keith Hobbs</t>
  </si>
  <si>
    <t>Colored Envelopes</t>
  </si>
  <si>
    <t>Jack Hatcher</t>
  </si>
  <si>
    <t>Hon Pagoda™ Stacking Chairs</t>
  </si>
  <si>
    <t>StarTAC 6500</t>
  </si>
  <si>
    <t>Debbie Hsu</t>
  </si>
  <si>
    <t>Randall Montgomery</t>
  </si>
  <si>
    <t>Tonawanda</t>
  </si>
  <si>
    <t>Gilbert Scarborough</t>
  </si>
  <si>
    <t>Xerox Blank Computer Paper</t>
  </si>
  <si>
    <t>Fountain</t>
  </si>
  <si>
    <t>Amy Ellis Holder</t>
  </si>
  <si>
    <t>Grand Junction</t>
  </si>
  <si>
    <t>Lynn Payne</t>
  </si>
  <si>
    <t>Rose Hill</t>
  </si>
  <si>
    <t>William Woodard</t>
  </si>
  <si>
    <t>Kendall</t>
  </si>
  <si>
    <t>Peter Adams</t>
  </si>
  <si>
    <t>Kathy Hinton</t>
  </si>
  <si>
    <t>Jill Clements</t>
  </si>
  <si>
    <t>Xerox 1951</t>
  </si>
  <si>
    <t>Boston KS Multi-Size Manual Pencil Sharpener</t>
  </si>
  <si>
    <t>Martha Bowers</t>
  </si>
  <si>
    <t>Whitehall</t>
  </si>
  <si>
    <t>Scott McKenna</t>
  </si>
  <si>
    <t>Steubenville</t>
  </si>
  <si>
    <t>Staples Vinyl Coated Paper Clips</t>
  </si>
  <si>
    <t>Phyllis Hull</t>
  </si>
  <si>
    <t>Xerox 1880</t>
  </si>
  <si>
    <t>Laurie Case Daniel</t>
  </si>
  <si>
    <t>Stoneham</t>
  </si>
  <si>
    <t>Emily Sims</t>
  </si>
  <si>
    <t>Newell® 3-Hole Punched Plastic Slotted Magazine Holders for Binders</t>
  </si>
  <si>
    <t>Nashville</t>
  </si>
  <si>
    <t>Wirebound Message Book, 4 per Page</t>
  </si>
  <si>
    <t>Edward McKenzie</t>
  </si>
  <si>
    <t>Decoflex Hanging Personal Folder File, Blue</t>
  </si>
  <si>
    <t>Evan Adkins</t>
  </si>
  <si>
    <t>Waterbury</t>
  </si>
  <si>
    <t>Arnold Johnson</t>
  </si>
  <si>
    <t>Acco Perma® 2700 Stacking Storage Drawers</t>
  </si>
  <si>
    <t>Rachel Bates</t>
  </si>
  <si>
    <t>*Staples* Packaging Labels</t>
  </si>
  <si>
    <t>Vickie Coates</t>
  </si>
  <si>
    <t>Cedar Park</t>
  </si>
  <si>
    <t>Global Ergonomic Managers Chair</t>
  </si>
  <si>
    <t>Xerox 1954</t>
  </si>
  <si>
    <t>Kelly O'Connor</t>
  </si>
  <si>
    <t>Santa Rosa</t>
  </si>
  <si>
    <t>Sherri McIntosh</t>
  </si>
  <si>
    <t>Avery 507</t>
  </si>
  <si>
    <t>West Jordan</t>
  </si>
  <si>
    <t>Ryan Foster</t>
  </si>
  <si>
    <t>Letter Slitter</t>
  </si>
  <si>
    <t>Diane Barr</t>
  </si>
  <si>
    <t>DIXON Ticonderoga® Erasable Checking Pencils</t>
  </si>
  <si>
    <t>Coos Bay</t>
  </si>
  <si>
    <t>Southworth 25% Cotton Linen-Finish Paper &amp; Envelopes</t>
  </si>
  <si>
    <t>Leon Peele</t>
  </si>
  <si>
    <t>GBC Laser Imprintable Binding System Covers, Desert Sand</t>
  </si>
  <si>
    <t>Dix Hills</t>
  </si>
  <si>
    <t>Carolyn Bowling</t>
  </si>
  <si>
    <t>Imation DVD-RAM discs</t>
  </si>
  <si>
    <t>Carolyn Greer</t>
  </si>
  <si>
    <t>Sunnyvale</t>
  </si>
  <si>
    <t>Yvonne Stephens</t>
  </si>
  <si>
    <t>Davis</t>
  </si>
  <si>
    <t>Global Troy™ Executive Leather Low-Back Tilter</t>
  </si>
  <si>
    <t>DAX Copper Panel Document Frame, 5 x 7 Size</t>
  </si>
  <si>
    <t>Deflect-O® Glasstique™ Clear Desk Accessories</t>
  </si>
  <si>
    <t>Rosemary O'Brien</t>
  </si>
  <si>
    <t>June Herbert</t>
  </si>
  <si>
    <t>Melanie Burgess</t>
  </si>
  <si>
    <t>Webster Groves</t>
  </si>
  <si>
    <t>Maria Block</t>
  </si>
  <si>
    <t>Lisa Branch</t>
  </si>
  <si>
    <t>Grand Rapids</t>
  </si>
  <si>
    <t>Geoffrey Saunders</t>
  </si>
  <si>
    <t>Sue Drake</t>
  </si>
  <si>
    <t>Searcy</t>
  </si>
  <si>
    <t>Stuart Holloway</t>
  </si>
  <si>
    <t>Vancouver</t>
  </si>
  <si>
    <t>Alicia Maynard</t>
  </si>
  <si>
    <t>Kyle Kaufman</t>
  </si>
  <si>
    <t>Euclid</t>
  </si>
  <si>
    <t>Tammy Raynor</t>
  </si>
  <si>
    <t>Honeywell Enviracaire Portable HEPA Air Cleaner for 17' x 22' Room</t>
  </si>
  <si>
    <t>Xerox 1941</t>
  </si>
  <si>
    <t>Annie Livingston</t>
  </si>
  <si>
    <t>Rochester</t>
  </si>
  <si>
    <t>Xerox 1917</t>
  </si>
  <si>
    <t>Hannah Carver</t>
  </si>
  <si>
    <t>Grand Forks</t>
  </si>
  <si>
    <t>Jeffrey Cheng</t>
  </si>
  <si>
    <t>Wauwatosa</t>
  </si>
  <si>
    <t>Eldon Spacemaker® Box, Quick-Snap Lid, Clear</t>
  </si>
  <si>
    <t>Billy Perry Browning</t>
  </si>
  <si>
    <t>Ken Cash</t>
  </si>
  <si>
    <t>Pawtucket</t>
  </si>
  <si>
    <t>Elsie Hwang</t>
  </si>
  <si>
    <t>Patrick Lowry</t>
  </si>
  <si>
    <t>Edgewood</t>
  </si>
  <si>
    <t>Accessory25</t>
  </si>
  <si>
    <t>Sarah N Becker</t>
  </si>
  <si>
    <t>Home/Office Personal File Carts</t>
  </si>
  <si>
    <t>Whittier</t>
  </si>
  <si>
    <t>Marianne Goldstein</t>
  </si>
  <si>
    <t>New Smyrna Beach</t>
  </si>
  <si>
    <t>Jeffrey Lloyd</t>
  </si>
  <si>
    <t>Bevis Steel Folding Chairs</t>
  </si>
  <si>
    <t>Brett Schultz</t>
  </si>
  <si>
    <t>Park Ridge™ Embossed Executive Business Envelopes</t>
  </si>
  <si>
    <t>Acco PRESSTEX® Data Binder with Storage Hooks, Dark Blue, 14 7/8" X 11"</t>
  </si>
  <si>
    <t>1/4 Fold Party Design Invitations &amp; White Envelopes, 24 8-1/2" X 11" Cards, 25 Env./Pack</t>
  </si>
  <si>
    <t>Brooke Shepherd</t>
  </si>
  <si>
    <t>Santa Cruz</t>
  </si>
  <si>
    <t>KH 688</t>
  </si>
  <si>
    <t>Bagged Rubber Bands</t>
  </si>
  <si>
    <t>Karen Hendricks</t>
  </si>
  <si>
    <t>Branford</t>
  </si>
  <si>
    <t>Jacob Lanier</t>
  </si>
  <si>
    <t>2300 Heavy-Duty Transfer File Systems by Perma</t>
  </si>
  <si>
    <t>Danbury</t>
  </si>
  <si>
    <t>Arthur Brady</t>
  </si>
  <si>
    <t>Juan Gold</t>
  </si>
  <si>
    <t>Pensacola</t>
  </si>
  <si>
    <t>Vivian Clarke</t>
  </si>
  <si>
    <t>Vivian Goldstein</t>
  </si>
  <si>
    <t>Brandon</t>
  </si>
  <si>
    <t>Max Hurley</t>
  </si>
  <si>
    <t>North Las Vegas</t>
  </si>
  <si>
    <t>Sanford Pocket Accent® Highlighters</t>
  </si>
  <si>
    <t>Tina Monroe</t>
  </si>
  <si>
    <t>Fellowes Binding Cases</t>
  </si>
  <si>
    <t>Sandy Springs</t>
  </si>
  <si>
    <t>Erika Clapp</t>
  </si>
  <si>
    <t>Chattanooga</t>
  </si>
  <si>
    <t>Christina Hanna</t>
  </si>
  <si>
    <t>Eldon Pizzaz™ Desk Accessories</t>
  </si>
  <si>
    <t>Danielle Watts</t>
  </si>
  <si>
    <t>Sidney Brewer</t>
  </si>
  <si>
    <t>Immokalee</t>
  </si>
  <si>
    <t>David Powell</t>
  </si>
  <si>
    <t>Cranford</t>
  </si>
  <si>
    <t>Renee McKenzie</t>
  </si>
  <si>
    <t>Upper Arlington</t>
  </si>
  <si>
    <t>Avery 506</t>
  </si>
  <si>
    <t>Calvin Parsons Walter</t>
  </si>
  <si>
    <t>San Juan</t>
  </si>
  <si>
    <t>Kent Gill</t>
  </si>
  <si>
    <t>Opelika</t>
  </si>
  <si>
    <t>Balt Solid Wood Rectangular Table</t>
  </si>
  <si>
    <t>Rick Houston</t>
  </si>
  <si>
    <t>Atascadero</t>
  </si>
  <si>
    <t>Guy Gallagher</t>
  </si>
  <si>
    <t>Carmen Elmore</t>
  </si>
  <si>
    <t>Executive Impressions 13" Chairman Wall Clock</t>
  </si>
  <si>
    <t>Recycled Eldon Regeneration Jumbo File</t>
  </si>
  <si>
    <t>Esther Whitaker</t>
  </si>
  <si>
    <t>Staples Colored Interoffice Envelopes</t>
  </si>
  <si>
    <t>Electrix Fluorescent Magnifier Lamps &amp; Weighted Base</t>
  </si>
  <si>
    <t>Eddie House Mueller</t>
  </si>
  <si>
    <t>Max McKenna</t>
  </si>
  <si>
    <t>Manhattan</t>
  </si>
  <si>
    <t>Roberta Daniel</t>
  </si>
  <si>
    <t>Alamogordo</t>
  </si>
  <si>
    <t>Curtis O'Connell</t>
  </si>
  <si>
    <t>Medford</t>
  </si>
  <si>
    <t>Jacqueline Noble</t>
  </si>
  <si>
    <t>Avery Hi-Liter GlideStik Fluorescent Highlighter, Yellow Ink</t>
  </si>
  <si>
    <t>Rosemary English</t>
  </si>
  <si>
    <t>Portland</t>
  </si>
  <si>
    <t>Ryan Herman</t>
  </si>
  <si>
    <t>Joanne Chu</t>
  </si>
  <si>
    <t>Baldwin</t>
  </si>
  <si>
    <t>Marlene Gray</t>
  </si>
  <si>
    <t>Avery 496</t>
  </si>
  <si>
    <t>Clifton</t>
  </si>
  <si>
    <t>Lloyd Cannon</t>
  </si>
  <si>
    <t>Carolyn Proctor</t>
  </si>
  <si>
    <t>Jackie McCullough</t>
  </si>
  <si>
    <t>Micro Innovations 104 Keyboard</t>
  </si>
  <si>
    <t>Jacksonville</t>
  </si>
  <si>
    <t>Richard Tan</t>
  </si>
  <si>
    <t>Eagle</t>
  </si>
  <si>
    <t>2190</t>
  </si>
  <si>
    <t>Ralph Woods Scott</t>
  </si>
  <si>
    <t>Avery Binding System Hidden Tab™ Executive Style Index Sets</t>
  </si>
  <si>
    <t>Creve Coeur</t>
  </si>
  <si>
    <t>Debra Block</t>
  </si>
  <si>
    <t>Belkin 325VA UPS Surge Protector, 6'</t>
  </si>
  <si>
    <t>Harlingen</t>
  </si>
  <si>
    <t>Marlene Harrison</t>
  </si>
  <si>
    <t>Westinghouse Floor Lamp with Metal Mesh Shade, Black</t>
  </si>
  <si>
    <t>Mildred Briggs</t>
  </si>
  <si>
    <t>GBC Therma-A-Bind 250T Electric Binding System</t>
  </si>
  <si>
    <t>Kimberly McCarthy</t>
  </si>
  <si>
    <t>Sidney Larson</t>
  </si>
  <si>
    <t>South Portland</t>
  </si>
  <si>
    <t>Marianne Weiner Ennis</t>
  </si>
  <si>
    <t>Littleton</t>
  </si>
  <si>
    <t>Betsy Gibson</t>
  </si>
  <si>
    <t>Wesley Cho</t>
  </si>
  <si>
    <t>Richmond</t>
  </si>
  <si>
    <t>Lynda Rosenthal</t>
  </si>
  <si>
    <t>Eldon Jumbo ProFile™ Portable File Boxes Graphite/Black</t>
  </si>
  <si>
    <t>Vickie Gonzalez</t>
  </si>
  <si>
    <t>Broomfield</t>
  </si>
  <si>
    <t>Renee Huang</t>
  </si>
  <si>
    <t>Coral Springs</t>
  </si>
  <si>
    <t>Linda Blake</t>
  </si>
  <si>
    <t>Hilliard</t>
  </si>
  <si>
    <t>Leonard Strauss</t>
  </si>
  <si>
    <t>Wirebound Voice Message Log Book</t>
  </si>
  <si>
    <t>Earl Donnelly</t>
  </si>
  <si>
    <t>Slidell</t>
  </si>
  <si>
    <t>Constance Robertson</t>
  </si>
  <si>
    <t>Tampa</t>
  </si>
  <si>
    <t>Lynne Reid</t>
  </si>
  <si>
    <t>Strongsville</t>
  </si>
  <si>
    <t>Joanne Spivey</t>
  </si>
  <si>
    <t>Brown Kraft Recycled Envelopes</t>
  </si>
  <si>
    <t>Independence</t>
  </si>
  <si>
    <t>Frank Cross</t>
  </si>
  <si>
    <t>Todd D Norris</t>
  </si>
  <si>
    <t>Newport News</t>
  </si>
  <si>
    <t>Sean Herbert</t>
  </si>
  <si>
    <t>Racine</t>
  </si>
  <si>
    <t>Lindsay Webb</t>
  </si>
  <si>
    <t>Xerox 1928</t>
  </si>
  <si>
    <t>Sheboygan</t>
  </si>
  <si>
    <t>George Terry</t>
  </si>
  <si>
    <t>Los Gatos</t>
  </si>
  <si>
    <t>Micro Innovations Micro Digital Wireless Keyboard and Mouse, Gray</t>
  </si>
  <si>
    <t>Colleen Fletcher</t>
  </si>
  <si>
    <t>Acme Hot Forged Carbon Steel Scissors with Nickel-Plated Handles, 3 7/8" Cut, 8"L</t>
  </si>
  <si>
    <t>Saint Charles</t>
  </si>
  <si>
    <t>Stuart Sharma</t>
  </si>
  <si>
    <t>Pam Gilbert</t>
  </si>
  <si>
    <t>Xerox 193</t>
  </si>
  <si>
    <t>Round Rock</t>
  </si>
  <si>
    <t>Dan Lamm</t>
  </si>
  <si>
    <t>Sony MFD2HD Formatted Diskettes, 10/Pack</t>
  </si>
  <si>
    <t>Asheboro</t>
  </si>
  <si>
    <t>Theodore Moran</t>
  </si>
  <si>
    <t>Ray Oakley</t>
  </si>
  <si>
    <t>West Lafayette</t>
  </si>
  <si>
    <t>Lloyd Spencer</t>
  </si>
  <si>
    <t>West Scarborough</t>
  </si>
  <si>
    <t>Chad Henson</t>
  </si>
  <si>
    <t>Huntington</t>
  </si>
  <si>
    <t>Newell 329</t>
  </si>
  <si>
    <t>Jerry Ennis</t>
  </si>
  <si>
    <t>Sacramento</t>
  </si>
  <si>
    <t>Hon Rectangular Conference Tables</t>
  </si>
  <si>
    <t>#10 White Business Envelopes,4 1/8 x 9 1/2</t>
  </si>
  <si>
    <t>Shirley Riley</t>
  </si>
  <si>
    <t>GBC DocuBind TL200 Manual Binding Machine</t>
  </si>
  <si>
    <t>Gwendolyn F Tyson</t>
  </si>
  <si>
    <t>Newell 321</t>
  </si>
  <si>
    <t>Newell 351</t>
  </si>
  <si>
    <t>Wirebound Message Books, Four 2 3/4" x 5" Forms per Page, 600 Sets per Book</t>
  </si>
  <si>
    <t>Imation 3.5" DS/HD IBM Formatted Diskettes, 10/Pack</t>
  </si>
  <si>
    <t>Evan K Bullard</t>
  </si>
  <si>
    <t>Multimedia Mailers</t>
  </si>
  <si>
    <t>Naugatuck</t>
  </si>
  <si>
    <t>Marlene Abrams</t>
  </si>
  <si>
    <t>Kathryn Patrick</t>
  </si>
  <si>
    <t>William Larson</t>
  </si>
  <si>
    <t>Sharon Marcus</t>
  </si>
  <si>
    <t>Longview</t>
  </si>
  <si>
    <t>Steve McKee</t>
  </si>
  <si>
    <t>Carla Hauser</t>
  </si>
  <si>
    <t>Bonnie Chambers</t>
  </si>
  <si>
    <t>Glendale</t>
  </si>
  <si>
    <t>Xerox 1898</t>
  </si>
  <si>
    <t>Alice Coley</t>
  </si>
  <si>
    <t>GBC Recycled Regency Composition Covers</t>
  </si>
  <si>
    <t>Urbana</t>
  </si>
  <si>
    <t>Ruth Lamm</t>
  </si>
  <si>
    <t>Accessory29</t>
  </si>
  <si>
    <t>Vernon Hills</t>
  </si>
  <si>
    <t>Pam Bennett</t>
  </si>
  <si>
    <t>Boston 16701 Slimline Battery Pencil Sharpener</t>
  </si>
  <si>
    <t>Carbondale</t>
  </si>
  <si>
    <t>Glen Newman</t>
  </si>
  <si>
    <t>Wilkinsburg</t>
  </si>
  <si>
    <t>Vinyl Sectional Post Binders</t>
  </si>
  <si>
    <t>Laurie Hanna</t>
  </si>
  <si>
    <t>DAX Natural Wood-Tone Poster Frame</t>
  </si>
  <si>
    <t>Helena</t>
  </si>
  <si>
    <t>Tony Wilkins Winters</t>
  </si>
  <si>
    <t>Belkin ErgoBoard™ Keyboard</t>
  </si>
  <si>
    <t>Ross Frederick</t>
  </si>
  <si>
    <t>Xerox 214</t>
  </si>
  <si>
    <t>San Antonio</t>
  </si>
  <si>
    <t>Carrie Duke</t>
  </si>
  <si>
    <t>*Staples* vLetter Openers, 2/Pack</t>
  </si>
  <si>
    <t>Dale Gillespie</t>
  </si>
  <si>
    <t>Petaluma</t>
  </si>
  <si>
    <t>Jerome Burch</t>
  </si>
  <si>
    <t>Yuba City</t>
  </si>
  <si>
    <t>Hazel Jones</t>
  </si>
  <si>
    <t>Wirebound Message Forms, Four 2 3/4 x 5 Forms per Page, Pink Paper</t>
  </si>
  <si>
    <t>Stockton</t>
  </si>
  <si>
    <t>Jennifer Zimmerman</t>
  </si>
  <si>
    <t>Eldon Simplefile® Box Office®</t>
  </si>
  <si>
    <t>Jonesboro</t>
  </si>
  <si>
    <t>Tommy Lutz</t>
  </si>
  <si>
    <t>Universal Premium White Copier/Laser Paper (20Lb. and 87 Bright)</t>
  </si>
  <si>
    <t>Kelly Collins</t>
  </si>
  <si>
    <t>Eastpointe</t>
  </si>
  <si>
    <t>Lynne Wilcox</t>
  </si>
  <si>
    <t>Prismacolor Color Pencil Set</t>
  </si>
  <si>
    <t>Victoria Baker Hoover</t>
  </si>
  <si>
    <t>REDIFORM Incoming/Outgoing Call Register, 11" X 8 1/2", 100 Messages</t>
  </si>
  <si>
    <t>Terrytown</t>
  </si>
  <si>
    <t>Sharp EL501VB Scientific Calculator, Battery Operated, 10-Digit Display, Hard Case</t>
  </si>
  <si>
    <t>Penny Tuttle</t>
  </si>
  <si>
    <t>Ibico EB-19 Dual Function Manual Binding System</t>
  </si>
  <si>
    <t>Amy Hall</t>
  </si>
  <si>
    <t>Lorain</t>
  </si>
  <si>
    <t>Jerry Webster</t>
  </si>
  <si>
    <t>Anita Kang</t>
  </si>
  <si>
    <t>Acco Smartsocket™ Table Surge Protector, 6 Color-Coded Adapter Outlets</t>
  </si>
  <si>
    <t>Mundelein</t>
  </si>
  <si>
    <t>Wayne English</t>
  </si>
  <si>
    <t>GBC Recycled Grain Textured Covers</t>
  </si>
  <si>
    <t>New Iberia</t>
  </si>
  <si>
    <t>Xerox 1881</t>
  </si>
  <si>
    <t>Panasonic KP-350BK Electric Pencil Sharpener with Auto Stop</t>
  </si>
  <si>
    <t>Jon Ward</t>
  </si>
  <si>
    <t>Revere Boxed Rubber Bands by Revere</t>
  </si>
  <si>
    <t>Ted Durham</t>
  </si>
  <si>
    <t>Zoom V.92 V.44 PCI Internal Controllerless FaxModem</t>
  </si>
  <si>
    <t>North Port</t>
  </si>
  <si>
    <t>Molly Vincent</t>
  </si>
  <si>
    <t>Ronnie Creech</t>
  </si>
  <si>
    <t>Eileen Cheek</t>
  </si>
  <si>
    <t>Norwood</t>
  </si>
  <si>
    <t>Tennsco Lockers, Sand</t>
  </si>
  <si>
    <t>Troy Cassidy</t>
  </si>
  <si>
    <t>Lindsay Tate</t>
  </si>
  <si>
    <t>Midwest City</t>
  </si>
  <si>
    <t>Becky Puckett</t>
  </si>
  <si>
    <t>Eureka</t>
  </si>
  <si>
    <t>O'Sullivan 3-Shelf Heavy-Duty Bookcases</t>
  </si>
  <si>
    <t>Arlene Weeks</t>
  </si>
  <si>
    <t>Union City</t>
  </si>
  <si>
    <t>Carole Rosen</t>
  </si>
  <si>
    <t>Boise</t>
  </si>
  <si>
    <t>Joseph Grossman</t>
  </si>
  <si>
    <t>Maxine Collier Grady</t>
  </si>
  <si>
    <t>Dwight Bishop</t>
  </si>
  <si>
    <t>Robert Brantley</t>
  </si>
  <si>
    <t>Dearborn Heights</t>
  </si>
  <si>
    <t>Wesley Field</t>
  </si>
  <si>
    <t>Xerox 1979</t>
  </si>
  <si>
    <t>Westland</t>
  </si>
  <si>
    <t>Brenda Jain</t>
  </si>
  <si>
    <t>Hon Non-Folding Utility Tables</t>
  </si>
  <si>
    <t>Sharon</t>
  </si>
  <si>
    <t>Storex Dura Pro™ Binders</t>
  </si>
  <si>
    <t>Xerox 231</t>
  </si>
  <si>
    <t>Dolores Abrams</t>
  </si>
  <si>
    <t>5180</t>
  </si>
  <si>
    <t>Lucille Rankin</t>
  </si>
  <si>
    <t>Vickie Andrews</t>
  </si>
  <si>
    <t>Belleville</t>
  </si>
  <si>
    <t>Marvin Hunt</t>
  </si>
  <si>
    <t>Abilene</t>
  </si>
  <si>
    <t>June Frank Hammond</t>
  </si>
  <si>
    <t>South Vineland</t>
  </si>
  <si>
    <t>Acme® Forged Steel Scissors with Black Enamel Handles</t>
  </si>
  <si>
    <t>Joanna Keith</t>
  </si>
  <si>
    <t>Lake Jackson</t>
  </si>
  <si>
    <t>Catherine Mullins</t>
  </si>
  <si>
    <t>Avery Hi-Liter® Smear-Safe Highlighters</t>
  </si>
  <si>
    <t>Walla Walla</t>
  </si>
  <si>
    <t>Marlene Davidson</t>
  </si>
  <si>
    <t>Avery Legal 4-Ring Binder</t>
  </si>
  <si>
    <t>Benjamin Strauss</t>
  </si>
  <si>
    <t>El Paso</t>
  </si>
  <si>
    <t>Jim Rodgers</t>
  </si>
  <si>
    <t>Hewlett Packard 6S Scientific Calculator</t>
  </si>
  <si>
    <t>Missoula</t>
  </si>
  <si>
    <t>Advantus Plastic Paper Clips</t>
  </si>
  <si>
    <t>Lifetime Advantage™ Folding Chairs, 4/Carton</t>
  </si>
  <si>
    <t>Janice Frye</t>
  </si>
  <si>
    <t>Las Cruces</t>
  </si>
  <si>
    <t>Cardinal Holdit Business Card Pockets</t>
  </si>
  <si>
    <t>Alex Harrell</t>
  </si>
  <si>
    <t>Hayes Optima 56K V.90 Internal Voice Modem</t>
  </si>
  <si>
    <t>Fred Barber</t>
  </si>
  <si>
    <t>Oak Creek</t>
  </si>
  <si>
    <t>Lester Woodward Maynard</t>
  </si>
  <si>
    <t>Boston 1799 Powerhouse™ Electric Pencil Sharpener</t>
  </si>
  <si>
    <t>Lindenhurst</t>
  </si>
  <si>
    <t>Derek Sweeney</t>
  </si>
  <si>
    <t>Gretchen Orr</t>
  </si>
  <si>
    <t>Lake Charles</t>
  </si>
  <si>
    <t>Jesse Williamson</t>
  </si>
  <si>
    <t>Spanish Fork</t>
  </si>
  <si>
    <t>Nicole Goldstein</t>
  </si>
  <si>
    <t>Wilson Jones Elliptical Ring 3 1/2" Capacity Binders, 800 sheets</t>
  </si>
  <si>
    <t>Annapolis</t>
  </si>
  <si>
    <t>Anne Armstrong</t>
  </si>
  <si>
    <t>Tenex Personal Self-Stacking Standard File Box, Black/Gray</t>
  </si>
  <si>
    <t>Millville</t>
  </si>
  <si>
    <t>Bruce Stark</t>
  </si>
  <si>
    <t>Dayton</t>
  </si>
  <si>
    <t>Soundgear Copyboard Conference Phone, Optional Battery</t>
  </si>
  <si>
    <t>Albert Tyson</t>
  </si>
  <si>
    <t>Olive Branch</t>
  </si>
  <si>
    <t>Tonya Miller</t>
  </si>
  <si>
    <t>Newell 31</t>
  </si>
  <si>
    <t>Janesville</t>
  </si>
  <si>
    <t>Barbara McNamara</t>
  </si>
  <si>
    <t>Kingman</t>
  </si>
  <si>
    <t>Malcolm Robertson</t>
  </si>
  <si>
    <t>Amarillo</t>
  </si>
  <si>
    <t>Patrick Adcock</t>
  </si>
  <si>
    <t>GBC Prepunched Paper, 19-Hole, for Binding Systems, 24-lb</t>
  </si>
  <si>
    <t>Schererville</t>
  </si>
  <si>
    <t>Mike Howard</t>
  </si>
  <si>
    <t>Kensington 6 Outlet SmartSocket Surge Protector</t>
  </si>
  <si>
    <t>Bevis Boat-Shaped Conference Table</t>
  </si>
  <si>
    <t>Dana Boyle</t>
  </si>
  <si>
    <t>Veronica Peck</t>
  </si>
  <si>
    <t>South Lake Tahoe</t>
  </si>
  <si>
    <t>Global Airflow Leather Mesh Back Chair, Black</t>
  </si>
  <si>
    <t>Thelma Abrams</t>
  </si>
  <si>
    <t>Priscilla Frank</t>
  </si>
  <si>
    <t>Self-Adhesive Removable Labels</t>
  </si>
  <si>
    <t>Gorham</t>
  </si>
  <si>
    <t>Mary Norman</t>
  </si>
  <si>
    <t>Granite Bay</t>
  </si>
  <si>
    <t>Sheryl Marsh</t>
  </si>
  <si>
    <t>Polycom VoiceStation 100</t>
  </si>
  <si>
    <t>Phone 918</t>
  </si>
  <si>
    <t>Tommy Ellis Ritchie</t>
  </si>
  <si>
    <t>Westlake</t>
  </si>
  <si>
    <t>Gordon Boswell</t>
  </si>
  <si>
    <t>Cloverleaf</t>
  </si>
  <si>
    <t>Brenda Ross</t>
  </si>
  <si>
    <t>#10-4 1/8" x 9 1/2" Premium Diagonal Seam Envelopes</t>
  </si>
  <si>
    <t>Keith R Atkinson</t>
  </si>
  <si>
    <t>Surprise</t>
  </si>
  <si>
    <t>Xerox 1883</t>
  </si>
  <si>
    <t>Jacob McNeill</t>
  </si>
  <si>
    <t>Imation Primaris 3.5" 2HD Unformatted Diskettes, 10/Pack</t>
  </si>
  <si>
    <t>Oceanside</t>
  </si>
  <si>
    <t>Tyvek ® Top-Opening Peel &amp; Seel Envelopes, Plain White</t>
  </si>
  <si>
    <t>Brandon Beach</t>
  </si>
  <si>
    <t>Kirkwood</t>
  </si>
  <si>
    <t>Leslie Woodard</t>
  </si>
  <si>
    <t>Avery Heavy-Duty EZD ™ Binder With Locking Rings</t>
  </si>
  <si>
    <t>Charleston</t>
  </si>
  <si>
    <t>Leah Pollock</t>
  </si>
  <si>
    <t>270c</t>
  </si>
  <si>
    <t>Leslie Rowland</t>
  </si>
  <si>
    <t>Los Banos</t>
  </si>
  <si>
    <t>Sam Oh</t>
  </si>
  <si>
    <t>Roberta Mullins Peters</t>
  </si>
  <si>
    <t>Everett</t>
  </si>
  <si>
    <t>Brenda Nelson Blanchard</t>
  </si>
  <si>
    <t>DIXON Oriole® Pencils</t>
  </si>
  <si>
    <t>Richfield</t>
  </si>
  <si>
    <t>StarTAC Series</t>
  </si>
  <si>
    <t>Aaron Day</t>
  </si>
  <si>
    <t>Trav-L-File Heavy-Duty Shuttle II, Black</t>
  </si>
  <si>
    <t>Greeneville</t>
  </si>
  <si>
    <t>Tracy Schultz</t>
  </si>
  <si>
    <t>Dixon My First Ticonderoga Pencil, #2</t>
  </si>
  <si>
    <t>Lindenwold</t>
  </si>
  <si>
    <t>Stanley Steele</t>
  </si>
  <si>
    <t>Ellicott City</t>
  </si>
  <si>
    <t>Hilda Bennett</t>
  </si>
  <si>
    <t>DAX Clear Channel Poster Frame</t>
  </si>
  <si>
    <t>Rosemary Stark</t>
  </si>
  <si>
    <t>TI 36X Solar Scientific Calculator</t>
  </si>
  <si>
    <t>Yvonne Mann</t>
  </si>
  <si>
    <t>Model L Table or Wall-Mount Pencil Sharpener</t>
  </si>
  <si>
    <t>Lloyd Fuller</t>
  </si>
  <si>
    <t>Bernice F Day</t>
  </si>
  <si>
    <t>Quincy</t>
  </si>
  <si>
    <t>Roger Meyer</t>
  </si>
  <si>
    <t>Staples Bulldog Clip</t>
  </si>
  <si>
    <t>Seth Thomas 13 1/2" Wall Clock</t>
  </si>
  <si>
    <t>Scott Moore</t>
  </si>
  <si>
    <t>Bravo II™ Megaboss® 12-Amp Hard Body Upright, Replacement Belts, 2 Belts per Pack</t>
  </si>
  <si>
    <t>Neil Barbee</t>
  </si>
  <si>
    <t>Moline</t>
  </si>
  <si>
    <t>Jack Morse</t>
  </si>
  <si>
    <t>Paul W French</t>
  </si>
  <si>
    <t>Plymouth Boxed Rubber Bands by Plymouth</t>
  </si>
  <si>
    <t>Newark</t>
  </si>
  <si>
    <t>Accessory32</t>
  </si>
  <si>
    <t>Artistic Insta-Plaque</t>
  </si>
  <si>
    <t>Jerome McIntosh</t>
  </si>
  <si>
    <t>Dixon Ticonderoga Core-Lock Colored Pencils</t>
  </si>
  <si>
    <t>Carol Wood</t>
  </si>
  <si>
    <t>Avery 482</t>
  </si>
  <si>
    <t>Alexandria</t>
  </si>
  <si>
    <t>Binney &amp; Smith inkTank™ Erasable Pocket Highlighter, Chisel Tip, Yellow</t>
  </si>
  <si>
    <t>Brooke Weeks Taylor</t>
  </si>
  <si>
    <t>Ansonia</t>
  </si>
  <si>
    <t>Marguerite Moss</t>
  </si>
  <si>
    <t>Yarmouth</t>
  </si>
  <si>
    <t>Norman Adams</t>
  </si>
  <si>
    <t>GBC Binding covers</t>
  </si>
  <si>
    <t>Rubber Band Ball</t>
  </si>
  <si>
    <t>Seth Thomas 8 1/2" Cubicle Clock</t>
  </si>
  <si>
    <t>Jamie Ward</t>
  </si>
  <si>
    <t>Odenton</t>
  </si>
  <si>
    <t>Jessie Houston</t>
  </si>
  <si>
    <t>5125</t>
  </si>
  <si>
    <t>Michelle Bryant Phillips</t>
  </si>
  <si>
    <t>Tucker</t>
  </si>
  <si>
    <t>Carlos Adkins</t>
  </si>
  <si>
    <t>Land O Lakes</t>
  </si>
  <si>
    <t>Marguerite Yu</t>
  </si>
  <si>
    <t>Weslaco</t>
  </si>
  <si>
    <t>Danielle Myers</t>
  </si>
  <si>
    <t>Newell 308</t>
  </si>
  <si>
    <t>Judy Frazier</t>
  </si>
  <si>
    <t>East Massapequa</t>
  </si>
  <si>
    <t>Bevis Rectangular Conference Tables</t>
  </si>
  <si>
    <t>Kathleen P Bloom</t>
  </si>
  <si>
    <t>Corvallis</t>
  </si>
  <si>
    <t>Dixon Ticonderoga® Erasable Colored Pencil Set, 12-Color</t>
  </si>
  <si>
    <t>Calvin Boyette</t>
  </si>
  <si>
    <t>Gilbert</t>
  </si>
  <si>
    <t>Tenex Antistatic Computer Chair Mats</t>
  </si>
  <si>
    <t>Mark Ritchie</t>
  </si>
  <si>
    <t>Alfred Harmon</t>
  </si>
  <si>
    <t>Xerox 1984</t>
  </si>
  <si>
    <t>Cheshire</t>
  </si>
  <si>
    <t>Jeanette Davies</t>
  </si>
  <si>
    <t>Leo E Underwood</t>
  </si>
  <si>
    <t>Sandy Mueller</t>
  </si>
  <si>
    <t>Providence</t>
  </si>
  <si>
    <t>Harriet Wooten</t>
  </si>
  <si>
    <t>Okidata ML395C Color Dot Matrix Printer</t>
  </si>
  <si>
    <t>Staples Pen Style Liquid Stix; Assorted (yellow, pink, green, blue, orange), 5/Pack</t>
  </si>
  <si>
    <t>Pam Anthony</t>
  </si>
  <si>
    <t>Winthrop</t>
  </si>
  <si>
    <t>Jordan Beard</t>
  </si>
  <si>
    <t>Xerox 1995</t>
  </si>
  <si>
    <t>Leavenworth</t>
  </si>
  <si>
    <t>Leigh Burnette Hurley</t>
  </si>
  <si>
    <t>Xerox 1994</t>
  </si>
  <si>
    <t>Alfred Barber</t>
  </si>
  <si>
    <t>Mehlville</t>
  </si>
  <si>
    <t>Eileen Dalton</t>
  </si>
  <si>
    <t>Hon Olson Stacker Stools</t>
  </si>
  <si>
    <t>Fluorescent Highlighters by Dixon</t>
  </si>
  <si>
    <t>IBM 80 Minute CD-R Spindle, 50/Pack</t>
  </si>
  <si>
    <t>Earl Buck</t>
  </si>
  <si>
    <t>Acco Smartsocket® Color-Coded Six-Outlet AC Adapter Model Surge Protectors</t>
  </si>
  <si>
    <t>Danny Vaughn</t>
  </si>
  <si>
    <t>Bloomfield</t>
  </si>
  <si>
    <t>George McLamb</t>
  </si>
  <si>
    <t>Sidney Scarborough</t>
  </si>
  <si>
    <t>Charlottesville</t>
  </si>
  <si>
    <t>Wendy Pridgen Pearce</t>
  </si>
  <si>
    <t>Okidata ML520 Series Dot Matrix Printers</t>
  </si>
  <si>
    <t>Holland</t>
  </si>
  <si>
    <t>TOPS Voice Message Log Book, Flash Format</t>
  </si>
  <si>
    <t>Ernest Peele</t>
  </si>
  <si>
    <t>Teresa Watts</t>
  </si>
  <si>
    <t>Alicia Wood Shah</t>
  </si>
  <si>
    <t>Gyration Ultra Cordless Optical Suite</t>
  </si>
  <si>
    <t>Alison Sharp</t>
  </si>
  <si>
    <t>Ibico Hi-Tech Manual Binding System</t>
  </si>
  <si>
    <t>Laconia</t>
  </si>
  <si>
    <t>Seth Matthews</t>
  </si>
  <si>
    <t>Inkster</t>
  </si>
  <si>
    <t>Edna Huang</t>
  </si>
  <si>
    <t>South Hadley</t>
  </si>
  <si>
    <t>Frances Saunders</t>
  </si>
  <si>
    <t>Brenda May</t>
  </si>
  <si>
    <t>Quartet Alpha® White Chalk, 12/Pack</t>
  </si>
  <si>
    <t>Marlene Phillips</t>
  </si>
  <si>
    <t>Imation 3.5" DS-HD Macintosh Formatted Diskettes, 10/Pack</t>
  </si>
  <si>
    <t>Brett Hawkins</t>
  </si>
  <si>
    <t>Global Adaptabilities™ Conference Tables</t>
  </si>
  <si>
    <t>Highlands Ranch</t>
  </si>
  <si>
    <t>Alexandra Wise</t>
  </si>
  <si>
    <t>GBC Standard Plastic Binding Systems Combs</t>
  </si>
  <si>
    <t>Debra P May</t>
  </si>
  <si>
    <t>Danielle Kramer</t>
  </si>
  <si>
    <t>Altus</t>
  </si>
  <si>
    <t>Jacob Burgess</t>
  </si>
  <si>
    <t>Wilson</t>
  </si>
  <si>
    <t>Peter Brooks</t>
  </si>
  <si>
    <t>Wesley Reid</t>
  </si>
  <si>
    <t>Leo J Olson</t>
  </si>
  <si>
    <t>Josephine Dalton</t>
  </si>
  <si>
    <t>T65</t>
  </si>
  <si>
    <t>Xerox 1892</t>
  </si>
  <si>
    <t>Kate McKenna</t>
  </si>
  <si>
    <t>Toledo</t>
  </si>
  <si>
    <t>Eileen Schwartz</t>
  </si>
  <si>
    <t>Xerox 199</t>
  </si>
  <si>
    <t>Liberal</t>
  </si>
  <si>
    <t>Bretford Rectangular Conference Table Tops</t>
  </si>
  <si>
    <t>Snap-A-Way® Black Print Carbonless Speed Message, No Reply Area, Duplicate</t>
  </si>
  <si>
    <t>Angela Howe</t>
  </si>
  <si>
    <t>Grand Island</t>
  </si>
  <si>
    <t>Francis Sherrill</t>
  </si>
  <si>
    <t>Asheville</t>
  </si>
  <si>
    <t>Helen Simpson</t>
  </si>
  <si>
    <t>Enid</t>
  </si>
  <si>
    <t>Bernard Thompson</t>
  </si>
  <si>
    <t>Raleigh</t>
  </si>
  <si>
    <t>Vicki Zhu Daniels</t>
  </si>
  <si>
    <t>Clearfield</t>
  </si>
  <si>
    <t>Marie Pittman</t>
  </si>
  <si>
    <t>Owatonna</t>
  </si>
  <si>
    <t>2160</t>
  </si>
  <si>
    <t>Xerox 1916</t>
  </si>
  <si>
    <t>Lester Sawyer</t>
  </si>
  <si>
    <t>Kevin Wolfe</t>
  </si>
  <si>
    <t>Kensington 7 Outlet MasterPiece Power Center</t>
  </si>
  <si>
    <t>East Point</t>
  </si>
  <si>
    <t>Logitech Internet Navigator Keyboard</t>
  </si>
  <si>
    <t>Kay Schultz</t>
  </si>
  <si>
    <t>College Station</t>
  </si>
  <si>
    <t>Ronnie Proctor</t>
  </si>
  <si>
    <t>Randall Boykin</t>
  </si>
  <si>
    <t>Xerox 1888</t>
  </si>
  <si>
    <t>Earl Watts</t>
  </si>
  <si>
    <t>Hopkins</t>
  </si>
  <si>
    <t>Lester Copeland</t>
  </si>
  <si>
    <t>Titusville</t>
  </si>
  <si>
    <t>Sam Woodward</t>
  </si>
  <si>
    <t>Marlene Kirk</t>
  </si>
  <si>
    <t>South Bend</t>
  </si>
  <si>
    <t>Henry Ball</t>
  </si>
  <si>
    <t>Morgantown</t>
  </si>
  <si>
    <t>Daniel Christian</t>
  </si>
  <si>
    <t>New Orleans</t>
  </si>
  <si>
    <t>Gina B Hess</t>
  </si>
  <si>
    <t>Webster</t>
  </si>
  <si>
    <t>Ricky Hensley</t>
  </si>
  <si>
    <t>Gresham</t>
  </si>
  <si>
    <t>Meredith Walters</t>
  </si>
  <si>
    <t>Peggy Rowe</t>
  </si>
  <si>
    <t>Stacey Hale</t>
  </si>
  <si>
    <t>Summit</t>
  </si>
  <si>
    <t>Sheryl Reese</t>
  </si>
  <si>
    <t>Owensboro</t>
  </si>
  <si>
    <t>Frances Holt</t>
  </si>
  <si>
    <t>Cambridge</t>
  </si>
  <si>
    <t>Jon Hale</t>
  </si>
  <si>
    <t>Belle Glade</t>
  </si>
  <si>
    <t>Geoffrey Rivera</t>
  </si>
  <si>
    <t>Deflect-o EconoMat Studded, No Bevel Mat for Low Pile Carpeting</t>
  </si>
  <si>
    <t>Donna Block</t>
  </si>
  <si>
    <t>Dalton</t>
  </si>
  <si>
    <t>Don Beard</t>
  </si>
  <si>
    <t>Ozark</t>
  </si>
  <si>
    <t>Pauline Boyette</t>
  </si>
  <si>
    <t>Virginia Gay</t>
  </si>
  <si>
    <t>ACCOHIDE® Binder by Acco</t>
  </si>
  <si>
    <t>Shawnee</t>
  </si>
  <si>
    <t>Robin High</t>
  </si>
  <si>
    <t>Howard Miller 13-3/4" Diameter Brushed Chrome Round Wall Clock</t>
  </si>
  <si>
    <t>Shakopee</t>
  </si>
  <si>
    <t>Dwight Stephenson</t>
  </si>
  <si>
    <t>Katherine Kearney</t>
  </si>
  <si>
    <t>Lemon Grove</t>
  </si>
  <si>
    <t>Monica McCormick</t>
  </si>
  <si>
    <t>Albemarle</t>
  </si>
  <si>
    <t>Xerox 1929</t>
  </si>
  <si>
    <t>Vickie Martinez</t>
  </si>
  <si>
    <t>William Sharma</t>
  </si>
  <si>
    <t>Maplewood</t>
  </si>
  <si>
    <t>Wayne Bean</t>
  </si>
  <si>
    <t>3M Hangers With Command Adhesive</t>
  </si>
  <si>
    <t>Kristin George</t>
  </si>
  <si>
    <t>Chromcraft Bull-Nose Wood Oval Conference Tables &amp; Bases</t>
  </si>
  <si>
    <t>Saco</t>
  </si>
  <si>
    <t>Justin Frank</t>
  </si>
  <si>
    <t>Herbert Donnelly Swanson</t>
  </si>
  <si>
    <t>Londonderry</t>
  </si>
  <si>
    <t>Ray Silverman</t>
  </si>
  <si>
    <t>Ponte Vedra Beach</t>
  </si>
  <si>
    <t>Kerry Beach</t>
  </si>
  <si>
    <t>Cumberland</t>
  </si>
  <si>
    <t>Randy Jiang</t>
  </si>
  <si>
    <t>Norwich</t>
  </si>
  <si>
    <t>Lynda Banks</t>
  </si>
  <si>
    <t>Avery 492</t>
  </si>
  <si>
    <t>Kalamazoo</t>
  </si>
  <si>
    <t>Kenneth Pollock</t>
  </si>
  <si>
    <t>Harrisonburg</t>
  </si>
  <si>
    <t>Newell 326</t>
  </si>
  <si>
    <t>Pat Kinney</t>
  </si>
  <si>
    <t>Steve O'Brien</t>
  </si>
  <si>
    <t>Bolingbrook</t>
  </si>
  <si>
    <t>Holly Pate</t>
  </si>
  <si>
    <t>Xerox 1993</t>
  </si>
  <si>
    <t>Mustang</t>
  </si>
  <si>
    <t>Joseph Dawson</t>
  </si>
  <si>
    <t>Muncie</t>
  </si>
  <si>
    <t>V 3600 Series</t>
  </si>
  <si>
    <t>Frances Johnson</t>
  </si>
  <si>
    <t>Iris Project Case</t>
  </si>
  <si>
    <t>Middle River</t>
  </si>
  <si>
    <t>Alice Berger McIntyre</t>
  </si>
  <si>
    <t>Lunenburg</t>
  </si>
  <si>
    <t>Kurt O'Connor</t>
  </si>
  <si>
    <t>Edinburg</t>
  </si>
  <si>
    <t>Lucille McGee</t>
  </si>
  <si>
    <t>Greensburg</t>
  </si>
  <si>
    <t>Claudia Boyle</t>
  </si>
  <si>
    <t>Biddeford</t>
  </si>
  <si>
    <t>Avery Durable Binders</t>
  </si>
  <si>
    <t>Tom McFarland</t>
  </si>
  <si>
    <t>Lodi</t>
  </si>
  <si>
    <t>Aaron Riggs</t>
  </si>
  <si>
    <t>Newell 333</t>
  </si>
  <si>
    <t>Megan Woods</t>
  </si>
  <si>
    <t>Green Bay</t>
  </si>
  <si>
    <t>John Bray</t>
  </si>
  <si>
    <t>Canon Image Class D660 Copier</t>
  </si>
  <si>
    <t>Christopher High</t>
  </si>
  <si>
    <t>Massillon</t>
  </si>
  <si>
    <t>Clara Kaplan</t>
  </si>
  <si>
    <t>Jay Simon</t>
  </si>
  <si>
    <t>Rogers</t>
  </si>
  <si>
    <t>Prang Drawing Pencil Set</t>
  </si>
  <si>
    <t>Laurence Flowers</t>
  </si>
  <si>
    <t>Biloxi</t>
  </si>
  <si>
    <t>Cathy Burgess</t>
  </si>
  <si>
    <t>Shreveport</t>
  </si>
  <si>
    <t>Valerie Moon</t>
  </si>
  <si>
    <t>Brooke Lancaster</t>
  </si>
  <si>
    <t>Frances Powers</t>
  </si>
  <si>
    <t>KI Conference Tables</t>
  </si>
  <si>
    <t>Reynoldsburg</t>
  </si>
  <si>
    <t>Steven Long</t>
  </si>
  <si>
    <t>Adrian</t>
  </si>
  <si>
    <t>Karen O'Donnell</t>
  </si>
  <si>
    <t>Jeanne Walker</t>
  </si>
  <si>
    <t>Kelly Shaw</t>
  </si>
  <si>
    <t>Gerald Crabtree</t>
  </si>
  <si>
    <t>Aberdeen</t>
  </si>
  <si>
    <t>Natalie Watts</t>
  </si>
  <si>
    <t>West Des Moines</t>
  </si>
  <si>
    <t>Xerox 196</t>
  </si>
  <si>
    <t>Elsie Floyd</t>
  </si>
  <si>
    <t>Beverly Hills</t>
  </si>
  <si>
    <t>Epson C62 Color Inkjet Printer</t>
  </si>
  <si>
    <t>Xerox 197</t>
  </si>
  <si>
    <t>Eric West</t>
  </si>
  <si>
    <t>Hempstead</t>
  </si>
  <si>
    <t>John Morse</t>
  </si>
  <si>
    <t>New Britain</t>
  </si>
  <si>
    <t>Judy Merritt</t>
  </si>
  <si>
    <t>Jimmy Wang</t>
  </si>
  <si>
    <t>Bionaire 99.97% HEPA Air Cleaner</t>
  </si>
  <si>
    <t>Verbatim DVD-R, 3.95GB, SR, Mitsubishi Branded, Jewel</t>
  </si>
  <si>
    <t>Melanie Morrow</t>
  </si>
  <si>
    <t>Quartet Omega® Colored Chalk, 12/Pack</t>
  </si>
  <si>
    <t>Dennis Welch</t>
  </si>
  <si>
    <t>Laredo</t>
  </si>
  <si>
    <t>Becky O'Brien</t>
  </si>
  <si>
    <t>Springville</t>
  </si>
  <si>
    <t>Staples Vinyl Coated Paper Clips, 800/Box</t>
  </si>
  <si>
    <t>Teresa Hill</t>
  </si>
  <si>
    <t>Annie Odom</t>
  </si>
  <si>
    <t>Fellowes Superior 10 Outlet Split Surge Protector</t>
  </si>
  <si>
    <t>New City</t>
  </si>
  <si>
    <t>Hewlett Packard LaserJet 3310 Copier</t>
  </si>
  <si>
    <t>Unpadded Memo Slips</t>
  </si>
  <si>
    <t>Gary Frazier</t>
  </si>
  <si>
    <t>North Royalton</t>
  </si>
  <si>
    <t>Dennis Block Richardson</t>
  </si>
  <si>
    <t>Niagara Falls</t>
  </si>
  <si>
    <t>Sam</t>
  </si>
  <si>
    <t>Chris</t>
  </si>
  <si>
    <t>William</t>
  </si>
  <si>
    <t>Erin</t>
  </si>
  <si>
    <t>Grand Total</t>
  </si>
  <si>
    <t>Quantity</t>
  </si>
  <si>
    <t>Sale</t>
  </si>
  <si>
    <t>Gross Profit</t>
  </si>
  <si>
    <t>Dollar Discount</t>
  </si>
  <si>
    <t>Cumulative cost</t>
  </si>
  <si>
    <t>Y</t>
  </si>
  <si>
    <t>2. Segment Distribution of each product category</t>
  </si>
  <si>
    <t>6. Distribution of Order Priority</t>
  </si>
  <si>
    <t>Distribution</t>
  </si>
  <si>
    <t>Sales %</t>
  </si>
  <si>
    <t>Quantity %</t>
  </si>
  <si>
    <t>X</t>
  </si>
  <si>
    <t>Max Sales</t>
  </si>
  <si>
    <t>Not Max Sales</t>
  </si>
  <si>
    <t>Sum of Profit</t>
  </si>
  <si>
    <t>Profit percentage</t>
  </si>
  <si>
    <t>Sum of Sales</t>
  </si>
  <si>
    <t>Sale %</t>
  </si>
  <si>
    <t>Jan</t>
  </si>
  <si>
    <t>Quantity Sold</t>
  </si>
  <si>
    <t>% of Sold Qty</t>
  </si>
  <si>
    <t>Total Profit</t>
  </si>
  <si>
    <t>Regional Profit</t>
  </si>
  <si>
    <t>10. Analyzing Shipping priority share (what product is high priority and also by region)</t>
  </si>
  <si>
    <t>All other Cost</t>
  </si>
  <si>
    <t>Net Profit</t>
  </si>
  <si>
    <t>Average</t>
  </si>
  <si>
    <t>count</t>
  </si>
  <si>
    <t>Feb</t>
  </si>
  <si>
    <t>Mar</t>
  </si>
  <si>
    <t>Apr</t>
  </si>
  <si>
    <t>May</t>
  </si>
  <si>
    <t>Jun</t>
  </si>
  <si>
    <t>Total Sales</t>
  </si>
  <si>
    <t>Gross Cost</t>
  </si>
  <si>
    <t>Total</t>
  </si>
  <si>
    <t>Values</t>
  </si>
  <si>
    <t>Choice</t>
  </si>
  <si>
    <t>Totals</t>
  </si>
  <si>
    <t>Order Date (Month)</t>
  </si>
  <si>
    <t>Date</t>
  </si>
  <si>
    <t>Title</t>
  </si>
  <si>
    <t>Sold Quantity</t>
  </si>
  <si>
    <t>Count</t>
  </si>
  <si>
    <t>Row Labels</t>
  </si>
  <si>
    <t xml:space="preserve">Top 3 Values </t>
  </si>
  <si>
    <t>Top 3 Names</t>
  </si>
  <si>
    <t>The Dates</t>
  </si>
  <si>
    <t>The Products</t>
  </si>
  <si>
    <t>Column Labels</t>
  </si>
  <si>
    <t>Selection</t>
  </si>
  <si>
    <t>Σ Costs</t>
  </si>
  <si>
    <t>Σ Discount</t>
  </si>
  <si>
    <t>Σ Profit</t>
  </si>
  <si>
    <t>Σ Shipping</t>
  </si>
  <si>
    <t>Filter by segment, what do they buy, what priority and which city, what products</t>
  </si>
  <si>
    <t xml:space="preserve"> Shipping priority share (what product is high priority and also by region)</t>
  </si>
  <si>
    <t>Week Number</t>
  </si>
  <si>
    <t>Recent order date</t>
  </si>
  <si>
    <t># of Orders</t>
  </si>
  <si>
    <t>Last Orderd</t>
  </si>
  <si>
    <t>Sales&amp;Profit_TrendChart</t>
  </si>
  <si>
    <t>Monthly Avg Sale</t>
  </si>
  <si>
    <t>Sales&amp;Profit_BarChart</t>
  </si>
  <si>
    <t>Sales&amp;Profit_SmallDonut</t>
  </si>
  <si>
    <t>Sales&amp;Profit_VBAhover</t>
  </si>
  <si>
    <t>SALES &amp; PROFIT</t>
  </si>
  <si>
    <t>The Map</t>
  </si>
  <si>
    <t>SALES MAP</t>
  </si>
  <si>
    <t>RegionalBars+Matrix</t>
  </si>
  <si>
    <t>TRENDS</t>
  </si>
  <si>
    <t>LineChart</t>
  </si>
  <si>
    <t>Bars</t>
  </si>
  <si>
    <t>Matrix</t>
  </si>
  <si>
    <t>height</t>
  </si>
  <si>
    <t>Sales&amp;Profit_</t>
  </si>
  <si>
    <t>Matrix+</t>
  </si>
  <si>
    <t>ScatterChart+Donut</t>
  </si>
  <si>
    <t>N/A</t>
  </si>
  <si>
    <t>Enterpreneurs</t>
  </si>
  <si>
    <t>Cust. Segment</t>
  </si>
  <si>
    <t>DISTRIBUTION</t>
  </si>
  <si>
    <t>https://static.vecteezy.com/system/resources/previews/002/304/213/non_2x/dark-purple-circuit-microchip-technology-on-future-background-hi-tech-digital-and-communication-concept-design-free-space-for-text-in-put-illustration-vector.jpg</t>
  </si>
  <si>
    <t>Top Loss</t>
  </si>
  <si>
    <t>Top Sale Cities</t>
  </si>
  <si>
    <t>Least Sale Cities</t>
  </si>
  <si>
    <t>Top Profit Cities</t>
  </si>
  <si>
    <t>Least Profit Cities</t>
  </si>
  <si>
    <t>City Name</t>
  </si>
  <si>
    <t>Top Cities</t>
  </si>
  <si>
    <t>Least Cities</t>
  </si>
  <si>
    <t>Top Selling Products</t>
  </si>
  <si>
    <t>Top Profit Products</t>
  </si>
  <si>
    <t>Least Selling Products</t>
  </si>
  <si>
    <t>Top Products</t>
  </si>
  <si>
    <t>Least Products</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</si>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</sst>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5" formatCode="&quot;$&quot;#,##0;\-&quot;$&quot;#,##0"/>
    <numFmt numFmtId="6" formatCode="&quot;$&quot;#,##0;[Red]\-&quot;$&quot;#,##0"/>
    <numFmt numFmtId="44" formatCode="_-&quot;$&quot;* #,##0.00_-;\-&quot;$&quot;* #,##0.00_-;_-&quot;$&quot;* &quot;-&quot;??_-;_-@_-"/>
    <numFmt numFmtId="43" formatCode="_-* #,##0.00_-;\-* #,##0.00_-;_-* &quot;-&quot;??_-;_-@_-"/>
    <numFmt numFmtId="164" formatCode="&quot;$&quot;#,##0.00"/>
    <numFmt numFmtId="165" formatCode="_-* #,##0_-;\-* #,##0_-;_-* &quot;-&quot;??_-;_-@_-"/>
    <numFmt numFmtId="166" formatCode="\$#,##0;\-\$#,##0;\$#,##0"/>
    <numFmt numFmtId="167" formatCode="[=0]&quot;&quot;;dd/mmm"/>
    <numFmt numFmtId="168" formatCode="&quot;$&quot;#,##0"/>
    <numFmt numFmtId="169" formatCode="[$-F800]dddd\,\ mmmm\ dd\,\ yyyy"/>
  </numFmts>
  <fonts count="30" x14ac:knownFonts="1">
    <font>
      <sz val="10"/>
      <color rgb="FF000000"/>
      <name val="Arial"/>
      <scheme val="minor"/>
    </font>
    <font>
      <sz val="11"/>
      <color theme="1"/>
      <name val="Calibri"/>
      <family val="2"/>
    </font>
    <font>
      <sz val="10"/>
      <color theme="1"/>
      <name val="Arial"/>
      <family val="2"/>
      <scheme val="minor"/>
    </font>
    <font>
      <sz val="11"/>
      <color rgb="FF000000"/>
      <name val="Calibri"/>
      <family val="2"/>
    </font>
    <font>
      <sz val="8"/>
      <name val="Arial"/>
      <family val="2"/>
      <scheme val="minor"/>
    </font>
    <font>
      <b/>
      <sz val="10"/>
      <color theme="1"/>
      <name val="Arial"/>
      <family val="2"/>
      <scheme val="minor"/>
    </font>
    <font>
      <sz val="11"/>
      <color rgb="FFFF0000"/>
      <name val="Calibri"/>
      <family val="2"/>
    </font>
    <font>
      <sz val="11"/>
      <color rgb="FF194AFE"/>
      <name val="Calibri"/>
      <family val="2"/>
    </font>
    <font>
      <sz val="10"/>
      <color theme="2"/>
      <name val="Arial"/>
      <family val="2"/>
      <scheme val="minor"/>
    </font>
    <font>
      <sz val="10"/>
      <color rgb="FF000000"/>
      <name val="Arial"/>
      <scheme val="minor"/>
    </font>
    <font>
      <b/>
      <sz val="10"/>
      <color rgb="FF000000"/>
      <name val="Arial"/>
      <family val="2"/>
      <scheme val="minor"/>
    </font>
    <font>
      <sz val="11"/>
      <color theme="0"/>
      <name val="Calibri"/>
      <family val="2"/>
    </font>
    <font>
      <sz val="11"/>
      <color theme="0"/>
      <name val="Avenir Next LT Pro"/>
      <family val="2"/>
    </font>
    <font>
      <sz val="10"/>
      <name val="Arial"/>
      <family val="2"/>
      <scheme val="minor"/>
    </font>
    <font>
      <sz val="8"/>
      <color rgb="FF000000"/>
      <name val="Segoe UI"/>
      <family val="2"/>
    </font>
    <font>
      <sz val="11"/>
      <color rgb="FF000000"/>
      <name val="Avenir Next LT Pro"/>
      <family val="2"/>
    </font>
    <font>
      <sz val="11"/>
      <color rgb="FFFF0000"/>
      <name val="Avenir Next LT Pro"/>
      <family val="2"/>
    </font>
    <font>
      <sz val="11"/>
      <name val="Avenir Next LT Pro"/>
      <family val="2"/>
    </font>
    <font>
      <sz val="10"/>
      <color rgb="FF000000"/>
      <name val="Arial"/>
      <family val="2"/>
      <scheme val="minor"/>
    </font>
    <font>
      <sz val="10"/>
      <color rgb="FFFF0000"/>
      <name val="Arial"/>
      <family val="2"/>
      <scheme val="minor"/>
    </font>
    <font>
      <b/>
      <sz val="11"/>
      <color rgb="FF000000"/>
      <name val="Avenir Next LT Pro"/>
      <family val="2"/>
    </font>
    <font>
      <sz val="11"/>
      <color rgb="FF194AFE"/>
      <name val="Avenir Next LT Pro"/>
      <family val="2"/>
    </font>
    <font>
      <b/>
      <sz val="11"/>
      <color rgb="FFFF0000"/>
      <name val="Avenir Next LT Pro"/>
      <family val="2"/>
    </font>
    <font>
      <b/>
      <sz val="11"/>
      <color theme="1"/>
      <name val="Calibri"/>
      <family val="2"/>
    </font>
    <font>
      <b/>
      <sz val="11"/>
      <color rgb="FF000000"/>
      <name val="Calibri"/>
      <family val="2"/>
    </font>
    <font>
      <b/>
      <sz val="11"/>
      <color rgb="FFFF0000"/>
      <name val="Calibri"/>
      <family val="2"/>
    </font>
    <font>
      <sz val="11"/>
      <color theme="2" tint="-4.9989318521683403E-2"/>
      <name val="Avenir Next LT Pro"/>
      <family val="2"/>
    </font>
    <font>
      <sz val="11"/>
      <color rgb="FF000000"/>
      <name val="Arial"/>
      <family val="2"/>
      <scheme val="minor"/>
    </font>
    <font>
      <sz val="14"/>
      <color rgb="FF000000"/>
      <name val="Avenir Next LT Pro"/>
      <family val="2"/>
    </font>
    <font>
      <sz val="18"/>
      <color rgb="FF7030A0"/>
      <name val="Avenir Next LT Pro"/>
      <family val="2"/>
    </font>
  </fonts>
  <fills count="7">
    <fill>
      <patternFill patternType="none"/>
    </fill>
    <fill>
      <patternFill patternType="gray125"/>
    </fill>
    <fill>
      <patternFill patternType="solid">
        <fgColor theme="1"/>
        <bgColor indexed="64"/>
      </patternFill>
    </fill>
    <fill>
      <patternFill patternType="solid">
        <fgColor theme="0" tint="-4.9989318521683403E-2"/>
        <bgColor indexed="64"/>
      </patternFill>
    </fill>
    <fill>
      <patternFill patternType="solid">
        <fgColor theme="2" tint="-4.9989318521683403E-2"/>
        <bgColor indexed="64"/>
      </patternFill>
    </fill>
    <fill>
      <patternFill patternType="solid">
        <fgColor theme="0"/>
        <bgColor indexed="64"/>
      </patternFill>
    </fill>
    <fill>
      <patternFill patternType="solid">
        <fgColor rgb="FF7030A0"/>
        <bgColor indexed="64"/>
      </patternFill>
    </fill>
  </fills>
  <borders count="72">
    <border>
      <left/>
      <right/>
      <top/>
      <bottom/>
      <diagonal/>
    </border>
    <border>
      <left/>
      <right/>
      <top/>
      <bottom style="thin">
        <color indexed="64"/>
      </bottom>
      <diagonal/>
    </border>
    <border>
      <left style="thin">
        <color indexed="64"/>
      </left>
      <right/>
      <top/>
      <bottom/>
      <diagonal/>
    </border>
    <border>
      <left style="thin">
        <color rgb="FFABABAB"/>
      </left>
      <right/>
      <top style="thin">
        <color rgb="FFABABAB"/>
      </top>
      <bottom/>
      <diagonal/>
    </border>
    <border>
      <left style="thin">
        <color rgb="FFABABAB"/>
      </left>
      <right/>
      <top style="thin">
        <color indexed="65"/>
      </top>
      <bottom/>
      <diagonal/>
    </border>
    <border>
      <left/>
      <right/>
      <top style="thin">
        <color rgb="FFABABAB"/>
      </top>
      <bottom/>
      <diagonal/>
    </border>
    <border>
      <left/>
      <right/>
      <top style="thin">
        <color indexed="65"/>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ABABAB"/>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style="medium">
        <color indexed="64"/>
      </right>
      <top/>
      <bottom style="thin">
        <color indexed="64"/>
      </bottom>
      <diagonal/>
    </border>
    <border>
      <left style="thin">
        <color rgb="FFABABAB"/>
      </left>
      <right/>
      <top style="medium">
        <color indexed="64"/>
      </top>
      <bottom/>
      <diagonal/>
    </border>
    <border>
      <left style="thin">
        <color indexed="64"/>
      </left>
      <right/>
      <top style="medium">
        <color indexed="64"/>
      </top>
      <bottom style="double">
        <color indexed="64"/>
      </bottom>
      <diagonal/>
    </border>
    <border>
      <left style="thin">
        <color rgb="FFABABAB"/>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top style="thin">
        <color rgb="FFABABAB"/>
      </top>
      <bottom/>
      <diagonal/>
    </border>
    <border>
      <left style="medium">
        <color indexed="64"/>
      </left>
      <right/>
      <top style="thin">
        <color indexed="65"/>
      </top>
      <bottom/>
      <diagonal/>
    </border>
    <border>
      <left/>
      <right style="medium">
        <color indexed="64"/>
      </right>
      <top style="thin">
        <color rgb="FFABABAB"/>
      </top>
      <bottom/>
      <diagonal/>
    </border>
    <border>
      <left style="thin">
        <color rgb="FFABABAB"/>
      </left>
      <right/>
      <top/>
      <bottom style="medium">
        <color indexed="64"/>
      </bottom>
      <diagonal/>
    </border>
    <border>
      <left style="thin">
        <color rgb="FFABABAB"/>
      </left>
      <right/>
      <top style="thin">
        <color indexed="65"/>
      </top>
      <bottom style="medium">
        <color indexed="64"/>
      </bottom>
      <diagonal/>
    </border>
    <border>
      <left/>
      <right/>
      <top style="thin">
        <color indexed="65"/>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5"/>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5"/>
      </top>
      <bottom/>
      <diagonal/>
    </border>
    <border>
      <left style="medium">
        <color indexed="64"/>
      </left>
      <right style="medium">
        <color indexed="64"/>
      </right>
      <top style="thin">
        <color rgb="FFABABAB"/>
      </top>
      <bottom/>
      <diagonal/>
    </border>
    <border>
      <left style="medium">
        <color indexed="64"/>
      </left>
      <right style="medium">
        <color indexed="64"/>
      </right>
      <top style="thin">
        <color indexed="65"/>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ABABAB"/>
      </left>
      <right style="medium">
        <color indexed="64"/>
      </right>
      <top style="medium">
        <color indexed="64"/>
      </top>
      <bottom style="medium">
        <color indexed="64"/>
      </bottom>
      <diagonal/>
    </border>
    <border>
      <left style="thin">
        <color indexed="65"/>
      </left>
      <right/>
      <top style="medium">
        <color indexed="64"/>
      </top>
      <bottom style="medium">
        <color indexed="64"/>
      </bottom>
      <diagonal/>
    </border>
    <border>
      <left style="thin">
        <color rgb="FFABABAB"/>
      </left>
      <right style="medium">
        <color indexed="64"/>
      </right>
      <top style="medium">
        <color indexed="64"/>
      </top>
      <bottom/>
      <diagonal/>
    </border>
    <border>
      <left style="thin">
        <color rgb="FFABABAB"/>
      </left>
      <right style="medium">
        <color indexed="64"/>
      </right>
      <top/>
      <bottom/>
      <diagonal/>
    </border>
    <border>
      <left style="thin">
        <color rgb="FFABABAB"/>
      </left>
      <right style="medium">
        <color indexed="64"/>
      </right>
      <top/>
      <bottom style="medium">
        <color indexed="64"/>
      </bottom>
      <diagonal/>
    </border>
    <border>
      <left style="thin">
        <color rgb="FFABABAB"/>
      </left>
      <right/>
      <top style="medium">
        <color indexed="64"/>
      </top>
      <bottom style="medium">
        <color indexed="64"/>
      </bottom>
      <diagonal/>
    </border>
    <border>
      <left/>
      <right style="medium">
        <color indexed="64"/>
      </right>
      <top style="thin">
        <color indexed="65"/>
      </top>
      <bottom/>
      <diagonal/>
    </border>
    <border>
      <left/>
      <right style="medium">
        <color indexed="64"/>
      </right>
      <top style="thin">
        <color indexed="65"/>
      </top>
      <bottom style="medium">
        <color indexed="64"/>
      </bottom>
      <diagonal/>
    </border>
    <border>
      <left style="thin">
        <color rgb="FFABABAB"/>
      </left>
      <right style="medium">
        <color indexed="64"/>
      </right>
      <top style="thin">
        <color indexed="65"/>
      </top>
      <bottom/>
      <diagonal/>
    </border>
    <border>
      <left style="thin">
        <color rgb="FFABABAB"/>
      </left>
      <right style="medium">
        <color indexed="64"/>
      </right>
      <top style="thin">
        <color indexed="65"/>
      </top>
      <bottom style="medium">
        <color indexed="64"/>
      </bottom>
      <diagonal/>
    </border>
    <border>
      <left style="medium">
        <color indexed="64"/>
      </left>
      <right/>
      <top style="thin">
        <color indexed="65"/>
      </top>
      <bottom style="medium">
        <color indexed="64"/>
      </bottom>
      <diagonal/>
    </border>
    <border>
      <left style="thin">
        <color rgb="FFABABAB"/>
      </left>
      <right/>
      <top style="thin">
        <color rgb="FFABABAB"/>
      </top>
      <bottom style="medium">
        <color indexed="64"/>
      </bottom>
      <diagonal/>
    </border>
    <border>
      <left/>
      <right/>
      <top style="thin">
        <color rgb="FFABABAB"/>
      </top>
      <bottom style="medium">
        <color indexed="64"/>
      </bottom>
      <diagonal/>
    </border>
    <border>
      <left/>
      <right style="medium">
        <color indexed="64"/>
      </right>
      <top style="thin">
        <color rgb="FFABABAB"/>
      </top>
      <bottom style="medium">
        <color indexed="64"/>
      </bottom>
      <diagonal/>
    </border>
    <border>
      <left style="thin">
        <color rgb="FFABABAB"/>
      </left>
      <right style="medium">
        <color indexed="64"/>
      </right>
      <top style="thin">
        <color rgb="FFABABAB"/>
      </top>
      <bottom/>
      <diagonal/>
    </border>
    <border>
      <left style="thin">
        <color rgb="FFABABAB"/>
      </left>
      <right/>
      <top style="thin">
        <color indexed="64"/>
      </top>
      <bottom style="double">
        <color indexed="64"/>
      </bottom>
      <diagonal/>
    </border>
    <border>
      <left style="thin">
        <color indexed="64"/>
      </left>
      <right/>
      <top style="medium">
        <color indexed="64"/>
      </top>
      <bottom/>
      <diagonal/>
    </border>
    <border>
      <left/>
      <right style="medium">
        <color indexed="64"/>
      </right>
      <top style="thin">
        <color indexed="64"/>
      </top>
      <bottom style="double">
        <color indexed="64"/>
      </bottom>
      <diagonal/>
    </border>
    <border>
      <left/>
      <right style="thin">
        <color indexed="64"/>
      </right>
      <top style="medium">
        <color indexed="64"/>
      </top>
      <bottom/>
      <diagonal/>
    </border>
    <border>
      <left style="medium">
        <color indexed="64"/>
      </left>
      <right/>
      <top style="thin">
        <color indexed="64"/>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3" fontId="9" fillId="0" borderId="0" applyFont="0" applyFill="0" applyBorder="0" applyAlignment="0" applyProtection="0"/>
    <xf numFmtId="9" fontId="9" fillId="0" borderId="0" applyFont="0" applyFill="0" applyBorder="0" applyAlignment="0" applyProtection="0"/>
    <xf numFmtId="44" fontId="9" fillId="0" borderId="0" applyFont="0" applyFill="0" applyBorder="0" applyAlignment="0" applyProtection="0"/>
  </cellStyleXfs>
  <cellXfs count="424">
    <xf numFmtId="0" fontId="0" fillId="0" borderId="0" xfId="0"/>
    <xf numFmtId="0" fontId="3" fillId="0" borderId="0" xfId="0" applyFont="1" applyAlignment="1">
      <alignment horizontal="left" vertical="center"/>
    </xf>
    <xf numFmtId="0" fontId="0" fillId="2" borderId="0" xfId="0" applyFill="1"/>
    <xf numFmtId="0" fontId="8" fillId="2" borderId="0" xfId="0" applyFont="1" applyFill="1"/>
    <xf numFmtId="0" fontId="10" fillId="2" borderId="0" xfId="0" applyFont="1" applyFill="1"/>
    <xf numFmtId="0" fontId="11" fillId="2" borderId="0" xfId="0" applyFont="1" applyFill="1"/>
    <xf numFmtId="0" fontId="12" fillId="2" borderId="0" xfId="0" applyFont="1" applyFill="1"/>
    <xf numFmtId="0" fontId="18" fillId="2" borderId="0" xfId="0" applyFont="1" applyFill="1"/>
    <xf numFmtId="0" fontId="2" fillId="2" borderId="0" xfId="0" applyFont="1" applyFill="1" applyProtection="1">
      <protection locked="0"/>
    </xf>
    <xf numFmtId="0" fontId="13" fillId="2" borderId="0" xfId="0" applyFont="1" applyFill="1" applyProtection="1">
      <protection locked="0"/>
    </xf>
    <xf numFmtId="0" fontId="0" fillId="2" borderId="0" xfId="0" applyFill="1" applyProtection="1">
      <protection locked="0"/>
    </xf>
    <xf numFmtId="0" fontId="19" fillId="2" borderId="0" xfId="0" applyFont="1" applyFill="1"/>
    <xf numFmtId="0" fontId="12" fillId="2" borderId="0" xfId="0" applyFont="1" applyFill="1" applyAlignment="1">
      <alignment vertical="center"/>
    </xf>
    <xf numFmtId="0" fontId="12" fillId="2" borderId="0" xfId="0" applyFont="1" applyFill="1" applyAlignment="1">
      <alignment horizontal="right" vertical="center"/>
    </xf>
    <xf numFmtId="0" fontId="12" fillId="2" borderId="0" xfId="0" applyFont="1" applyFill="1" applyAlignment="1">
      <alignment horizontal="right"/>
    </xf>
    <xf numFmtId="0" fontId="3" fillId="2" borderId="0" xfId="0" applyFont="1" applyFill="1"/>
    <xf numFmtId="0" fontId="7" fillId="2" borderId="0" xfId="0" applyFont="1" applyFill="1"/>
    <xf numFmtId="0" fontId="13" fillId="2" borderId="0" xfId="0" applyFont="1" applyFill="1" applyAlignment="1" applyProtection="1">
      <alignment horizontal="left"/>
      <protection locked="0"/>
    </xf>
    <xf numFmtId="0" fontId="17" fillId="2" borderId="0" xfId="0" applyFont="1" applyFill="1" applyAlignment="1" applyProtection="1">
      <alignment vertical="center"/>
      <protection locked="0"/>
    </xf>
    <xf numFmtId="1" fontId="5" fillId="0" borderId="0" xfId="0" applyNumberFormat="1" applyFont="1" applyAlignment="1">
      <alignment horizontal="left" vertical="center"/>
    </xf>
    <xf numFmtId="49" fontId="5" fillId="0" borderId="0" xfId="0" applyNumberFormat="1" applyFont="1" applyAlignment="1">
      <alignment horizontal="left" vertical="center"/>
    </xf>
    <xf numFmtId="4" fontId="5" fillId="0" borderId="0" xfId="0" applyNumberFormat="1" applyFont="1" applyAlignment="1">
      <alignment horizontal="left" vertical="center"/>
    </xf>
    <xf numFmtId="164" fontId="5" fillId="0" borderId="0" xfId="0" applyNumberFormat="1" applyFont="1" applyAlignment="1">
      <alignment horizontal="left" vertical="center"/>
    </xf>
    <xf numFmtId="0" fontId="5" fillId="0" borderId="0" xfId="0" applyFont="1" applyAlignment="1">
      <alignment horizontal="left" vertical="center"/>
    </xf>
    <xf numFmtId="14" fontId="5" fillId="0" borderId="0" xfId="0" applyNumberFormat="1" applyFont="1" applyAlignment="1">
      <alignment horizontal="left" vertical="center"/>
    </xf>
    <xf numFmtId="0" fontId="5" fillId="0" borderId="0" xfId="0" applyFont="1" applyAlignment="1">
      <alignment horizontal="left"/>
    </xf>
    <xf numFmtId="1" fontId="1" fillId="0" borderId="0" xfId="0" applyNumberFormat="1" applyFont="1" applyAlignment="1">
      <alignment horizontal="right" vertical="center"/>
    </xf>
    <xf numFmtId="49" fontId="1" fillId="0" borderId="0" xfId="0" applyNumberFormat="1" applyFont="1" applyAlignment="1">
      <alignment horizontal="left" vertical="center"/>
    </xf>
    <xf numFmtId="4" fontId="1" fillId="0" borderId="0" xfId="0" applyNumberFormat="1" applyFont="1" applyAlignment="1">
      <alignment horizontal="right" vertical="center"/>
    </xf>
    <xf numFmtId="164" fontId="1" fillId="0" borderId="0" xfId="0" applyNumberFormat="1" applyFont="1" applyAlignment="1">
      <alignment horizontal="right" vertical="center"/>
    </xf>
    <xf numFmtId="49" fontId="1" fillId="0" borderId="0" xfId="0" applyNumberFormat="1" applyFont="1" applyAlignment="1">
      <alignment horizontal="center" vertical="center"/>
    </xf>
    <xf numFmtId="0" fontId="1" fillId="0" borderId="0" xfId="0" applyFont="1" applyAlignment="1">
      <alignment horizontal="left" vertical="center"/>
    </xf>
    <xf numFmtId="0" fontId="1" fillId="0" borderId="0" xfId="0" applyFont="1" applyAlignment="1">
      <alignment horizontal="right" vertical="center"/>
    </xf>
    <xf numFmtId="1" fontId="1" fillId="0" borderId="0" xfId="0" applyNumberFormat="1" applyFont="1" applyAlignment="1">
      <alignment horizontal="left" vertical="center"/>
    </xf>
    <xf numFmtId="14" fontId="1" fillId="0" borderId="0" xfId="0" applyNumberFormat="1" applyFont="1" applyAlignment="1">
      <alignment horizontal="right" vertical="center"/>
    </xf>
    <xf numFmtId="0" fontId="2" fillId="0" borderId="0" xfId="0" applyFont="1"/>
    <xf numFmtId="164" fontId="3" fillId="0" borderId="0" xfId="0" applyNumberFormat="1" applyFont="1" applyAlignment="1">
      <alignment horizontal="right" vertical="center"/>
    </xf>
    <xf numFmtId="0" fontId="0" fillId="0" borderId="0" xfId="0" applyAlignment="1">
      <alignment horizontal="left" vertical="center"/>
    </xf>
    <xf numFmtId="1" fontId="2" fillId="0" borderId="0" xfId="0" applyNumberFormat="1" applyFont="1" applyAlignment="1">
      <alignment horizontal="right" vertical="center"/>
    </xf>
    <xf numFmtId="49" fontId="2" fillId="0" borderId="0" xfId="0" applyNumberFormat="1" applyFont="1" applyAlignment="1">
      <alignment horizontal="left" vertical="center"/>
    </xf>
    <xf numFmtId="4" fontId="2" fillId="0" borderId="0" xfId="0" applyNumberFormat="1" applyFont="1" applyAlignment="1">
      <alignment horizontal="right" vertical="center"/>
    </xf>
    <xf numFmtId="164" fontId="2" fillId="0" borderId="0" xfId="0" applyNumberFormat="1" applyFont="1" applyAlignment="1">
      <alignment horizontal="right" vertical="center"/>
    </xf>
    <xf numFmtId="49" fontId="2" fillId="0" borderId="0" xfId="0" applyNumberFormat="1" applyFont="1" applyAlignment="1">
      <alignment horizontal="center" vertical="center"/>
    </xf>
    <xf numFmtId="0" fontId="2" fillId="0" borderId="0" xfId="0" applyFont="1" applyAlignment="1">
      <alignment horizontal="left" vertical="center"/>
    </xf>
    <xf numFmtId="0" fontId="2" fillId="0" borderId="0" xfId="0" applyFont="1" applyAlignment="1">
      <alignment horizontal="right" vertical="center"/>
    </xf>
    <xf numFmtId="1" fontId="2" fillId="0" borderId="0" xfId="0" applyNumberFormat="1" applyFont="1" applyAlignment="1">
      <alignment horizontal="left" vertical="center"/>
    </xf>
    <xf numFmtId="0" fontId="0" fillId="0" borderId="0" xfId="0" applyAlignment="1">
      <alignment horizontal="right" vertical="center"/>
    </xf>
    <xf numFmtId="1" fontId="0" fillId="0" borderId="0" xfId="0" applyNumberFormat="1" applyAlignment="1">
      <alignment horizontal="right" vertical="center"/>
    </xf>
    <xf numFmtId="49" fontId="0" fillId="0" borderId="0" xfId="0" applyNumberFormat="1" applyAlignment="1">
      <alignment horizontal="left" vertical="center"/>
    </xf>
    <xf numFmtId="4" fontId="0" fillId="0" borderId="0" xfId="0" applyNumberFormat="1" applyAlignment="1">
      <alignment horizontal="right" vertical="center"/>
    </xf>
    <xf numFmtId="164" fontId="0" fillId="0" borderId="0" xfId="0" applyNumberFormat="1" applyAlignment="1">
      <alignment horizontal="right" vertical="center"/>
    </xf>
    <xf numFmtId="49" fontId="0" fillId="0" borderId="0" xfId="0" applyNumberFormat="1" applyAlignment="1">
      <alignment horizontal="center" vertical="center"/>
    </xf>
    <xf numFmtId="1" fontId="0" fillId="0" borderId="0" xfId="0" applyNumberFormat="1" applyAlignment="1">
      <alignment horizontal="left" vertical="center"/>
    </xf>
    <xf numFmtId="14" fontId="0" fillId="0" borderId="0" xfId="0" applyNumberFormat="1" applyAlignment="1">
      <alignment horizontal="right" vertical="center"/>
    </xf>
    <xf numFmtId="164" fontId="6" fillId="0" borderId="0" xfId="0" applyNumberFormat="1" applyFont="1" applyAlignment="1">
      <alignment horizontal="right" vertical="center"/>
    </xf>
    <xf numFmtId="0" fontId="15" fillId="0" borderId="0" xfId="0" applyFont="1"/>
    <xf numFmtId="0" fontId="15" fillId="0" borderId="0" xfId="0" applyFont="1" applyAlignment="1">
      <alignment horizontal="center"/>
    </xf>
    <xf numFmtId="0" fontId="15" fillId="0" borderId="0" xfId="0" applyFont="1" applyAlignment="1">
      <alignment horizontal="left"/>
    </xf>
    <xf numFmtId="165" fontId="15" fillId="0" borderId="0" xfId="1" applyNumberFormat="1" applyFont="1" applyProtection="1"/>
    <xf numFmtId="167" fontId="15" fillId="4" borderId="0" xfId="0" applyNumberFormat="1" applyFont="1" applyFill="1"/>
    <xf numFmtId="165" fontId="15" fillId="4" borderId="0" xfId="1" applyNumberFormat="1" applyFont="1" applyFill="1" applyProtection="1"/>
    <xf numFmtId="1" fontId="15" fillId="4" borderId="0" xfId="0" applyNumberFormat="1" applyFont="1" applyFill="1"/>
    <xf numFmtId="0" fontId="16" fillId="0" borderId="0" xfId="0" applyFont="1"/>
    <xf numFmtId="0" fontId="15" fillId="3" borderId="0" xfId="0" applyFont="1" applyFill="1"/>
    <xf numFmtId="0" fontId="15" fillId="3" borderId="0" xfId="0" applyFont="1" applyFill="1" applyAlignment="1">
      <alignment horizontal="center"/>
    </xf>
    <xf numFmtId="0" fontId="15" fillId="3" borderId="0" xfId="0" applyFont="1" applyFill="1" applyAlignment="1">
      <alignment horizontal="left"/>
    </xf>
    <xf numFmtId="0" fontId="16" fillId="4" borderId="0" xfId="0" applyFont="1" applyFill="1"/>
    <xf numFmtId="0" fontId="15" fillId="4" borderId="0" xfId="0" applyFont="1" applyFill="1" applyAlignment="1">
      <alignment horizontal="left"/>
    </xf>
    <xf numFmtId="0" fontId="15" fillId="4" borderId="0" xfId="0" applyFont="1" applyFill="1"/>
    <xf numFmtId="0" fontId="15" fillId="3" borderId="7" xfId="0" applyFont="1" applyFill="1" applyBorder="1"/>
    <xf numFmtId="0" fontId="15" fillId="3" borderId="8" xfId="0" applyFont="1" applyFill="1" applyBorder="1" applyAlignment="1">
      <alignment horizontal="center"/>
    </xf>
    <xf numFmtId="0" fontId="15" fillId="3" borderId="8" xfId="0" applyFont="1" applyFill="1" applyBorder="1"/>
    <xf numFmtId="0" fontId="15" fillId="3" borderId="9" xfId="0" applyFont="1" applyFill="1" applyBorder="1"/>
    <xf numFmtId="165" fontId="15" fillId="0" borderId="0" xfId="0" applyNumberFormat="1" applyFont="1"/>
    <xf numFmtId="0" fontId="15" fillId="3" borderId="2" xfId="0" applyFont="1" applyFill="1" applyBorder="1"/>
    <xf numFmtId="5" fontId="15" fillId="3" borderId="0" xfId="1" applyNumberFormat="1" applyFont="1" applyFill="1" applyBorder="1" applyProtection="1"/>
    <xf numFmtId="165" fontId="15" fillId="3" borderId="0" xfId="1" applyNumberFormat="1" applyFont="1" applyFill="1" applyBorder="1" applyProtection="1"/>
    <xf numFmtId="10" fontId="15" fillId="3" borderId="10" xfId="1" applyNumberFormat="1" applyFont="1" applyFill="1" applyBorder="1" applyProtection="1"/>
    <xf numFmtId="0" fontId="15" fillId="4" borderId="2" xfId="0" applyFont="1" applyFill="1" applyBorder="1"/>
    <xf numFmtId="166" fontId="17" fillId="4" borderId="13" xfId="0" applyNumberFormat="1" applyFont="1" applyFill="1" applyBorder="1"/>
    <xf numFmtId="166" fontId="17" fillId="4" borderId="4" xfId="0" applyNumberFormat="1" applyFont="1" applyFill="1" applyBorder="1"/>
    <xf numFmtId="166" fontId="17" fillId="4" borderId="6" xfId="0" applyNumberFormat="1" applyFont="1" applyFill="1" applyBorder="1"/>
    <xf numFmtId="165" fontId="17" fillId="0" borderId="0" xfId="0" applyNumberFormat="1" applyFont="1"/>
    <xf numFmtId="165" fontId="15" fillId="0" borderId="0" xfId="1" applyNumberFormat="1" applyFont="1" applyFill="1" applyProtection="1"/>
    <xf numFmtId="0" fontId="15" fillId="3" borderId="11" xfId="0" applyFont="1" applyFill="1" applyBorder="1"/>
    <xf numFmtId="0" fontId="15" fillId="3" borderId="1" xfId="0" applyFont="1" applyFill="1" applyBorder="1" applyAlignment="1">
      <alignment horizontal="center"/>
    </xf>
    <xf numFmtId="5" fontId="15" fillId="3" borderId="1" xfId="1" applyNumberFormat="1" applyFont="1" applyFill="1" applyBorder="1" applyProtection="1"/>
    <xf numFmtId="165" fontId="15" fillId="3" borderId="1" xfId="1" applyNumberFormat="1" applyFont="1" applyFill="1" applyBorder="1" applyProtection="1"/>
    <xf numFmtId="10" fontId="15" fillId="3" borderId="12" xfId="1" applyNumberFormat="1" applyFont="1" applyFill="1" applyBorder="1" applyProtection="1"/>
    <xf numFmtId="165" fontId="15" fillId="3" borderId="0" xfId="1" applyNumberFormat="1" applyFont="1" applyFill="1" applyAlignment="1" applyProtection="1">
      <alignment horizontal="left"/>
    </xf>
    <xf numFmtId="165" fontId="15" fillId="3" borderId="0" xfId="1" applyNumberFormat="1" applyFont="1" applyFill="1" applyBorder="1" applyAlignment="1" applyProtection="1">
      <alignment horizontal="left"/>
    </xf>
    <xf numFmtId="165" fontId="15" fillId="0" borderId="0" xfId="1" applyNumberFormat="1" applyFont="1" applyFill="1" applyBorder="1" applyAlignment="1" applyProtection="1">
      <alignment horizontal="left"/>
    </xf>
    <xf numFmtId="165" fontId="15" fillId="0" borderId="0" xfId="1" applyNumberFormat="1" applyFont="1" applyFill="1" applyAlignment="1" applyProtection="1">
      <alignment horizontal="left"/>
    </xf>
    <xf numFmtId="0" fontId="15" fillId="4" borderId="0" xfId="0" applyFont="1" applyFill="1" applyAlignment="1">
      <alignment horizontal="center"/>
    </xf>
    <xf numFmtId="165" fontId="15" fillId="4" borderId="0" xfId="1" applyNumberFormat="1" applyFont="1" applyFill="1" applyAlignment="1" applyProtection="1">
      <alignment horizontal="left"/>
    </xf>
    <xf numFmtId="0" fontId="20" fillId="4" borderId="0" xfId="0" applyFont="1" applyFill="1"/>
    <xf numFmtId="0" fontId="20" fillId="4" borderId="0" xfId="0" applyFont="1" applyFill="1" applyAlignment="1">
      <alignment horizontal="center"/>
    </xf>
    <xf numFmtId="0" fontId="16" fillId="5" borderId="0" xfId="0" applyFont="1" applyFill="1"/>
    <xf numFmtId="0" fontId="15" fillId="5" borderId="0" xfId="0" applyFont="1" applyFill="1"/>
    <xf numFmtId="165" fontId="15" fillId="5" borderId="0" xfId="1" applyNumberFormat="1" applyFont="1" applyFill="1" applyProtection="1"/>
    <xf numFmtId="0" fontId="15" fillId="4" borderId="11" xfId="0" applyFont="1" applyFill="1" applyBorder="1"/>
    <xf numFmtId="0" fontId="17" fillId="4" borderId="1" xfId="0" applyFont="1" applyFill="1" applyBorder="1"/>
    <xf numFmtId="6" fontId="17" fillId="4" borderId="1" xfId="0" applyNumberFormat="1" applyFont="1" applyFill="1" applyBorder="1"/>
    <xf numFmtId="0" fontId="15" fillId="0" borderId="0" xfId="0" applyFont="1" applyAlignment="1">
      <alignment horizontal="right"/>
    </xf>
    <xf numFmtId="165" fontId="15" fillId="0" borderId="0" xfId="1" applyNumberFormat="1" applyFont="1" applyAlignment="1" applyProtection="1">
      <alignment horizontal="right"/>
    </xf>
    <xf numFmtId="9" fontId="15" fillId="0" borderId="0" xfId="2" applyFont="1" applyProtection="1"/>
    <xf numFmtId="0" fontId="15" fillId="5" borderId="0" xfId="0" applyFont="1" applyFill="1" applyAlignment="1">
      <alignment horizontal="center"/>
    </xf>
    <xf numFmtId="0" fontId="15" fillId="5" borderId="0" xfId="0" applyFont="1" applyFill="1" applyAlignment="1">
      <alignment horizontal="left"/>
    </xf>
    <xf numFmtId="167" fontId="15" fillId="0" borderId="0" xfId="0" applyNumberFormat="1" applyFont="1"/>
    <xf numFmtId="1" fontId="15" fillId="0" borderId="0" xfId="0" applyNumberFormat="1" applyFont="1"/>
    <xf numFmtId="168" fontId="15" fillId="3" borderId="0" xfId="1" applyNumberFormat="1" applyFont="1" applyFill="1" applyBorder="1" applyProtection="1"/>
    <xf numFmtId="168" fontId="15" fillId="3" borderId="1" xfId="1" applyNumberFormat="1" applyFont="1" applyFill="1" applyBorder="1" applyProtection="1"/>
    <xf numFmtId="0" fontId="21" fillId="0" borderId="0" xfId="0" applyFont="1"/>
    <xf numFmtId="0" fontId="16" fillId="3" borderId="14" xfId="0" applyFont="1" applyFill="1" applyBorder="1"/>
    <xf numFmtId="0" fontId="15" fillId="3" borderId="15" xfId="0" applyFont="1" applyFill="1" applyBorder="1"/>
    <xf numFmtId="0" fontId="15" fillId="3" borderId="15" xfId="0" applyFont="1" applyFill="1" applyBorder="1" applyAlignment="1">
      <alignment horizontal="center"/>
    </xf>
    <xf numFmtId="0" fontId="15" fillId="3" borderId="15" xfId="0" applyFont="1" applyFill="1" applyBorder="1" applyAlignment="1">
      <alignment horizontal="left"/>
    </xf>
    <xf numFmtId="0" fontId="15" fillId="3" borderId="16" xfId="0" applyFont="1" applyFill="1" applyBorder="1" applyAlignment="1">
      <alignment horizontal="left"/>
    </xf>
    <xf numFmtId="0" fontId="15" fillId="3" borderId="17" xfId="0" applyFont="1" applyFill="1" applyBorder="1"/>
    <xf numFmtId="0" fontId="15" fillId="3" borderId="18" xfId="0" applyFont="1" applyFill="1" applyBorder="1" applyAlignment="1">
      <alignment horizontal="left"/>
    </xf>
    <xf numFmtId="165" fontId="15" fillId="3" borderId="0" xfId="0" applyNumberFormat="1" applyFont="1" applyFill="1"/>
    <xf numFmtId="9" fontId="15" fillId="3" borderId="0" xfId="0" applyNumberFormat="1" applyFont="1" applyFill="1" applyAlignment="1">
      <alignment horizontal="left"/>
    </xf>
    <xf numFmtId="10" fontId="15" fillId="3" borderId="18" xfId="0" applyNumberFormat="1" applyFont="1" applyFill="1" applyBorder="1" applyAlignment="1">
      <alignment horizontal="left"/>
    </xf>
    <xf numFmtId="9" fontId="15" fillId="3" borderId="0" xfId="2" applyFont="1" applyFill="1" applyBorder="1" applyProtection="1"/>
    <xf numFmtId="9" fontId="15" fillId="3" borderId="18" xfId="0" applyNumberFormat="1" applyFont="1" applyFill="1" applyBorder="1" applyAlignment="1">
      <alignment horizontal="left"/>
    </xf>
    <xf numFmtId="0" fontId="15" fillId="3" borderId="20" xfId="0" applyFont="1" applyFill="1" applyBorder="1"/>
    <xf numFmtId="0" fontId="15" fillId="3" borderId="21" xfId="0" applyFont="1" applyFill="1" applyBorder="1"/>
    <xf numFmtId="0" fontId="15" fillId="3" borderId="20" xfId="0" applyFont="1" applyFill="1" applyBorder="1" applyAlignment="1">
      <alignment horizontal="center"/>
    </xf>
    <xf numFmtId="0" fontId="15" fillId="3" borderId="20" xfId="0" applyFont="1" applyFill="1" applyBorder="1" applyAlignment="1">
      <alignment horizontal="left"/>
    </xf>
    <xf numFmtId="0" fontId="15" fillId="3" borderId="22" xfId="0" applyFont="1" applyFill="1" applyBorder="1" applyAlignment="1">
      <alignment horizontal="left"/>
    </xf>
    <xf numFmtId="10" fontId="15" fillId="3" borderId="16" xfId="0" applyNumberFormat="1" applyFont="1" applyFill="1" applyBorder="1"/>
    <xf numFmtId="0" fontId="15" fillId="3" borderId="14" xfId="0" applyFont="1" applyFill="1" applyBorder="1"/>
    <xf numFmtId="0" fontId="16" fillId="3" borderId="15" xfId="0" applyFont="1" applyFill="1" applyBorder="1"/>
    <xf numFmtId="0" fontId="15" fillId="3" borderId="16" xfId="0" applyFont="1" applyFill="1" applyBorder="1"/>
    <xf numFmtId="165" fontId="15" fillId="3" borderId="17" xfId="0" applyNumberFormat="1" applyFont="1" applyFill="1" applyBorder="1"/>
    <xf numFmtId="165" fontId="15" fillId="3" borderId="17" xfId="1" applyNumberFormat="1" applyFont="1" applyFill="1" applyBorder="1" applyProtection="1"/>
    <xf numFmtId="0" fontId="15" fillId="3" borderId="19" xfId="0" applyFont="1" applyFill="1" applyBorder="1"/>
    <xf numFmtId="0" fontId="15" fillId="3" borderId="14" xfId="0" applyFont="1" applyFill="1" applyBorder="1" applyAlignment="1">
      <alignment horizontal="center"/>
    </xf>
    <xf numFmtId="0" fontId="16" fillId="3" borderId="15" xfId="0" applyFont="1" applyFill="1" applyBorder="1" applyAlignment="1">
      <alignment horizontal="center"/>
    </xf>
    <xf numFmtId="0" fontId="16" fillId="4" borderId="14" xfId="0" applyFont="1" applyFill="1" applyBorder="1"/>
    <xf numFmtId="0" fontId="15" fillId="4" borderId="15" xfId="0" applyFont="1" applyFill="1" applyBorder="1"/>
    <xf numFmtId="165" fontId="15" fillId="4" borderId="15" xfId="1" applyNumberFormat="1" applyFont="1" applyFill="1" applyBorder="1" applyProtection="1"/>
    <xf numFmtId="0" fontId="15" fillId="4" borderId="16" xfId="0" applyFont="1" applyFill="1" applyBorder="1"/>
    <xf numFmtId="0" fontId="15" fillId="4" borderId="17" xfId="0" applyFont="1" applyFill="1" applyBorder="1"/>
    <xf numFmtId="0" fontId="15" fillId="4" borderId="18" xfId="0" applyFont="1" applyFill="1" applyBorder="1"/>
    <xf numFmtId="0" fontId="15" fillId="4" borderId="17" xfId="0" applyFont="1" applyFill="1" applyBorder="1" applyAlignment="1">
      <alignment horizontal="left"/>
    </xf>
    <xf numFmtId="165" fontId="15" fillId="4" borderId="0" xfId="0" applyNumberFormat="1" applyFont="1" applyFill="1"/>
    <xf numFmtId="165" fontId="15" fillId="4" borderId="18" xfId="0" applyNumberFormat="1" applyFont="1" applyFill="1" applyBorder="1"/>
    <xf numFmtId="0" fontId="15" fillId="4" borderId="19" xfId="0" applyFont="1" applyFill="1" applyBorder="1" applyAlignment="1">
      <alignment horizontal="left"/>
    </xf>
    <xf numFmtId="165" fontId="15" fillId="4" borderId="20" xfId="0" applyNumberFormat="1" applyFont="1" applyFill="1" applyBorder="1"/>
    <xf numFmtId="165" fontId="15" fillId="4" borderId="22" xfId="0" applyNumberFormat="1" applyFont="1" applyFill="1" applyBorder="1"/>
    <xf numFmtId="0" fontId="12" fillId="2" borderId="17" xfId="0" applyFont="1" applyFill="1" applyBorder="1" applyAlignment="1">
      <alignment horizontal="left" vertical="center" indent="2"/>
    </xf>
    <xf numFmtId="10" fontId="12" fillId="2" borderId="18" xfId="0" applyNumberFormat="1" applyFont="1" applyFill="1" applyBorder="1" applyAlignment="1">
      <alignment horizontal="left" vertical="center" indent="1"/>
    </xf>
    <xf numFmtId="0" fontId="15" fillId="0" borderId="0" xfId="0" applyFont="1" applyAlignment="1">
      <alignment horizontal="left" vertical="center" indent="2"/>
    </xf>
    <xf numFmtId="0" fontId="15" fillId="4" borderId="0" xfId="0" applyFont="1" applyFill="1" applyAlignment="1">
      <alignment horizontal="left" vertical="center" indent="2"/>
    </xf>
    <xf numFmtId="165" fontId="15" fillId="4" borderId="0" xfId="1" applyNumberFormat="1" applyFont="1" applyFill="1" applyAlignment="1" applyProtection="1">
      <alignment horizontal="left" vertical="center" indent="2"/>
    </xf>
    <xf numFmtId="0" fontId="15" fillId="4" borderId="2" xfId="0" applyFont="1" applyFill="1" applyBorder="1" applyAlignment="1">
      <alignment horizontal="left" vertical="center" indent="2"/>
    </xf>
    <xf numFmtId="0" fontId="15" fillId="4" borderId="14" xfId="0" applyFont="1" applyFill="1" applyBorder="1"/>
    <xf numFmtId="0" fontId="17" fillId="4" borderId="0" xfId="0" applyFont="1" applyFill="1"/>
    <xf numFmtId="0" fontId="17" fillId="4" borderId="19" xfId="0" applyFont="1" applyFill="1" applyBorder="1"/>
    <xf numFmtId="165" fontId="17" fillId="4" borderId="20" xfId="0" applyNumberFormat="1" applyFont="1" applyFill="1" applyBorder="1"/>
    <xf numFmtId="10" fontId="17" fillId="4" borderId="22" xfId="0" applyNumberFormat="1" applyFont="1" applyFill="1" applyBorder="1"/>
    <xf numFmtId="0" fontId="22" fillId="0" borderId="0" xfId="0" applyFont="1"/>
    <xf numFmtId="0" fontId="15" fillId="4" borderId="25" xfId="0" applyFont="1" applyFill="1" applyBorder="1"/>
    <xf numFmtId="166" fontId="17" fillId="4" borderId="26" xfId="0" applyNumberFormat="1" applyFont="1" applyFill="1" applyBorder="1"/>
    <xf numFmtId="166" fontId="17" fillId="4" borderId="27" xfId="0" applyNumberFormat="1" applyFont="1" applyFill="1" applyBorder="1"/>
    <xf numFmtId="0" fontId="15" fillId="4" borderId="28" xfId="0" applyFont="1" applyFill="1" applyBorder="1"/>
    <xf numFmtId="166" fontId="17" fillId="4" borderId="0" xfId="0" applyNumberFormat="1" applyFont="1" applyFill="1"/>
    <xf numFmtId="6" fontId="17" fillId="4" borderId="0" xfId="0" applyNumberFormat="1" applyFont="1" applyFill="1"/>
    <xf numFmtId="0" fontId="17" fillId="4" borderId="0" xfId="0" applyFont="1" applyFill="1" applyAlignment="1">
      <alignment horizontal="left" vertical="center" indent="2"/>
    </xf>
    <xf numFmtId="6" fontId="17" fillId="4" borderId="0" xfId="0" applyNumberFormat="1" applyFont="1" applyFill="1" applyAlignment="1">
      <alignment horizontal="left" vertical="center" indent="2"/>
    </xf>
    <xf numFmtId="0" fontId="15" fillId="4" borderId="18" xfId="0" applyFont="1" applyFill="1" applyBorder="1" applyAlignment="1">
      <alignment horizontal="left" vertical="center" indent="2"/>
    </xf>
    <xf numFmtId="0" fontId="15" fillId="4" borderId="23" xfId="0" applyFont="1" applyFill="1" applyBorder="1"/>
    <xf numFmtId="0" fontId="15" fillId="4" borderId="19" xfId="0" applyFont="1" applyFill="1" applyBorder="1" applyAlignment="1">
      <alignment horizontal="right"/>
    </xf>
    <xf numFmtId="165" fontId="15" fillId="4" borderId="20" xfId="1" applyNumberFormat="1" applyFont="1" applyFill="1" applyBorder="1" applyAlignment="1" applyProtection="1">
      <alignment horizontal="right"/>
    </xf>
    <xf numFmtId="0" fontId="15" fillId="4" borderId="20" xfId="0" applyFont="1" applyFill="1" applyBorder="1"/>
    <xf numFmtId="0" fontId="17" fillId="4" borderId="20" xfId="0" applyFont="1" applyFill="1" applyBorder="1"/>
    <xf numFmtId="165" fontId="15" fillId="4" borderId="20" xfId="1" applyNumberFormat="1" applyFont="1" applyFill="1" applyBorder="1" applyProtection="1"/>
    <xf numFmtId="0" fontId="15" fillId="4" borderId="22" xfId="0" applyFont="1" applyFill="1" applyBorder="1"/>
    <xf numFmtId="165" fontId="15" fillId="4" borderId="17" xfId="0" applyNumberFormat="1" applyFont="1" applyFill="1" applyBorder="1" applyAlignment="1">
      <alignment horizontal="left"/>
    </xf>
    <xf numFmtId="165" fontId="15" fillId="4" borderId="0" xfId="1" applyNumberFormat="1" applyFont="1" applyFill="1" applyBorder="1" applyProtection="1"/>
    <xf numFmtId="165" fontId="15" fillId="4" borderId="18" xfId="1" applyNumberFormat="1" applyFont="1" applyFill="1" applyBorder="1" applyProtection="1"/>
    <xf numFmtId="167" fontId="15" fillId="4" borderId="15" xfId="0" applyNumberFormat="1" applyFont="1" applyFill="1" applyBorder="1"/>
    <xf numFmtId="1" fontId="15" fillId="4" borderId="15" xfId="0" applyNumberFormat="1" applyFont="1" applyFill="1" applyBorder="1"/>
    <xf numFmtId="1" fontId="15" fillId="4" borderId="16" xfId="0" applyNumberFormat="1" applyFont="1" applyFill="1" applyBorder="1"/>
    <xf numFmtId="1" fontId="15" fillId="4" borderId="18" xfId="0" applyNumberFormat="1" applyFont="1" applyFill="1" applyBorder="1"/>
    <xf numFmtId="165" fontId="17" fillId="4" borderId="0" xfId="1" applyNumberFormat="1" applyFont="1" applyFill="1" applyBorder="1" applyProtection="1"/>
    <xf numFmtId="167" fontId="15" fillId="4" borderId="0" xfId="0" applyNumberFormat="1" applyFont="1" applyFill="1" applyAlignment="1">
      <alignment horizontal="left" vertical="center" indent="2"/>
    </xf>
    <xf numFmtId="165" fontId="15" fillId="4" borderId="0" xfId="1" applyNumberFormat="1" applyFont="1" applyFill="1" applyBorder="1" applyAlignment="1" applyProtection="1">
      <alignment horizontal="left" vertical="center" indent="2"/>
    </xf>
    <xf numFmtId="1" fontId="15" fillId="4" borderId="0" xfId="0" applyNumberFormat="1" applyFont="1" applyFill="1" applyAlignment="1">
      <alignment horizontal="left" vertical="center" indent="2"/>
    </xf>
    <xf numFmtId="1" fontId="15" fillId="4" borderId="18" xfId="0" applyNumberFormat="1" applyFont="1" applyFill="1" applyBorder="1" applyAlignment="1">
      <alignment horizontal="left" vertical="center" indent="2"/>
    </xf>
    <xf numFmtId="167" fontId="15" fillId="4" borderId="20" xfId="0" applyNumberFormat="1" applyFont="1" applyFill="1" applyBorder="1"/>
    <xf numFmtId="1" fontId="15" fillId="4" borderId="20" xfId="0" applyNumberFormat="1" applyFont="1" applyFill="1" applyBorder="1"/>
    <xf numFmtId="1" fontId="15" fillId="4" borderId="22" xfId="0" applyNumberFormat="1" applyFont="1" applyFill="1" applyBorder="1"/>
    <xf numFmtId="168" fontId="15" fillId="4" borderId="18" xfId="0" applyNumberFormat="1" applyFont="1" applyFill="1" applyBorder="1"/>
    <xf numFmtId="165" fontId="15" fillId="4" borderId="22" xfId="1" applyNumberFormat="1" applyFont="1" applyFill="1" applyBorder="1" applyProtection="1"/>
    <xf numFmtId="165" fontId="17" fillId="4" borderId="17" xfId="1" applyNumberFormat="1" applyFont="1" applyFill="1" applyBorder="1" applyProtection="1"/>
    <xf numFmtId="169" fontId="15" fillId="4" borderId="0" xfId="0" applyNumberFormat="1" applyFont="1" applyFill="1" applyAlignment="1">
      <alignment horizontal="left"/>
    </xf>
    <xf numFmtId="165" fontId="15" fillId="4" borderId="17" xfId="1" applyNumberFormat="1" applyFont="1" applyFill="1" applyBorder="1" applyProtection="1"/>
    <xf numFmtId="165" fontId="17" fillId="4" borderId="18" xfId="1" applyNumberFormat="1" applyFont="1" applyFill="1" applyBorder="1" applyProtection="1"/>
    <xf numFmtId="168" fontId="12" fillId="2" borderId="0" xfId="1" applyNumberFormat="1" applyFont="1" applyFill="1" applyBorder="1" applyAlignment="1" applyProtection="1">
      <alignment vertical="center"/>
    </xf>
    <xf numFmtId="1" fontId="23" fillId="0" borderId="0" xfId="0" applyNumberFormat="1" applyFont="1" applyAlignment="1">
      <alignment horizontal="right" vertical="center"/>
    </xf>
    <xf numFmtId="49" fontId="23" fillId="0" borderId="0" xfId="0" applyNumberFormat="1" applyFont="1" applyAlignment="1">
      <alignment horizontal="left" vertical="center"/>
    </xf>
    <xf numFmtId="4" fontId="23" fillId="0" borderId="0" xfId="0" applyNumberFormat="1" applyFont="1" applyAlignment="1">
      <alignment horizontal="right" vertical="center"/>
    </xf>
    <xf numFmtId="164" fontId="23" fillId="0" borderId="0" xfId="0" applyNumberFormat="1" applyFont="1" applyAlignment="1">
      <alignment horizontal="right" vertical="center"/>
    </xf>
    <xf numFmtId="49" fontId="23" fillId="0" borderId="0" xfId="0" applyNumberFormat="1" applyFont="1" applyAlignment="1">
      <alignment horizontal="center" vertical="center"/>
    </xf>
    <xf numFmtId="0" fontId="23" fillId="0" borderId="0" xfId="0" applyFont="1" applyAlignment="1">
      <alignment horizontal="left" vertical="center"/>
    </xf>
    <xf numFmtId="0" fontId="23" fillId="0" borderId="0" xfId="0" applyFont="1" applyAlignment="1">
      <alignment horizontal="right" vertical="center"/>
    </xf>
    <xf numFmtId="1" fontId="23" fillId="0" borderId="0" xfId="0" applyNumberFormat="1" applyFont="1" applyAlignment="1">
      <alignment horizontal="left" vertical="center"/>
    </xf>
    <xf numFmtId="14" fontId="23" fillId="0" borderId="0" xfId="0" applyNumberFormat="1" applyFont="1" applyAlignment="1">
      <alignment horizontal="right" vertical="center"/>
    </xf>
    <xf numFmtId="0" fontId="5" fillId="0" borderId="0" xfId="0" applyFont="1"/>
    <xf numFmtId="0" fontId="24" fillId="0" borderId="0" xfId="0" applyFont="1" applyAlignment="1">
      <alignment horizontal="left" vertical="center"/>
    </xf>
    <xf numFmtId="164" fontId="24" fillId="0" borderId="0" xfId="0" applyNumberFormat="1" applyFont="1" applyAlignment="1">
      <alignment horizontal="right" vertical="center"/>
    </xf>
    <xf numFmtId="164" fontId="25" fillId="0" borderId="0" xfId="0" applyNumberFormat="1" applyFont="1" applyAlignment="1">
      <alignment horizontal="right" vertical="center"/>
    </xf>
    <xf numFmtId="0" fontId="10" fillId="0" borderId="0" xfId="0" applyFont="1" applyAlignment="1">
      <alignment horizontal="left" vertical="center"/>
    </xf>
    <xf numFmtId="0" fontId="26" fillId="4" borderId="0" xfId="0" applyFont="1" applyFill="1" applyAlignment="1">
      <alignment horizontal="left" vertical="center" indent="2"/>
    </xf>
    <xf numFmtId="0" fontId="19" fillId="2" borderId="0" xfId="0" applyFont="1" applyFill="1" applyProtection="1">
      <protection locked="0"/>
    </xf>
    <xf numFmtId="0" fontId="15" fillId="4" borderId="35" xfId="0" applyFont="1" applyFill="1" applyBorder="1"/>
    <xf numFmtId="0" fontId="15" fillId="4" borderId="36" xfId="0" applyFont="1" applyFill="1" applyBorder="1"/>
    <xf numFmtId="0" fontId="15" fillId="4" borderId="44" xfId="0" applyFont="1" applyFill="1" applyBorder="1"/>
    <xf numFmtId="0" fontId="15" fillId="4" borderId="45" xfId="0" applyFont="1" applyFill="1" applyBorder="1"/>
    <xf numFmtId="0" fontId="15" fillId="4" borderId="38" xfId="0" applyFont="1" applyFill="1" applyBorder="1"/>
    <xf numFmtId="0" fontId="15" fillId="4" borderId="39" xfId="0" applyFont="1" applyFill="1" applyBorder="1"/>
    <xf numFmtId="0" fontId="15" fillId="4" borderId="41" xfId="0" applyFont="1" applyFill="1" applyBorder="1"/>
    <xf numFmtId="0" fontId="15" fillId="4" borderId="37" xfId="0" applyFont="1" applyFill="1" applyBorder="1"/>
    <xf numFmtId="0" fontId="15" fillId="4" borderId="40" xfId="0" applyFont="1" applyFill="1" applyBorder="1"/>
    <xf numFmtId="1" fontId="15" fillId="4" borderId="62" xfId="0" applyNumberFormat="1" applyFont="1" applyFill="1" applyBorder="1"/>
    <xf numFmtId="0" fontId="15" fillId="4" borderId="64" xfId="0" applyFont="1" applyFill="1" applyBorder="1"/>
    <xf numFmtId="0" fontId="15" fillId="4" borderId="61" xfId="0" applyFont="1" applyFill="1" applyBorder="1" applyAlignment="1">
      <alignment horizontal="center"/>
    </xf>
    <xf numFmtId="0" fontId="15" fillId="4" borderId="8" xfId="0" applyFont="1" applyFill="1" applyBorder="1"/>
    <xf numFmtId="0" fontId="15" fillId="4" borderId="7" xfId="0" applyFont="1" applyFill="1" applyBorder="1"/>
    <xf numFmtId="0" fontId="15" fillId="4" borderId="63" xfId="0" applyFont="1" applyFill="1" applyBorder="1"/>
    <xf numFmtId="0" fontId="15" fillId="4" borderId="9" xfId="0" applyFont="1" applyFill="1" applyBorder="1"/>
    <xf numFmtId="14" fontId="15" fillId="4" borderId="0" xfId="0" applyNumberFormat="1" applyFont="1" applyFill="1"/>
    <xf numFmtId="5" fontId="15" fillId="4" borderId="0" xfId="1" applyNumberFormat="1" applyFont="1" applyFill="1" applyBorder="1"/>
    <xf numFmtId="165" fontId="15" fillId="4" borderId="0" xfId="1" applyNumberFormat="1" applyFont="1" applyFill="1" applyBorder="1"/>
    <xf numFmtId="167" fontId="15" fillId="4" borderId="18" xfId="0" applyNumberFormat="1" applyFont="1" applyFill="1" applyBorder="1"/>
    <xf numFmtId="1" fontId="15" fillId="4" borderId="10" xfId="0" applyNumberFormat="1" applyFont="1" applyFill="1" applyBorder="1"/>
    <xf numFmtId="164" fontId="20" fillId="4" borderId="18" xfId="0" applyNumberFormat="1" applyFont="1" applyFill="1" applyBorder="1"/>
    <xf numFmtId="5" fontId="15" fillId="4" borderId="0" xfId="0" applyNumberFormat="1" applyFont="1" applyFill="1"/>
    <xf numFmtId="1" fontId="15" fillId="4" borderId="0" xfId="1" applyNumberFormat="1" applyFont="1" applyFill="1" applyBorder="1"/>
    <xf numFmtId="1" fontId="20" fillId="4" borderId="18" xfId="0" applyNumberFormat="1" applyFont="1" applyFill="1" applyBorder="1"/>
    <xf numFmtId="5" fontId="20" fillId="4" borderId="0" xfId="0" applyNumberFormat="1" applyFont="1" applyFill="1"/>
    <xf numFmtId="1" fontId="20" fillId="4" borderId="0" xfId="0" applyNumberFormat="1" applyFont="1" applyFill="1"/>
    <xf numFmtId="0" fontId="15" fillId="4" borderId="19" xfId="0" applyFont="1" applyFill="1" applyBorder="1"/>
    <xf numFmtId="165" fontId="20" fillId="4" borderId="20" xfId="1" applyNumberFormat="1" applyFont="1" applyFill="1" applyBorder="1"/>
    <xf numFmtId="9" fontId="15" fillId="4" borderId="0" xfId="2" applyFont="1" applyFill="1"/>
    <xf numFmtId="0" fontId="15" fillId="4" borderId="35" xfId="0" applyFont="1" applyFill="1" applyBorder="1" applyAlignment="1">
      <alignment horizontal="right"/>
    </xf>
    <xf numFmtId="0" fontId="15" fillId="4" borderId="36" xfId="0" applyFont="1" applyFill="1" applyBorder="1" applyAlignment="1">
      <alignment horizontal="right"/>
    </xf>
    <xf numFmtId="0" fontId="15" fillId="4" borderId="47" xfId="0" applyFont="1" applyFill="1" applyBorder="1" applyAlignment="1">
      <alignment horizontal="right"/>
    </xf>
    <xf numFmtId="0" fontId="15" fillId="4" borderId="37" xfId="0" applyFont="1" applyFill="1" applyBorder="1" applyAlignment="1">
      <alignment horizontal="right"/>
    </xf>
    <xf numFmtId="0" fontId="15" fillId="4" borderId="36" xfId="0" applyFont="1" applyFill="1" applyBorder="1" applyAlignment="1">
      <alignment horizontal="center"/>
    </xf>
    <xf numFmtId="0" fontId="15" fillId="4" borderId="44" xfId="0" applyFont="1" applyFill="1" applyBorder="1" applyAlignment="1">
      <alignment horizontal="center"/>
    </xf>
    <xf numFmtId="2" fontId="15" fillId="4" borderId="38" xfId="0" applyNumberFormat="1" applyFont="1" applyFill="1" applyBorder="1"/>
    <xf numFmtId="165" fontId="15" fillId="4" borderId="14" xfId="0" applyNumberFormat="1" applyFont="1" applyFill="1" applyBorder="1" applyAlignment="1">
      <alignment horizontal="right"/>
    </xf>
    <xf numFmtId="165" fontId="15" fillId="4" borderId="15" xfId="0" applyNumberFormat="1" applyFont="1" applyFill="1" applyBorder="1" applyAlignment="1">
      <alignment horizontal="right"/>
    </xf>
    <xf numFmtId="14" fontId="15" fillId="4" borderId="16" xfId="0" applyNumberFormat="1" applyFont="1" applyFill="1" applyBorder="1" applyAlignment="1">
      <alignment horizontal="right"/>
    </xf>
    <xf numFmtId="2" fontId="15" fillId="4" borderId="42" xfId="0" applyNumberFormat="1" applyFont="1" applyFill="1" applyBorder="1"/>
    <xf numFmtId="165" fontId="15" fillId="4" borderId="17" xfId="0" applyNumberFormat="1" applyFont="1" applyFill="1" applyBorder="1" applyAlignment="1">
      <alignment horizontal="right"/>
    </xf>
    <xf numFmtId="14" fontId="15" fillId="4" borderId="18" xfId="0" applyNumberFormat="1" applyFont="1" applyFill="1" applyBorder="1" applyAlignment="1">
      <alignment horizontal="right"/>
    </xf>
    <xf numFmtId="2" fontId="15" fillId="4" borderId="43" xfId="0" applyNumberFormat="1" applyFont="1" applyFill="1" applyBorder="1"/>
    <xf numFmtId="165" fontId="15" fillId="4" borderId="29" xfId="0" applyNumberFormat="1" applyFont="1" applyFill="1" applyBorder="1" applyAlignment="1">
      <alignment horizontal="right"/>
    </xf>
    <xf numFmtId="165" fontId="15" fillId="4" borderId="5" xfId="0" applyNumberFormat="1" applyFont="1" applyFill="1" applyBorder="1" applyAlignment="1">
      <alignment horizontal="right"/>
    </xf>
    <xf numFmtId="14" fontId="15" fillId="4" borderId="31" xfId="0" applyNumberFormat="1" applyFont="1" applyFill="1" applyBorder="1" applyAlignment="1">
      <alignment horizontal="right"/>
    </xf>
    <xf numFmtId="165" fontId="15" fillId="4" borderId="19" xfId="0" applyNumberFormat="1" applyFont="1" applyFill="1" applyBorder="1" applyAlignment="1">
      <alignment horizontal="right"/>
    </xf>
    <xf numFmtId="165" fontId="15" fillId="4" borderId="20" xfId="0" applyNumberFormat="1" applyFont="1" applyFill="1" applyBorder="1" applyAlignment="1">
      <alignment horizontal="right"/>
    </xf>
    <xf numFmtId="14" fontId="15" fillId="4" borderId="22" xfId="0" applyNumberFormat="1" applyFont="1" applyFill="1" applyBorder="1" applyAlignment="1">
      <alignment horizontal="right"/>
    </xf>
    <xf numFmtId="0" fontId="15" fillId="4" borderId="42" xfId="0" applyFont="1" applyFill="1" applyBorder="1"/>
    <xf numFmtId="0" fontId="15" fillId="4" borderId="43" xfId="0" applyFont="1" applyFill="1" applyBorder="1"/>
    <xf numFmtId="0" fontId="15" fillId="0" borderId="0" xfId="0" applyFont="1" applyAlignment="1">
      <alignment horizontal="right" vertical="center" indent="2"/>
    </xf>
    <xf numFmtId="168" fontId="15" fillId="0" borderId="0" xfId="0" applyNumberFormat="1" applyFont="1"/>
    <xf numFmtId="0" fontId="27" fillId="0" borderId="0" xfId="0" applyFont="1"/>
    <xf numFmtId="0" fontId="27" fillId="4" borderId="19" xfId="0" applyFont="1" applyFill="1" applyBorder="1"/>
    <xf numFmtId="0" fontId="27" fillId="4" borderId="20" xfId="0" applyFont="1" applyFill="1" applyBorder="1"/>
    <xf numFmtId="0" fontId="15" fillId="0" borderId="8" xfId="0" applyFont="1" applyBorder="1"/>
    <xf numFmtId="0" fontId="15" fillId="0" borderId="8" xfId="0" applyFont="1" applyBorder="1" applyAlignment="1">
      <alignment horizontal="center"/>
    </xf>
    <xf numFmtId="0" fontId="15" fillId="0" borderId="14" xfId="0" applyFont="1" applyBorder="1"/>
    <xf numFmtId="168" fontId="15" fillId="0" borderId="15" xfId="0" applyNumberFormat="1" applyFont="1" applyBorder="1"/>
    <xf numFmtId="0" fontId="15" fillId="0" borderId="15" xfId="0" applyFont="1" applyBorder="1"/>
    <xf numFmtId="0" fontId="20" fillId="0" borderId="15" xfId="0" applyFont="1" applyBorder="1" applyAlignment="1">
      <alignment horizontal="center"/>
    </xf>
    <xf numFmtId="0" fontId="15" fillId="0" borderId="16" xfId="0" applyFont="1" applyBorder="1" applyAlignment="1">
      <alignment horizontal="center"/>
    </xf>
    <xf numFmtId="168" fontId="27" fillId="0" borderId="0" xfId="0" applyNumberFormat="1" applyFont="1"/>
    <xf numFmtId="0" fontId="15" fillId="0" borderId="63" xfId="0" applyFont="1" applyBorder="1" applyAlignment="1">
      <alignment horizontal="center"/>
    </xf>
    <xf numFmtId="0" fontId="27" fillId="0" borderId="17" xfId="0" applyFont="1" applyBorder="1" applyAlignment="1">
      <alignment horizontal="left"/>
    </xf>
    <xf numFmtId="168" fontId="15" fillId="0" borderId="0" xfId="3" applyNumberFormat="1" applyFont="1" applyBorder="1"/>
    <xf numFmtId="1" fontId="15" fillId="0" borderId="18" xfId="3" applyNumberFormat="1" applyFont="1" applyBorder="1"/>
    <xf numFmtId="0" fontId="27" fillId="0" borderId="17" xfId="0" applyFont="1" applyBorder="1"/>
    <xf numFmtId="0" fontId="15" fillId="0" borderId="18" xfId="0" applyFont="1" applyBorder="1"/>
    <xf numFmtId="0" fontId="15" fillId="0" borderId="17" xfId="0" applyFont="1" applyBorder="1"/>
    <xf numFmtId="0" fontId="27" fillId="0" borderId="19" xfId="0" applyFont="1" applyBorder="1" applyAlignment="1">
      <alignment horizontal="left"/>
    </xf>
    <xf numFmtId="0" fontId="15" fillId="0" borderId="20" xfId="0" applyFont="1" applyBorder="1"/>
    <xf numFmtId="0" fontId="15" fillId="0" borderId="20" xfId="0" applyFont="1" applyBorder="1" applyAlignment="1">
      <alignment horizontal="center"/>
    </xf>
    <xf numFmtId="0" fontId="15" fillId="0" borderId="22" xfId="0" applyFont="1" applyBorder="1"/>
    <xf numFmtId="168" fontId="27" fillId="0" borderId="15" xfId="0" applyNumberFormat="1" applyFont="1" applyBorder="1"/>
    <xf numFmtId="0" fontId="27" fillId="0" borderId="15" xfId="0" applyFont="1" applyBorder="1"/>
    <xf numFmtId="0" fontId="15" fillId="0" borderId="16" xfId="0" applyFont="1" applyBorder="1"/>
    <xf numFmtId="0" fontId="27" fillId="0" borderId="18" xfId="0" applyFont="1" applyBorder="1"/>
    <xf numFmtId="0" fontId="27" fillId="0" borderId="16" xfId="0" applyFont="1" applyBorder="1"/>
    <xf numFmtId="0" fontId="27" fillId="0" borderId="14" xfId="0" applyFont="1" applyBorder="1" applyAlignment="1">
      <alignment horizontal="left"/>
    </xf>
    <xf numFmtId="0" fontId="15" fillId="0" borderId="65" xfId="0" applyFont="1" applyBorder="1"/>
    <xf numFmtId="1" fontId="15" fillId="0" borderId="18" xfId="0" applyNumberFormat="1" applyFont="1" applyBorder="1"/>
    <xf numFmtId="0" fontId="15" fillId="0" borderId="19" xfId="0" applyFont="1" applyBorder="1"/>
    <xf numFmtId="0" fontId="15" fillId="0" borderId="66" xfId="0" applyFont="1" applyBorder="1"/>
    <xf numFmtId="0" fontId="15" fillId="0" borderId="67" xfId="0" applyFont="1" applyBorder="1" applyAlignment="1">
      <alignment horizontal="center"/>
    </xf>
    <xf numFmtId="0" fontId="15" fillId="0" borderId="68" xfId="0" applyFont="1" applyBorder="1" applyAlignment="1">
      <alignment horizontal="center"/>
    </xf>
    <xf numFmtId="0" fontId="15" fillId="0" borderId="69" xfId="0" applyFont="1" applyBorder="1"/>
    <xf numFmtId="0" fontId="20" fillId="0" borderId="70" xfId="0" applyFont="1" applyBorder="1" applyAlignment="1">
      <alignment horizontal="center"/>
    </xf>
    <xf numFmtId="0" fontId="15" fillId="0" borderId="71" xfId="0" applyFont="1" applyBorder="1" applyAlignment="1">
      <alignment horizontal="center"/>
    </xf>
    <xf numFmtId="168" fontId="27" fillId="0" borderId="14" xfId="0" applyNumberFormat="1" applyFont="1" applyBorder="1"/>
    <xf numFmtId="168" fontId="27" fillId="0" borderId="17" xfId="0" applyNumberFormat="1" applyFont="1" applyBorder="1"/>
    <xf numFmtId="168" fontId="27" fillId="0" borderId="19" xfId="0" applyNumberFormat="1" applyFont="1" applyBorder="1"/>
    <xf numFmtId="0" fontId="27" fillId="0" borderId="36" xfId="0" pivotButton="1" applyFont="1" applyBorder="1"/>
    <xf numFmtId="168" fontId="27" fillId="0" borderId="36" xfId="0" applyNumberFormat="1" applyFont="1" applyBorder="1"/>
    <xf numFmtId="0" fontId="27" fillId="0" borderId="44" xfId="0" applyFont="1" applyBorder="1"/>
    <xf numFmtId="0" fontId="27" fillId="0" borderId="35" xfId="0" pivotButton="1" applyFont="1" applyBorder="1"/>
    <xf numFmtId="0" fontId="27" fillId="0" borderId="38" xfId="0" applyFont="1" applyBorder="1" applyAlignment="1">
      <alignment horizontal="left"/>
    </xf>
    <xf numFmtId="0" fontId="27" fillId="0" borderId="42" xfId="0" applyFont="1" applyBorder="1" applyAlignment="1">
      <alignment horizontal="left"/>
    </xf>
    <xf numFmtId="0" fontId="27" fillId="0" borderId="43" xfId="0" applyFont="1" applyBorder="1" applyAlignment="1">
      <alignment horizontal="left"/>
    </xf>
    <xf numFmtId="0" fontId="27" fillId="0" borderId="45" xfId="0" applyFont="1" applyBorder="1"/>
    <xf numFmtId="0" fontId="15" fillId="4" borderId="15" xfId="0" applyFont="1" applyFill="1" applyBorder="1" applyAlignment="1">
      <alignment horizontal="right"/>
    </xf>
    <xf numFmtId="165" fontId="15" fillId="4" borderId="0" xfId="0" applyNumberFormat="1" applyFont="1" applyFill="1" applyAlignment="1">
      <alignment horizontal="right"/>
    </xf>
    <xf numFmtId="0" fontId="15" fillId="4" borderId="0" xfId="0" applyFont="1" applyFill="1" applyAlignment="1">
      <alignment horizontal="right"/>
    </xf>
    <xf numFmtId="0" fontId="15" fillId="4" borderId="5" xfId="0" applyFont="1" applyFill="1" applyBorder="1" applyAlignment="1">
      <alignment horizontal="right"/>
    </xf>
    <xf numFmtId="0" fontId="15" fillId="4" borderId="20" xfId="0" applyFont="1" applyFill="1" applyBorder="1" applyAlignment="1">
      <alignment horizontal="right"/>
    </xf>
    <xf numFmtId="165" fontId="15" fillId="3" borderId="19" xfId="0" applyNumberFormat="1" applyFont="1" applyFill="1" applyBorder="1"/>
    <xf numFmtId="165" fontId="15" fillId="3" borderId="22" xfId="0" applyNumberFormat="1" applyFont="1" applyFill="1" applyBorder="1"/>
    <xf numFmtId="165" fontId="15" fillId="3" borderId="36" xfId="0" applyNumberFormat="1" applyFont="1" applyFill="1" applyBorder="1"/>
    <xf numFmtId="165" fontId="15" fillId="3" borderId="45" xfId="0" applyNumberFormat="1" applyFont="1" applyFill="1" applyBorder="1"/>
    <xf numFmtId="0" fontId="15" fillId="3" borderId="36" xfId="0" applyFont="1" applyFill="1" applyBorder="1"/>
    <xf numFmtId="0" fontId="15" fillId="3" borderId="45" xfId="0" applyFont="1" applyFill="1" applyBorder="1"/>
    <xf numFmtId="165" fontId="15" fillId="3" borderId="18" xfId="0" applyNumberFormat="1" applyFont="1" applyFill="1" applyBorder="1"/>
    <xf numFmtId="165" fontId="15" fillId="3" borderId="16" xfId="0" applyNumberFormat="1" applyFont="1" applyFill="1" applyBorder="1"/>
    <xf numFmtId="0" fontId="15" fillId="3" borderId="45" xfId="0" applyFont="1" applyFill="1" applyBorder="1" applyAlignment="1">
      <alignment horizontal="left"/>
    </xf>
    <xf numFmtId="10" fontId="15" fillId="3" borderId="0" xfId="0" applyNumberFormat="1" applyFont="1" applyFill="1"/>
    <xf numFmtId="10" fontId="15" fillId="3" borderId="18" xfId="0" applyNumberFormat="1" applyFont="1" applyFill="1" applyBorder="1"/>
    <xf numFmtId="10" fontId="15" fillId="3" borderId="20" xfId="0" applyNumberFormat="1" applyFont="1" applyFill="1" applyBorder="1"/>
    <xf numFmtId="10" fontId="15" fillId="3" borderId="22" xfId="0" applyNumberFormat="1" applyFont="1" applyFill="1" applyBorder="1"/>
    <xf numFmtId="10" fontId="15" fillId="3" borderId="15" xfId="0" applyNumberFormat="1" applyFont="1" applyFill="1" applyBorder="1"/>
    <xf numFmtId="0" fontId="15" fillId="3" borderId="35" xfId="0" applyFont="1" applyFill="1" applyBorder="1"/>
    <xf numFmtId="0" fontId="15" fillId="3" borderId="38" xfId="0" applyFont="1" applyFill="1" applyBorder="1" applyAlignment="1">
      <alignment horizontal="left"/>
    </xf>
    <xf numFmtId="0" fontId="15" fillId="3" borderId="42" xfId="0" applyFont="1" applyFill="1" applyBorder="1" applyAlignment="1">
      <alignment horizontal="left"/>
    </xf>
    <xf numFmtId="0" fontId="15" fillId="3" borderId="43" xfId="0" applyFont="1" applyFill="1" applyBorder="1" applyAlignment="1">
      <alignment horizontal="left"/>
    </xf>
    <xf numFmtId="0" fontId="15" fillId="3" borderId="35" xfId="0" applyFont="1" applyFill="1" applyBorder="1" applyAlignment="1">
      <alignment horizontal="left"/>
    </xf>
    <xf numFmtId="0" fontId="15" fillId="3" borderId="44" xfId="0" applyFont="1" applyFill="1" applyBorder="1"/>
    <xf numFmtId="165" fontId="15" fillId="3" borderId="14" xfId="0" applyNumberFormat="1" applyFont="1" applyFill="1" applyBorder="1"/>
    <xf numFmtId="165" fontId="15" fillId="4" borderId="14" xfId="0" applyNumberFormat="1" applyFont="1" applyFill="1" applyBorder="1"/>
    <xf numFmtId="165" fontId="15" fillId="4" borderId="15" xfId="0" applyNumberFormat="1" applyFont="1" applyFill="1" applyBorder="1"/>
    <xf numFmtId="165" fontId="15" fillId="4" borderId="16" xfId="0" applyNumberFormat="1" applyFont="1" applyFill="1" applyBorder="1"/>
    <xf numFmtId="165" fontId="15" fillId="4" borderId="17" xfId="0" applyNumberFormat="1" applyFont="1" applyFill="1" applyBorder="1"/>
    <xf numFmtId="165" fontId="15" fillId="4" borderId="19" xfId="0" applyNumberFormat="1" applyFont="1" applyFill="1" applyBorder="1"/>
    <xf numFmtId="0" fontId="15" fillId="4" borderId="38" xfId="0" applyFont="1" applyFill="1" applyBorder="1" applyAlignment="1">
      <alignment horizontal="left"/>
    </xf>
    <xf numFmtId="0" fontId="15" fillId="4" borderId="42" xfId="0" applyFont="1" applyFill="1" applyBorder="1" applyAlignment="1">
      <alignment horizontal="left"/>
    </xf>
    <xf numFmtId="0" fontId="15" fillId="4" borderId="43" xfId="0" applyFont="1" applyFill="1" applyBorder="1" applyAlignment="1">
      <alignment horizontal="left"/>
    </xf>
    <xf numFmtId="1" fontId="15" fillId="4" borderId="6" xfId="0" applyNumberFormat="1" applyFont="1" applyFill="1" applyBorder="1"/>
    <xf numFmtId="1" fontId="15" fillId="4" borderId="6" xfId="0" applyNumberFormat="1" applyFont="1" applyFill="1" applyBorder="1" applyAlignment="1">
      <alignment horizontal="left" vertical="center" indent="2"/>
    </xf>
    <xf numFmtId="1" fontId="15" fillId="4" borderId="52" xfId="0" applyNumberFormat="1" applyFont="1" applyFill="1" applyBorder="1"/>
    <xf numFmtId="1" fontId="15" fillId="4" borderId="52" xfId="0" applyNumberFormat="1" applyFont="1" applyFill="1" applyBorder="1" applyAlignment="1">
      <alignment horizontal="left" vertical="center" indent="2"/>
    </xf>
    <xf numFmtId="1" fontId="15" fillId="4" borderId="34" xfId="0" applyNumberFormat="1" applyFont="1" applyFill="1" applyBorder="1"/>
    <xf numFmtId="1" fontId="15" fillId="4" borderId="53" xfId="0" applyNumberFormat="1" applyFont="1" applyFill="1" applyBorder="1"/>
    <xf numFmtId="1" fontId="15" fillId="4" borderId="14" xfId="0" applyNumberFormat="1" applyFont="1" applyFill="1" applyBorder="1"/>
    <xf numFmtId="1" fontId="15" fillId="4" borderId="30" xfId="0" applyNumberFormat="1" applyFont="1" applyFill="1" applyBorder="1"/>
    <xf numFmtId="1" fontId="15" fillId="4" borderId="30" xfId="0" applyNumberFormat="1" applyFont="1" applyFill="1" applyBorder="1" applyAlignment="1">
      <alignment horizontal="left" vertical="center" indent="2"/>
    </xf>
    <xf numFmtId="1" fontId="15" fillId="4" borderId="56" xfId="0" applyNumberFormat="1" applyFont="1" applyFill="1" applyBorder="1"/>
    <xf numFmtId="0" fontId="15" fillId="4" borderId="39" xfId="0" applyFont="1" applyFill="1" applyBorder="1" applyAlignment="1">
      <alignment horizontal="left" vertical="center" indent="2"/>
    </xf>
    <xf numFmtId="165" fontId="15" fillId="4" borderId="3" xfId="0" applyNumberFormat="1" applyFont="1" applyFill="1" applyBorder="1"/>
    <xf numFmtId="165" fontId="15" fillId="4" borderId="5" xfId="0" applyNumberFormat="1" applyFont="1" applyFill="1" applyBorder="1"/>
    <xf numFmtId="165" fontId="15" fillId="4" borderId="24" xfId="0" applyNumberFormat="1" applyFont="1" applyFill="1" applyBorder="1"/>
    <xf numFmtId="165" fontId="15" fillId="4" borderId="31" xfId="0" applyNumberFormat="1" applyFont="1" applyFill="1" applyBorder="1"/>
    <xf numFmtId="165" fontId="15" fillId="4" borderId="57" xfId="0" applyNumberFormat="1" applyFont="1" applyFill="1" applyBorder="1"/>
    <xf numFmtId="165" fontId="15" fillId="4" borderId="58" xfId="0" applyNumberFormat="1" applyFont="1" applyFill="1" applyBorder="1"/>
    <xf numFmtId="165" fontId="15" fillId="4" borderId="59" xfId="0" applyNumberFormat="1" applyFont="1" applyFill="1" applyBorder="1"/>
    <xf numFmtId="165" fontId="15" fillId="4" borderId="51" xfId="0" applyNumberFormat="1" applyFont="1" applyFill="1" applyBorder="1" applyAlignment="1">
      <alignment horizontal="left"/>
    </xf>
    <xf numFmtId="165" fontId="15" fillId="4" borderId="37" xfId="0" applyNumberFormat="1" applyFont="1" applyFill="1" applyBorder="1" applyAlignment="1">
      <alignment horizontal="left"/>
    </xf>
    <xf numFmtId="165" fontId="15" fillId="4" borderId="46" xfId="0" applyNumberFormat="1" applyFont="1" applyFill="1" applyBorder="1"/>
    <xf numFmtId="165" fontId="15" fillId="4" borderId="47" xfId="0" applyNumberFormat="1" applyFont="1" applyFill="1" applyBorder="1"/>
    <xf numFmtId="165" fontId="15" fillId="4" borderId="37" xfId="0" applyNumberFormat="1" applyFont="1" applyFill="1" applyBorder="1"/>
    <xf numFmtId="165" fontId="15" fillId="4" borderId="46" xfId="0" applyNumberFormat="1" applyFont="1" applyFill="1" applyBorder="1" applyAlignment="1">
      <alignment horizontal="left"/>
    </xf>
    <xf numFmtId="165" fontId="15" fillId="4" borderId="48" xfId="0" applyNumberFormat="1" applyFont="1" applyFill="1" applyBorder="1" applyAlignment="1">
      <alignment horizontal="left"/>
    </xf>
    <xf numFmtId="165" fontId="15" fillId="4" borderId="60" xfId="0" applyNumberFormat="1" applyFont="1" applyFill="1" applyBorder="1" applyAlignment="1">
      <alignment horizontal="left"/>
    </xf>
    <xf numFmtId="165" fontId="15" fillId="4" borderId="51" xfId="0" applyNumberFormat="1" applyFont="1" applyFill="1" applyBorder="1"/>
    <xf numFmtId="165" fontId="15" fillId="4" borderId="44" xfId="0" applyNumberFormat="1" applyFont="1" applyFill="1" applyBorder="1"/>
    <xf numFmtId="165" fontId="15" fillId="4" borderId="45" xfId="0" applyNumberFormat="1" applyFont="1" applyFill="1" applyBorder="1"/>
    <xf numFmtId="165" fontId="15" fillId="4" borderId="13" xfId="0" applyNumberFormat="1" applyFont="1" applyFill="1" applyBorder="1"/>
    <xf numFmtId="165" fontId="15" fillId="4" borderId="54" xfId="0" applyNumberFormat="1" applyFont="1" applyFill="1" applyBorder="1" applyAlignment="1">
      <alignment horizontal="left"/>
    </xf>
    <xf numFmtId="165" fontId="15" fillId="4" borderId="55" xfId="0" applyNumberFormat="1" applyFont="1" applyFill="1" applyBorder="1" applyAlignment="1">
      <alignment horizontal="left"/>
    </xf>
    <xf numFmtId="165" fontId="15" fillId="4" borderId="48" xfId="0" applyNumberFormat="1" applyFont="1" applyFill="1" applyBorder="1"/>
    <xf numFmtId="165" fontId="15" fillId="4" borderId="49" xfId="0" applyNumberFormat="1" applyFont="1" applyFill="1" applyBorder="1"/>
    <xf numFmtId="165" fontId="15" fillId="4" borderId="50" xfId="0" applyNumberFormat="1" applyFont="1" applyFill="1" applyBorder="1"/>
    <xf numFmtId="165" fontId="15" fillId="4" borderId="32" xfId="0" applyNumberFormat="1" applyFont="1" applyFill="1" applyBorder="1"/>
    <xf numFmtId="165" fontId="15" fillId="4" borderId="35" xfId="0" applyNumberFormat="1" applyFont="1" applyFill="1" applyBorder="1"/>
    <xf numFmtId="165" fontId="15" fillId="4" borderId="36" xfId="0" applyNumberFormat="1" applyFont="1" applyFill="1" applyBorder="1"/>
    <xf numFmtId="14" fontId="15" fillId="4" borderId="38" xfId="0" applyNumberFormat="1" applyFont="1" applyFill="1" applyBorder="1"/>
    <xf numFmtId="14" fontId="15" fillId="4" borderId="42" xfId="0" applyNumberFormat="1" applyFont="1" applyFill="1" applyBorder="1"/>
    <xf numFmtId="14" fontId="15" fillId="4" borderId="43" xfId="0" applyNumberFormat="1" applyFont="1" applyFill="1" applyBorder="1"/>
    <xf numFmtId="0" fontId="15" fillId="4" borderId="46" xfId="0" applyFont="1" applyFill="1" applyBorder="1"/>
    <xf numFmtId="0" fontId="15" fillId="4" borderId="48" xfId="0" applyFont="1" applyFill="1" applyBorder="1"/>
    <xf numFmtId="0" fontId="15" fillId="4" borderId="49" xfId="0" applyFont="1" applyFill="1" applyBorder="1"/>
    <xf numFmtId="0" fontId="15" fillId="4" borderId="50" xfId="0" applyFont="1" applyFill="1" applyBorder="1"/>
    <xf numFmtId="165" fontId="15" fillId="4" borderId="4" xfId="0" applyNumberFormat="1" applyFont="1" applyFill="1" applyBorder="1"/>
    <xf numFmtId="165" fontId="15" fillId="4" borderId="6" xfId="0" applyNumberFormat="1" applyFont="1" applyFill="1" applyBorder="1"/>
    <xf numFmtId="165" fontId="15" fillId="4" borderId="52" xfId="0" applyNumberFormat="1" applyFont="1" applyFill="1" applyBorder="1"/>
    <xf numFmtId="165" fontId="15" fillId="4" borderId="33" xfId="0" applyNumberFormat="1" applyFont="1" applyFill="1" applyBorder="1"/>
    <xf numFmtId="165" fontId="15" fillId="4" borderId="34" xfId="0" applyNumberFormat="1" applyFont="1" applyFill="1" applyBorder="1"/>
    <xf numFmtId="165" fontId="15" fillId="4" borderId="53" xfId="0" applyNumberFormat="1" applyFont="1" applyFill="1" applyBorder="1"/>
    <xf numFmtId="0" fontId="15" fillId="4" borderId="48" xfId="0" applyFont="1" applyFill="1" applyBorder="1" applyAlignment="1">
      <alignment horizontal="left"/>
    </xf>
    <xf numFmtId="0" fontId="15" fillId="4" borderId="54" xfId="0" applyFont="1" applyFill="1" applyBorder="1" applyAlignment="1">
      <alignment horizontal="left"/>
    </xf>
    <xf numFmtId="0" fontId="15" fillId="4" borderId="55" xfId="0" applyFont="1" applyFill="1" applyBorder="1" applyAlignment="1">
      <alignment horizontal="left"/>
    </xf>
    <xf numFmtId="165" fontId="15" fillId="4" borderId="0" xfId="0" applyNumberFormat="1" applyFont="1" applyFill="1" applyAlignment="1">
      <alignment horizontal="left" vertical="center" indent="2"/>
    </xf>
    <xf numFmtId="165" fontId="15" fillId="4" borderId="18" xfId="0" applyNumberFormat="1" applyFont="1" applyFill="1" applyBorder="1" applyAlignment="1">
      <alignment horizontal="left" vertical="center" indent="2"/>
    </xf>
    <xf numFmtId="165" fontId="15" fillId="4" borderId="29" xfId="0" applyNumberFormat="1" applyFont="1" applyFill="1" applyBorder="1"/>
    <xf numFmtId="165" fontId="15" fillId="4" borderId="17" xfId="0" applyNumberFormat="1" applyFont="1" applyFill="1" applyBorder="1" applyAlignment="1">
      <alignment horizontal="left" vertical="center" indent="2"/>
    </xf>
    <xf numFmtId="0" fontId="27" fillId="0" borderId="20" xfId="0" applyFont="1" applyBorder="1"/>
    <xf numFmtId="0" fontId="27" fillId="0" borderId="22" xfId="0" applyFont="1" applyBorder="1"/>
    <xf numFmtId="0" fontId="17" fillId="2" borderId="19" xfId="0" applyFont="1" applyFill="1" applyBorder="1"/>
    <xf numFmtId="0" fontId="17" fillId="2" borderId="20" xfId="0" applyFont="1" applyFill="1" applyBorder="1"/>
    <xf numFmtId="0" fontId="17" fillId="2" borderId="22" xfId="0" applyFont="1" applyFill="1" applyBorder="1"/>
    <xf numFmtId="0" fontId="15" fillId="2" borderId="0" xfId="0" applyFont="1" applyFill="1"/>
    <xf numFmtId="0" fontId="15" fillId="2" borderId="0" xfId="0" applyFont="1" applyFill="1" applyAlignment="1">
      <alignment horizontal="left" vertical="center" indent="2"/>
    </xf>
    <xf numFmtId="0" fontId="15" fillId="2" borderId="17" xfId="0" applyFont="1" applyFill="1" applyBorder="1"/>
    <xf numFmtId="0" fontId="15" fillId="2" borderId="18" xfId="0" applyFont="1" applyFill="1" applyBorder="1"/>
    <xf numFmtId="0" fontId="28" fillId="2" borderId="0" xfId="0" applyFont="1" applyFill="1" applyAlignment="1">
      <alignment vertical="center"/>
    </xf>
    <xf numFmtId="0" fontId="12" fillId="6" borderId="14" xfId="0" applyFont="1" applyFill="1" applyBorder="1" applyAlignment="1">
      <alignment horizontal="left" vertical="center" indent="2"/>
    </xf>
    <xf numFmtId="0" fontId="12" fillId="6" borderId="15" xfId="0" applyFont="1" applyFill="1" applyBorder="1" applyAlignment="1">
      <alignment horizontal="left" vertical="center" indent="2"/>
    </xf>
    <xf numFmtId="0" fontId="29" fillId="6" borderId="16" xfId="0" applyFont="1" applyFill="1" applyBorder="1" applyAlignment="1">
      <alignment horizontal="right" vertical="center"/>
    </xf>
  </cellXfs>
  <cellStyles count="4">
    <cellStyle name="Comma" xfId="1" builtinId="3"/>
    <cellStyle name="Currency" xfId="3" builtinId="4"/>
    <cellStyle name="Normal" xfId="0" builtinId="0"/>
    <cellStyle name="Percent" xfId="2" builtinId="5"/>
  </cellStyles>
  <dxfs count="1141">
    <dxf>
      <fill>
        <patternFill patternType="none">
          <fgColor indexed="64"/>
          <bgColor indexed="65"/>
        </patternFill>
      </fill>
      <alignment horizontal="right" vertical="center" textRotation="0" wrapText="0" indent="0" justifyLastLine="0" shrinkToFit="0" readingOrder="0"/>
    </dxf>
    <dxf>
      <font>
        <strike val="0"/>
        <outline val="0"/>
        <shadow val="0"/>
        <u val="none"/>
        <vertAlign val="baseline"/>
        <sz val="11"/>
        <name val="Calibri"/>
        <family val="2"/>
        <scheme val="none"/>
      </font>
      <numFmt numFmtId="164" formatCode="&quot;$&quot;#,##0.00"/>
      <fill>
        <patternFill patternType="none">
          <fgColor indexed="64"/>
          <bgColor auto="1"/>
        </patternFill>
      </fill>
      <alignment horizontal="right" vertical="center" textRotation="0" wrapText="0" indent="0" justifyLastLine="0" shrinkToFit="0" readingOrder="0"/>
    </dxf>
    <dxf>
      <fill>
        <patternFill patternType="none">
          <fgColor indexed="64"/>
          <bgColor auto="1"/>
        </patternFill>
      </fill>
      <alignment horizontal="right" vertical="center" textRotation="0" wrapText="0" indent="0" justifyLastLine="0" shrinkToFit="0" readingOrder="0"/>
    </dxf>
    <dxf>
      <font>
        <strike val="0"/>
        <outline val="0"/>
        <shadow val="0"/>
        <u val="none"/>
        <vertAlign val="baseline"/>
        <sz val="11"/>
        <color rgb="FFFF0000"/>
        <name val="Calibri"/>
        <family val="2"/>
        <scheme val="none"/>
      </font>
      <numFmt numFmtId="164" formatCode="&quot;$&quot;#,##0.00"/>
      <fill>
        <patternFill patternType="none">
          <fgColor indexed="64"/>
          <bgColor auto="1"/>
        </patternFill>
      </fill>
      <alignment horizontal="right" vertical="center" textRotation="0" wrapText="0" indent="0" justifyLastLine="0" shrinkToFit="0" readingOrder="0"/>
    </dxf>
    <dxf>
      <fill>
        <patternFill patternType="none">
          <fgColor indexed="64"/>
          <bgColor auto="1"/>
        </patternFill>
      </fill>
      <alignment horizontal="right" vertical="center" textRotation="0" wrapText="0" indent="0" justifyLastLine="0" shrinkToFit="0" readingOrder="0"/>
    </dxf>
    <dxf>
      <font>
        <strike val="0"/>
        <outline val="0"/>
        <shadow val="0"/>
        <u val="none"/>
        <vertAlign val="baseline"/>
        <sz val="11"/>
        <color rgb="FFFF0000"/>
        <name val="Calibri"/>
        <family val="2"/>
        <scheme val="none"/>
      </font>
      <numFmt numFmtId="164" formatCode="&quot;$&quot;#,##0.00"/>
      <fill>
        <patternFill patternType="none">
          <fgColor indexed="64"/>
          <bgColor auto="1"/>
        </patternFill>
      </fill>
      <alignment horizontal="right" vertical="center" textRotation="0" wrapText="0" indent="0" justifyLastLine="0" shrinkToFit="0" readingOrder="0"/>
    </dxf>
    <dxf>
      <fill>
        <patternFill patternType="none">
          <fgColor indexed="64"/>
          <bgColor auto="1"/>
        </patternFill>
      </fill>
      <alignment horizontal="right" vertical="center" textRotation="0" wrapText="0" indent="0" justifyLastLine="0" shrinkToFit="0" readingOrder="0"/>
    </dxf>
    <dxf>
      <font>
        <strike val="0"/>
        <outline val="0"/>
        <shadow val="0"/>
        <u val="none"/>
        <vertAlign val="baseline"/>
        <sz val="11"/>
        <name val="Calibri"/>
        <family val="2"/>
        <scheme val="none"/>
      </font>
      <numFmt numFmtId="164" formatCode="&quot;$&quot;#,##0.0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30" formatCode="@"/>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name val="Calibri"/>
        <family val="2"/>
        <scheme val="none"/>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164" formatCode="&quot;$&quot;#,##0.00"/>
      <fill>
        <patternFill patternType="none">
          <fgColor indexed="64"/>
          <bgColor auto="1"/>
        </patternFill>
      </fill>
      <alignment horizontal="right" vertical="center" textRotation="0" wrapText="0" indent="0" justifyLastLine="0" shrinkToFit="0" readingOrder="0"/>
    </dxf>
    <dxf>
      <font>
        <strike val="0"/>
        <outline val="0"/>
        <shadow val="0"/>
        <u val="none"/>
        <vertAlign val="baseline"/>
        <sz val="11"/>
        <color theme="1"/>
        <name val="Calibri"/>
        <family val="2"/>
        <scheme val="none"/>
      </font>
      <numFmt numFmtId="164" formatCode="&quot;$&quot;#,##0.00"/>
      <fill>
        <patternFill patternType="none">
          <fgColor indexed="64"/>
          <bgColor auto="1"/>
        </patternFill>
      </fill>
      <alignment horizontal="right" vertical="center" textRotation="0" wrapText="0" indent="0" justifyLastLine="0" shrinkToFit="0" readingOrder="0"/>
    </dxf>
    <dxf>
      <font>
        <strike val="0"/>
        <outline val="0"/>
        <shadow val="0"/>
        <u val="none"/>
        <vertAlign val="baseline"/>
        <sz val="11"/>
        <name val="Calibri"/>
        <family val="2"/>
        <scheme val="none"/>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164" formatCode="&quot;$&quot;#,##0.00"/>
      <fill>
        <patternFill patternType="none">
          <fgColor indexed="64"/>
          <bgColor auto="1"/>
        </patternFill>
      </fill>
      <alignment horizontal="right" vertical="center" textRotation="0" wrapText="0" indent="0" justifyLastLine="0" shrinkToFit="0" readingOrder="0"/>
    </dxf>
    <dxf>
      <font>
        <strike val="0"/>
        <outline val="0"/>
        <shadow val="0"/>
        <u val="none"/>
        <vertAlign val="baseline"/>
        <sz val="11"/>
        <name val="Calibri"/>
        <family val="2"/>
        <scheme val="none"/>
      </font>
      <numFmt numFmtId="164" formatCode="&quot;$&quot;#,##0.0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1" formatCode="0"/>
      <fill>
        <patternFill patternType="none">
          <fgColor indexed="64"/>
          <bgColor auto="1"/>
        </patternFill>
      </fill>
      <alignment horizontal="right" vertical="center" textRotation="0" wrapText="0" indent="0" justifyLastLine="0" shrinkToFit="0" readingOrder="0"/>
    </dxf>
    <dxf>
      <font>
        <strike val="0"/>
        <outline val="0"/>
        <shadow val="0"/>
        <u val="none"/>
        <vertAlign val="baseline"/>
        <sz val="11"/>
        <name val="Calibri"/>
        <family val="2"/>
        <scheme val="none"/>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164" formatCode="&quot;$&quot;#,##0.00"/>
      <fill>
        <patternFill patternType="none">
          <fgColor indexed="64"/>
          <bgColor indexed="65"/>
        </patternFill>
      </fill>
      <alignment horizontal="right" vertical="center" textRotation="0" wrapText="0" indent="0" justifyLastLine="0" shrinkToFit="0" readingOrder="0"/>
    </dxf>
    <dxf>
      <font>
        <strike val="0"/>
        <outline val="0"/>
        <shadow val="0"/>
        <u val="none"/>
        <vertAlign val="baseline"/>
        <sz val="11"/>
        <name val="Calibri"/>
        <family val="2"/>
        <scheme val="none"/>
      </font>
      <numFmt numFmtId="164" formatCode="&quot;$&quot;#,##0.0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9" formatCode="yyyy/mm/dd"/>
      <fill>
        <patternFill patternType="none">
          <fgColor indexed="64"/>
          <bgColor auto="1"/>
        </patternFill>
      </fill>
      <alignment horizontal="right" vertical="center" textRotation="0" wrapText="0" indent="0" justifyLastLine="0" shrinkToFit="0" readingOrder="0"/>
    </dxf>
    <dxf>
      <font>
        <strike val="0"/>
        <outline val="0"/>
        <shadow val="0"/>
        <u val="none"/>
        <vertAlign val="baseline"/>
        <sz val="11"/>
        <name val="Calibri"/>
        <family val="2"/>
        <scheme val="none"/>
      </font>
      <numFmt numFmtId="19" formatCode="yyyy/mm/dd"/>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9" formatCode="yyyy/mm/dd"/>
      <fill>
        <patternFill patternType="none">
          <fgColor indexed="64"/>
          <bgColor auto="1"/>
        </patternFill>
      </fill>
      <alignment horizontal="right" vertical="center" textRotation="0" wrapText="0" indent="0" justifyLastLine="0" shrinkToFit="0" readingOrder="0"/>
    </dxf>
    <dxf>
      <font>
        <strike val="0"/>
        <outline val="0"/>
        <shadow val="0"/>
        <u val="none"/>
        <vertAlign val="baseline"/>
        <sz val="11"/>
        <name val="Calibri"/>
        <family val="2"/>
        <scheme val="none"/>
      </font>
      <numFmt numFmtId="19" formatCode="yyyy/mm/dd"/>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1" formatCode="0"/>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name val="Calibri"/>
        <family val="2"/>
        <scheme val="none"/>
      </font>
      <numFmt numFmtId="1" formatCode="0"/>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30" formatCode="@"/>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name val="Calibri"/>
        <family val="2"/>
        <scheme val="none"/>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30" formatCode="@"/>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name val="Calibri"/>
        <family val="2"/>
        <scheme val="none"/>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30" formatCode="@"/>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name val="Calibri"/>
        <family val="2"/>
        <scheme val="none"/>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30" formatCode="@"/>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name val="Calibri"/>
        <family val="2"/>
        <scheme val="none"/>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fill>
        <patternFill patternType="none">
          <fgColor indexed="64"/>
          <bgColor auto="1"/>
        </patternFill>
      </fill>
      <alignment horizontal="right" vertical="center" textRotation="0" wrapText="0" indent="0" justifyLastLine="0" shrinkToFit="0" readingOrder="0"/>
    </dxf>
    <dxf>
      <font>
        <strike val="0"/>
        <outline val="0"/>
        <shadow val="0"/>
        <u val="none"/>
        <vertAlign val="baseline"/>
        <sz val="11"/>
        <name val="Calibri"/>
        <family val="2"/>
        <scheme val="none"/>
      </font>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name val="Calibri"/>
        <family val="2"/>
        <scheme val="none"/>
      </font>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30" formatCode="@"/>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name val="Calibri"/>
        <family val="2"/>
        <scheme val="none"/>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30" formatCode="@"/>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name val="Calibri"/>
        <family val="2"/>
        <scheme val="none"/>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30" formatCode="@"/>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name val="Calibri"/>
        <family val="2"/>
        <scheme val="none"/>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30" formatCode="@"/>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name val="Calibri"/>
        <family val="2"/>
        <scheme val="none"/>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30" formatCode="@"/>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name val="Calibri"/>
        <family val="2"/>
        <scheme val="none"/>
      </font>
      <numFmt numFmtId="30" formatCode="@"/>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164" formatCode="&quot;$&quot;#,##0.00"/>
      <fill>
        <patternFill patternType="none">
          <fgColor indexed="64"/>
          <bgColor indexed="65"/>
        </patternFill>
      </fill>
      <alignment horizontal="right" vertical="center" textRotation="0" wrapText="0" indent="0" justifyLastLine="0" shrinkToFit="0" readingOrder="0"/>
    </dxf>
    <dxf>
      <font>
        <strike val="0"/>
        <outline val="0"/>
        <shadow val="0"/>
        <u val="none"/>
        <vertAlign val="baseline"/>
        <sz val="11"/>
        <name val="Calibri"/>
        <family val="2"/>
        <scheme val="none"/>
      </font>
      <numFmt numFmtId="164" formatCode="&quot;$&quot;#,##0.0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164" formatCode="&quot;$&quot;#,##0.00"/>
      <fill>
        <patternFill patternType="none">
          <fgColor indexed="64"/>
          <bgColor auto="1"/>
        </patternFill>
      </fill>
      <alignment horizontal="right" vertical="center" textRotation="0" wrapText="0" indent="0" justifyLastLine="0" shrinkToFit="0" readingOrder="0"/>
    </dxf>
    <dxf>
      <font>
        <strike val="0"/>
        <outline val="0"/>
        <shadow val="0"/>
        <u val="none"/>
        <vertAlign val="baseline"/>
        <sz val="11"/>
        <name val="Calibri"/>
        <family val="2"/>
        <scheme val="none"/>
      </font>
      <numFmt numFmtId="164" formatCode="&quot;$&quot;#,##0.0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4" formatCode="#,##0.00"/>
      <fill>
        <patternFill patternType="none">
          <fgColor indexed="64"/>
          <bgColor auto="1"/>
        </patternFill>
      </fill>
      <alignment horizontal="right" vertical="center" textRotation="0" wrapText="0" indent="0" justifyLastLine="0" shrinkToFit="0" readingOrder="0"/>
    </dxf>
    <dxf>
      <font>
        <strike val="0"/>
        <outline val="0"/>
        <shadow val="0"/>
        <u val="none"/>
        <vertAlign val="baseline"/>
        <sz val="11"/>
        <name val="Calibri"/>
        <family val="2"/>
        <scheme val="none"/>
      </font>
      <numFmt numFmtId="4" formatCode="#,##0.0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30" formatCode="@"/>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name val="Calibri"/>
        <family val="2"/>
        <scheme val="none"/>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30" formatCode="@"/>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name val="Calibri"/>
        <family val="2"/>
        <scheme val="none"/>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1" formatCode="0"/>
      <fill>
        <patternFill patternType="none">
          <fgColor indexed="64"/>
          <bgColor auto="1"/>
        </patternFill>
      </fill>
      <alignment horizontal="right" vertical="center" textRotation="0" wrapText="0" indent="0" justifyLastLine="0" shrinkToFit="0" readingOrder="0"/>
    </dxf>
    <dxf>
      <font>
        <strike val="0"/>
        <outline val="0"/>
        <shadow val="0"/>
        <u val="none"/>
        <vertAlign val="baseline"/>
        <sz val="11"/>
        <name val="Calibri"/>
        <family val="2"/>
        <scheme val="none"/>
      </font>
      <numFmt numFmtId="1" formatCode="0"/>
      <fill>
        <patternFill patternType="none">
          <fgColor indexed="64"/>
          <bgColor auto="1"/>
        </patternFill>
      </fill>
      <alignment horizontal="right"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name val="Calibri"/>
        <family val="2"/>
        <scheme val="none"/>
      </font>
      <fill>
        <patternFill patternType="none">
          <fgColor indexed="64"/>
          <bgColor auto="1"/>
        </patternFill>
      </fill>
      <alignment horizontal="center" vertical="center" textRotation="0" wrapText="0" indent="0" justifyLastLine="0" shrinkToFit="0" readingOrder="0"/>
    </dxf>
    <dxf>
      <font>
        <b/>
        <strike val="0"/>
        <outline val="0"/>
        <shadow val="0"/>
        <u val="none"/>
        <vertAlign val="baseline"/>
        <sz val="10"/>
        <color theme="1"/>
        <name val="Arial"/>
        <family val="2"/>
        <scheme val="minor"/>
      </font>
      <fill>
        <patternFill patternType="none">
          <fgColor indexed="64"/>
          <bgColor auto="1"/>
        </patternFill>
      </fill>
      <alignment horizontal="left" vertical="center" textRotation="0" wrapText="0" indent="0" justifyLastLine="0" shrinkToFit="0" readingOrder="0"/>
    </dxf>
    <dxf>
      <font>
        <color rgb="FF9C0006"/>
      </font>
      <fill>
        <patternFill>
          <bgColor rgb="FFFFC7CE"/>
        </patternFill>
      </fill>
    </dxf>
    <dxf>
      <border>
        <right style="medium">
          <color indexed="64"/>
        </right>
      </border>
    </dxf>
    <dxf>
      <border>
        <right style="medium">
          <color indexed="64"/>
        </right>
      </border>
    </dxf>
    <dxf>
      <border>
        <right style="medium">
          <color indexed="64"/>
        </right>
      </border>
    </dxf>
    <dxf>
      <border>
        <right style="medium">
          <color indexed="64"/>
        </right>
      </border>
    </dxf>
    <dxf>
      <border>
        <right style="medium">
          <color indexed="64"/>
        </right>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sz val="11"/>
      </font>
    </dxf>
    <dxf>
      <font>
        <sz val="11"/>
      </font>
    </dxf>
    <dxf>
      <font>
        <sz val="11"/>
      </font>
    </dxf>
    <dxf>
      <font>
        <sz val="11"/>
      </font>
    </dxf>
    <dxf>
      <font>
        <sz val="11"/>
      </font>
    </dxf>
    <dxf>
      <numFmt numFmtId="168" formatCode="&quot;$&quot;#,##0"/>
    </dxf>
    <dxf>
      <numFmt numFmtId="168" formatCode="&quot;$&quot;#,##0"/>
    </dxf>
    <dxf>
      <font>
        <sz val="11"/>
      </font>
    </dxf>
    <dxf>
      <font>
        <sz val="11"/>
      </font>
    </dxf>
    <dxf>
      <font>
        <sz val="11"/>
      </font>
    </dxf>
    <dxf>
      <font>
        <sz val="11"/>
      </font>
    </dxf>
    <dxf>
      <font>
        <sz val="11"/>
      </font>
    </dxf>
    <dxf>
      <font>
        <sz val="11"/>
      </font>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sz val="11"/>
      </font>
    </dxf>
    <dxf>
      <font>
        <sz val="11"/>
      </font>
    </dxf>
    <dxf>
      <font>
        <sz val="11"/>
      </font>
    </dxf>
    <dxf>
      <font>
        <sz val="11"/>
      </font>
    </dxf>
    <dxf>
      <font>
        <sz val="11"/>
      </font>
    </dxf>
    <dxf>
      <font>
        <sz val="11"/>
      </font>
    </dxf>
    <dxf>
      <protection locked="1"/>
    </dxf>
    <dxf>
      <protection locked="1"/>
    </dxf>
    <dxf>
      <protection locked="1"/>
    </dxf>
    <dxf>
      <protection locked="1"/>
    </dxf>
    <dxf>
      <protection locked="1"/>
    </dxf>
    <dxf>
      <protection locked="1"/>
    </dxf>
    <dxf>
      <font>
        <sz val="11"/>
      </font>
    </dxf>
    <dxf>
      <font>
        <sz val="11"/>
      </font>
    </dxf>
    <dxf>
      <font>
        <sz val="11"/>
      </font>
    </dxf>
    <dxf>
      <font>
        <sz val="11"/>
      </font>
    </dxf>
    <dxf>
      <font>
        <sz val="11"/>
      </font>
    </dxf>
    <dxf>
      <font>
        <sz val="11"/>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numFmt numFmtId="165" formatCode="_-* #,##0_-;\-* #,##0_-;_-* &quot;-&quot;??_-;_-@_-"/>
    </dxf>
    <dxf>
      <numFmt numFmtId="165" formatCode="_-* #,##0_-;\-* #,##0_-;_-* &quot;-&quot;??_-;_-@_-"/>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2" formatCode="0.00"/>
    </dxf>
    <dxf>
      <numFmt numFmtId="2" formatCode="0.00"/>
    </dxf>
    <dxf>
      <numFmt numFmtId="2" formatCode="0.00"/>
    </dxf>
    <dxf>
      <numFmt numFmtId="2" formatCode="0.00"/>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numFmt numFmtId="19" formatCode="yyyy/mm/dd"/>
    </dxf>
    <dxf>
      <numFmt numFmtId="165" formatCode="_-* #,##0_-;\-* #,##0_-;_-* &quot;-&quot;??_-;_-@_-"/>
    </dxf>
    <dxf>
      <numFmt numFmtId="165" formatCode="_-* #,##0_-;\-* #,##0_-;_-* &quot;-&quot;??_-;_-@_-"/>
    </dxf>
    <dxf>
      <alignment horizontal="center"/>
    </dxf>
    <dxf>
      <alignment horizontal="center"/>
    </dxf>
    <dxf>
      <alignment horizontal="right"/>
    </dxf>
    <dxf>
      <alignment horizontal="right"/>
    </dxf>
    <dxf>
      <alignment horizontal="right"/>
    </dxf>
    <dxf>
      <alignment horizontal="right"/>
    </dxf>
    <dxf>
      <font>
        <sz val="11"/>
      </font>
    </dxf>
    <dxf>
      <font>
        <sz val="11"/>
      </font>
    </dxf>
    <dxf>
      <font>
        <sz val="11"/>
      </font>
    </dxf>
    <dxf>
      <font>
        <sz val="11"/>
      </font>
    </dxf>
    <dxf>
      <font>
        <sz val="11"/>
      </font>
    </dxf>
    <dxf>
      <font>
        <sz val="11"/>
      </font>
    </dxf>
    <dxf>
      <font>
        <sz val="11"/>
      </font>
    </dxf>
    <dxf>
      <font>
        <sz val="11"/>
      </font>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sz val="11"/>
      </font>
    </dxf>
    <dxf>
      <font>
        <sz val="11"/>
      </font>
    </dxf>
    <dxf>
      <font>
        <sz val="11"/>
      </font>
    </dxf>
    <dxf>
      <font>
        <sz val="11"/>
      </font>
    </dxf>
    <dxf>
      <font>
        <sz val="11"/>
      </font>
    </dxf>
    <dxf>
      <font>
        <sz val="11"/>
      </font>
    </dxf>
    <dxf>
      <font>
        <sz val="11"/>
      </font>
    </dxf>
    <dxf>
      <font>
        <sz val="11"/>
      </font>
    </dxf>
    <dxf>
      <protection locked="1"/>
    </dxf>
    <dxf>
      <protection locked="1"/>
    </dxf>
    <dxf>
      <protection locked="1"/>
    </dxf>
    <dxf>
      <protection locked="1"/>
    </dxf>
    <dxf>
      <protection locked="1"/>
    </dxf>
    <dxf>
      <protection locked="1"/>
    </dxf>
    <dxf>
      <protection locked="1"/>
    </dxf>
    <dxf>
      <protection locked="1"/>
    </dxf>
    <dxf>
      <font>
        <sz val="11"/>
      </font>
    </dxf>
    <dxf>
      <font>
        <sz val="11"/>
      </font>
    </dxf>
    <dxf>
      <font>
        <sz val="11"/>
      </font>
    </dxf>
    <dxf>
      <font>
        <sz val="11"/>
      </font>
    </dxf>
    <dxf>
      <font>
        <sz val="11"/>
      </font>
    </dxf>
    <dxf>
      <font>
        <sz val="11"/>
      </font>
    </dxf>
    <dxf>
      <font>
        <sz val="11"/>
      </font>
    </dxf>
    <dxf>
      <font>
        <sz val="11"/>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numFmt numFmtId="165" formatCode="_-* #,##0_-;\-* #,##0_-;_-* &quot;-&quot;??_-;_-@_-"/>
    </dxf>
    <dxf>
      <numFmt numFmtId="165" formatCode="_-* #,##0_-;\-* #,##0_-;_-* &quot;-&quot;??_-;_-@_-"/>
    </dxf>
    <dxf>
      <numFmt numFmtId="165" formatCode="_-* #,##0_-;\-* #,##0_-;_-* &quot;-&quot;??_-;_-@_-"/>
    </dxf>
    <dxf>
      <numFmt numFmtId="165" formatCode="_-* #,##0_-;\-* #,##0_-;_-* &quot;-&quot;??_-;_-@_-"/>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sz val="11"/>
      </font>
    </dxf>
    <dxf>
      <font>
        <sz val="11"/>
      </font>
    </dxf>
    <dxf>
      <font>
        <sz val="11"/>
      </font>
    </dxf>
    <dxf>
      <font>
        <sz val="11"/>
      </font>
    </dxf>
    <dxf>
      <font>
        <sz val="11"/>
      </font>
    </dxf>
    <dxf>
      <font>
        <sz val="11"/>
      </font>
    </dxf>
    <dxf>
      <font>
        <sz val="11"/>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sz val="11"/>
      </font>
    </dxf>
    <dxf>
      <font>
        <sz val="11"/>
      </font>
    </dxf>
    <dxf>
      <font>
        <sz val="11"/>
      </font>
    </dxf>
    <dxf>
      <font>
        <sz val="11"/>
      </font>
    </dxf>
    <dxf>
      <font>
        <sz val="11"/>
      </font>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sz val="11"/>
      </font>
    </dxf>
    <dxf>
      <font>
        <sz val="11"/>
      </font>
    </dxf>
    <dxf>
      <font>
        <sz val="11"/>
      </font>
    </dxf>
    <dxf>
      <font>
        <sz val="11"/>
      </font>
    </dxf>
    <dxf>
      <font>
        <sz val="11"/>
      </font>
    </dxf>
    <dxf>
      <protection locked="1"/>
    </dxf>
    <dxf>
      <protection locked="1"/>
    </dxf>
    <dxf>
      <protection locked="1"/>
    </dxf>
    <dxf>
      <protection locked="1"/>
    </dxf>
    <dxf>
      <protection locked="1"/>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numFmt numFmtId="165" formatCode="_-* #,##0_-;\-* #,##0_-;_-* &quot;-&quot;??_-;_-@_-"/>
    </dxf>
    <dxf>
      <numFmt numFmtId="165" formatCode="_-* #,##0_-;\-* #,##0_-;_-* &quot;-&quot;??_-;_-@_-"/>
    </dxf>
    <dxf>
      <font>
        <sz val="11"/>
      </font>
    </dxf>
    <dxf>
      <font>
        <sz val="11"/>
      </font>
    </dxf>
    <dxf>
      <font>
        <sz val="11"/>
      </font>
    </dxf>
    <dxf>
      <font>
        <sz val="11"/>
      </font>
    </dxf>
    <dxf>
      <font>
        <sz val="11"/>
      </font>
    </dxf>
    <dxf>
      <font>
        <sz val="11"/>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sz val="11"/>
      </font>
    </dxf>
    <dxf>
      <font>
        <sz val="11"/>
      </font>
    </dxf>
    <dxf>
      <font>
        <sz val="11"/>
      </font>
    </dxf>
    <dxf>
      <font>
        <sz val="11"/>
      </font>
    </dxf>
    <dxf>
      <font>
        <sz val="11"/>
      </font>
    </dxf>
    <dxf>
      <font>
        <sz val="11"/>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sz val="11"/>
      </font>
    </dxf>
    <dxf>
      <font>
        <sz val="11"/>
      </font>
    </dxf>
    <dxf>
      <font>
        <sz val="11"/>
      </font>
    </dxf>
    <dxf>
      <font>
        <sz val="11"/>
      </font>
    </dxf>
    <dxf>
      <font>
        <sz val="11"/>
      </font>
    </dxf>
    <dxf>
      <font>
        <sz val="11"/>
      </font>
    </dxf>
    <dxf>
      <protection locked="1"/>
    </dxf>
    <dxf>
      <protection locked="1"/>
    </dxf>
    <dxf>
      <protection locked="1"/>
    </dxf>
    <dxf>
      <protection locked="1"/>
    </dxf>
    <dxf>
      <protection locked="1"/>
    </dxf>
    <dxf>
      <protection locked="1"/>
    </dxf>
    <dxf>
      <font>
        <sz val="11"/>
      </font>
    </dxf>
    <dxf>
      <font>
        <sz val="11"/>
      </font>
    </dxf>
    <dxf>
      <font>
        <sz val="11"/>
      </font>
    </dxf>
    <dxf>
      <font>
        <sz val="11"/>
      </font>
    </dxf>
    <dxf>
      <font>
        <sz val="11"/>
      </font>
    </dxf>
    <dxf>
      <font>
        <sz val="11"/>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font>
        <sz val="11"/>
      </font>
    </dxf>
    <dxf>
      <font>
        <sz val="11"/>
      </font>
    </dxf>
    <dxf>
      <font>
        <sz val="11"/>
      </font>
    </dxf>
    <dxf>
      <font>
        <sz val="11"/>
      </font>
    </dxf>
    <dxf>
      <font>
        <sz val="11"/>
      </font>
    </dxf>
    <dxf>
      <numFmt numFmtId="168" formatCode="&quot;$&quot;#,##0"/>
    </dxf>
    <dxf>
      <numFmt numFmtId="168" formatCode="&quot;$&quot;#,##0"/>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relativeIndent="1"/>
    </dxf>
    <dxf>
      <alignment horizontal="left" relativeIndent="1"/>
    </dxf>
    <dxf>
      <alignment vertical="center" indent="0"/>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numFmt numFmtId="165" formatCode="_-* #,##0_-;\-* #,##0_-;_-* &quot;-&quot;??_-;_-@_-"/>
    </dxf>
    <dxf>
      <numFmt numFmtId="165" formatCode="_-* #,##0_-;\-* #,##0_-;_-* &quot;-&quot;??_-;_-@_-"/>
    </dxf>
    <dxf>
      <numFmt numFmtId="165" formatCode="_-* #,##0_-;\-* #,##0_-;_-* &quot;-&quot;??_-;_-@_-"/>
    </dxf>
    <dxf>
      <numFmt numFmtId="165" formatCode="_-* #,##0_-;\-* #,##0_-;_-* &quot;-&quot;??_-;_-@_-"/>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font>
        <sz val="11"/>
      </font>
    </dxf>
    <dxf>
      <font>
        <sz val="11"/>
      </font>
    </dxf>
    <dxf>
      <font>
        <sz val="11"/>
      </font>
    </dxf>
    <dxf>
      <font>
        <sz val="11"/>
      </font>
    </dxf>
    <dxf>
      <font>
        <sz val="11"/>
      </font>
    </dxf>
    <dxf>
      <numFmt numFmtId="168" formatCode="&quot;$&quot;#,##0"/>
    </dxf>
    <dxf>
      <numFmt numFmtId="168" formatCode="&quot;$&quot;#,##0"/>
    </dxf>
    <dxf>
      <border>
        <right style="medium">
          <color indexed="64"/>
        </right>
      </border>
    </dxf>
    <dxf>
      <border>
        <right style="medium">
          <color indexed="64"/>
        </right>
      </border>
    </dxf>
    <dxf>
      <border>
        <right style="medium">
          <color indexed="64"/>
        </right>
      </border>
    </dxf>
    <dxf>
      <border>
        <right style="medium">
          <color indexed="64"/>
        </right>
      </border>
    </dxf>
    <dxf>
      <border>
        <right style="medium">
          <color indexed="64"/>
        </right>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sz val="11"/>
      </font>
    </dxf>
    <dxf>
      <font>
        <sz val="11"/>
      </font>
    </dxf>
    <dxf>
      <font>
        <sz val="11"/>
      </font>
    </dxf>
    <dxf>
      <font>
        <sz val="11"/>
      </font>
    </dxf>
    <dxf>
      <font>
        <sz val="11"/>
      </font>
    </dxf>
    <dxf>
      <numFmt numFmtId="168" formatCode="&quot;$&quot;#,##0"/>
    </dxf>
    <dxf>
      <numFmt numFmtId="168" formatCode="&quot;$&quot;#,##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sz val="11"/>
      </font>
    </dxf>
    <dxf>
      <font>
        <sz val="11"/>
      </font>
    </dxf>
    <dxf>
      <font>
        <sz val="11"/>
      </font>
    </dxf>
    <dxf>
      <font>
        <sz val="11"/>
      </font>
    </dxf>
    <dxf>
      <font>
        <sz val="11"/>
      </font>
    </dxf>
    <dxf>
      <numFmt numFmtId="168" formatCode="&quot;$&quot;#,##0"/>
    </dxf>
    <dxf>
      <numFmt numFmtId="168" formatCode="&quot;$&quot;#,##0"/>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alignment horizontal="left"/>
    </dxf>
    <dxf>
      <alignment horizontal="left"/>
    </dxf>
    <dxf>
      <alignment horizontal="left"/>
    </dxf>
    <dxf>
      <alignment horizontal="lef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numFmt numFmtId="165" formatCode="_-* #,##0_-;\-* #,##0_-;_-* &quot;-&quot;??_-;_-@_-"/>
    </dxf>
    <dxf>
      <numFmt numFmtId="165" formatCode="_-* #,##0_-;\-* #,##0_-;_-* &quot;-&quot;??_-;_-@_-"/>
    </dxf>
    <dxf>
      <numFmt numFmtId="165" formatCode="_-* #,##0_-;\-* #,##0_-;_-* &quot;-&quot;??_-;_-@_-"/>
    </dxf>
    <dxf>
      <numFmt numFmtId="165" formatCode="_-* #,##0_-;\-* #,##0_-;_-* &quot;-&quot;??_-;_-@_-"/>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sz val="11"/>
      </font>
    </dxf>
    <dxf>
      <font>
        <sz val="11"/>
      </font>
    </dxf>
    <dxf>
      <font>
        <sz val="11"/>
      </font>
    </dxf>
    <dxf>
      <font>
        <sz val="11"/>
      </font>
    </dxf>
    <dxf>
      <font>
        <sz val="11"/>
      </font>
    </dxf>
    <dxf>
      <numFmt numFmtId="168" formatCode="&quot;$&quot;#,##0"/>
    </dxf>
    <dxf>
      <numFmt numFmtId="168" formatCode="&quot;$&quot;#,##0"/>
    </dxf>
    <dxf>
      <font>
        <sz val="11"/>
      </font>
    </dxf>
    <dxf>
      <font>
        <sz val="11"/>
      </font>
    </dxf>
    <dxf>
      <font>
        <sz val="11"/>
      </font>
    </dxf>
    <dxf>
      <font>
        <sz val="11"/>
      </font>
    </dxf>
    <dxf>
      <font>
        <sz val="11"/>
      </font>
    </dxf>
    <dxf>
      <font>
        <sz val="11"/>
      </font>
    </dxf>
    <dxf>
      <font>
        <sz val="11"/>
      </font>
    </dxf>
    <dxf>
      <font>
        <sz val="11"/>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sz val="11"/>
      </font>
    </dxf>
    <dxf>
      <font>
        <sz val="11"/>
      </font>
    </dxf>
    <dxf>
      <font>
        <sz val="11"/>
      </font>
    </dxf>
    <dxf>
      <font>
        <sz val="11"/>
      </font>
    </dxf>
    <dxf>
      <font>
        <sz val="11"/>
      </font>
    </dxf>
    <dxf>
      <font>
        <sz val="11"/>
      </font>
    </dxf>
    <dxf>
      <font>
        <sz val="11"/>
      </font>
    </dxf>
    <dxf>
      <font>
        <sz val="11"/>
      </font>
    </dxf>
    <dxf>
      <protection locked="1"/>
    </dxf>
    <dxf>
      <protection locked="1"/>
    </dxf>
    <dxf>
      <protection locked="1"/>
    </dxf>
    <dxf>
      <protection locked="1"/>
    </dxf>
    <dxf>
      <protection locked="1"/>
    </dxf>
    <dxf>
      <protection locked="1"/>
    </dxf>
    <dxf>
      <protection locked="1"/>
    </dxf>
    <dxf>
      <protection locked="1"/>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numFmt numFmtId="165" formatCode="_-* #,##0_-;\-* #,##0_-;_-* &quot;-&quot;??_-;_-@_-"/>
    </dxf>
    <dxf>
      <font>
        <sz val="11"/>
      </font>
    </dxf>
    <dxf>
      <font>
        <sz val="11"/>
      </font>
    </dxf>
    <dxf>
      <font>
        <sz val="11"/>
      </font>
    </dxf>
    <dxf>
      <font>
        <sz val="11"/>
      </font>
    </dxf>
    <dxf>
      <font>
        <sz val="11"/>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sz val="11"/>
      </font>
    </dxf>
    <dxf>
      <font>
        <sz val="11"/>
      </font>
    </dxf>
    <dxf>
      <font>
        <sz val="11"/>
      </font>
    </dxf>
    <dxf>
      <font>
        <sz val="11"/>
      </font>
    </dxf>
    <dxf>
      <font>
        <sz val="11"/>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relativeIndent="1"/>
    </dxf>
    <dxf>
      <alignment relativeIndent="1"/>
    </dxf>
    <dxf>
      <alignment horizontal="left" relativeIndent="1"/>
    </dxf>
    <dxf>
      <alignment horizontal="left" relativeIndent="1"/>
    </dxf>
    <dxf>
      <alignment vertical="center" indent="0"/>
    </dxf>
    <dxf>
      <alignment vertical="center" indent="0"/>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sz val="11"/>
      </font>
    </dxf>
    <dxf>
      <font>
        <sz val="11"/>
      </font>
    </dxf>
    <dxf>
      <font>
        <sz val="11"/>
      </font>
    </dxf>
    <dxf>
      <font>
        <sz val="11"/>
      </font>
    </dxf>
    <dxf>
      <font>
        <sz val="11"/>
      </font>
    </dxf>
    <dxf>
      <protection locked="1"/>
    </dxf>
    <dxf>
      <protection locked="1"/>
    </dxf>
    <dxf>
      <protection locked="1"/>
    </dxf>
    <dxf>
      <protection locked="1"/>
    </dxf>
    <dxf>
      <protection locked="1"/>
    </dxf>
    <dxf>
      <font>
        <sz val="11"/>
      </font>
    </dxf>
    <dxf>
      <font>
        <sz val="11"/>
      </font>
    </dxf>
    <dxf>
      <font>
        <sz val="11"/>
      </font>
    </dxf>
    <dxf>
      <font>
        <sz val="11"/>
      </font>
    </dxf>
    <dxf>
      <font>
        <sz val="11"/>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numFmt numFmtId="1" formatCode="0"/>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ill>
        <patternFill>
          <bgColor theme="2" tint="-4.9989318521683403E-2"/>
        </patternFill>
      </fill>
    </dxf>
    <dxf>
      <font>
        <sz val="11"/>
      </font>
    </dxf>
    <dxf>
      <font>
        <sz val="11"/>
      </font>
    </dxf>
    <dxf>
      <font>
        <sz val="11"/>
      </font>
    </dxf>
    <dxf>
      <font>
        <sz val="11"/>
      </font>
    </dxf>
    <dxf>
      <font>
        <sz val="11"/>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sz val="11"/>
      </font>
    </dxf>
    <dxf>
      <font>
        <sz val="11"/>
      </font>
    </dxf>
    <dxf>
      <font>
        <sz val="11"/>
      </font>
    </dxf>
    <dxf>
      <font>
        <sz val="11"/>
      </font>
    </dxf>
    <dxf>
      <font>
        <sz val="11"/>
      </font>
    </dxf>
    <dxf>
      <font>
        <sz val="11"/>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sz val="11"/>
      </font>
    </dxf>
    <dxf>
      <font>
        <sz val="11"/>
      </font>
    </dxf>
    <dxf>
      <font>
        <sz val="11"/>
      </font>
    </dxf>
    <dxf>
      <font>
        <sz val="11"/>
      </font>
    </dxf>
    <dxf>
      <font>
        <sz val="11"/>
      </font>
    </dxf>
    <dxf>
      <font>
        <sz val="11"/>
      </font>
    </dxf>
    <dxf>
      <protection locked="1"/>
    </dxf>
    <dxf>
      <protection locked="1"/>
    </dxf>
    <dxf>
      <protection locked="1"/>
    </dxf>
    <dxf>
      <protection locked="1"/>
    </dxf>
    <dxf>
      <protection locked="1"/>
    </dxf>
    <dxf>
      <protection locked="1"/>
    </dxf>
    <dxf>
      <font>
        <sz val="11"/>
      </font>
    </dxf>
    <dxf>
      <font>
        <sz val="11"/>
      </font>
    </dxf>
    <dxf>
      <font>
        <sz val="11"/>
      </font>
    </dxf>
    <dxf>
      <font>
        <sz val="11"/>
      </font>
    </dxf>
    <dxf>
      <font>
        <sz val="11"/>
      </font>
    </dxf>
    <dxf>
      <font>
        <sz val="11"/>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numFmt numFmtId="165" formatCode="_-* #,##0_-;\-* #,##0_-;_-* &quot;-&quot;??_-;_-@_-"/>
    </dxf>
    <dxf>
      <numFmt numFmtId="165" formatCode="_-* #,##0_-;\-* #,##0_-;_-* &quot;-&quot;??_-;_-@_-"/>
    </dxf>
    <dxf>
      <border>
        <right style="medium">
          <color indexed="64"/>
        </right>
      </border>
    </dxf>
    <dxf>
      <border>
        <right style="medium">
          <color indexed="64"/>
        </right>
      </border>
    </dxf>
    <dxf>
      <border>
        <right style="medium">
          <color indexed="64"/>
        </right>
      </border>
    </dxf>
    <dxf>
      <border>
        <right style="medium">
          <color indexed="64"/>
        </right>
      </border>
    </dxf>
    <dxf>
      <border>
        <right style="medium">
          <color indexed="64"/>
        </right>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sz val="11"/>
      </font>
    </dxf>
    <dxf>
      <font>
        <sz val="11"/>
      </font>
    </dxf>
    <dxf>
      <font>
        <sz val="11"/>
      </font>
    </dxf>
    <dxf>
      <font>
        <sz val="11"/>
      </font>
    </dxf>
    <dxf>
      <font>
        <sz val="11"/>
      </font>
    </dxf>
    <dxf>
      <numFmt numFmtId="168" formatCode="&quot;$&quot;#,##0"/>
    </dxf>
    <dxf>
      <numFmt numFmtId="168" formatCode="&quot;$&quot;#,##0"/>
    </dxf>
    <dxf>
      <font>
        <sz val="11"/>
      </font>
    </dxf>
    <dxf>
      <font>
        <sz val="11"/>
      </font>
    </dxf>
    <dxf>
      <font>
        <sz val="11"/>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venir Next LT Pro"/>
        <scheme val="none"/>
      </font>
    </dxf>
    <dxf>
      <font>
        <name val="Avenir Next LT Pro"/>
        <scheme val="none"/>
      </font>
    </dxf>
    <dxf>
      <font>
        <name val="Avenir Next LT Pro"/>
        <scheme val="none"/>
      </font>
    </dxf>
    <dxf>
      <font>
        <sz val="11"/>
      </font>
    </dxf>
    <dxf>
      <font>
        <sz val="11"/>
      </font>
    </dxf>
    <dxf>
      <font>
        <sz val="11"/>
      </font>
    </dxf>
    <dxf>
      <protection locked="1"/>
    </dxf>
    <dxf>
      <protection locked="1"/>
    </dxf>
    <dxf>
      <protection locked="1"/>
    </dxf>
    <dxf>
      <font>
        <sz val="11"/>
      </font>
    </dxf>
    <dxf>
      <font>
        <sz val="11"/>
      </font>
    </dxf>
    <dxf>
      <font>
        <sz val="11"/>
      </font>
    </dxf>
    <dxf>
      <font>
        <name val="Avenir Next LT Pro"/>
        <family val="2"/>
        <scheme val="none"/>
      </font>
    </dxf>
    <dxf>
      <font>
        <name val="Avenir Next LT Pro"/>
        <family val="2"/>
        <scheme val="none"/>
      </font>
    </dxf>
    <dxf>
      <font>
        <name val="Avenir Next LT Pro"/>
        <family val="2"/>
        <scheme val="none"/>
      </font>
    </dxf>
    <dxf>
      <fill>
        <patternFill>
          <bgColor theme="0" tint="-4.9989318521683403E-2"/>
        </patternFill>
      </fill>
    </dxf>
    <dxf>
      <fill>
        <patternFill>
          <bgColor theme="0" tint="-4.9989318521683403E-2"/>
        </patternFill>
      </fill>
    </dxf>
    <dxf>
      <fill>
        <patternFill>
          <bgColor theme="0" tint="-4.9989318521683403E-2"/>
        </patternFill>
      </fill>
    </dxf>
    <dxf>
      <numFmt numFmtId="165" formatCode="_-* #,##0_-;\-* #,##0_-;_-* &quot;-&quot;??_-;_-@_-"/>
    </dxf>
    <dxf>
      <numFmt numFmtId="0" formatCode="General"/>
    </dxf>
    <dxf>
      <numFmt numFmtId="165" formatCode="_-* #,##0_-;\-* #,##0_-;_-* &quot;-&quot;??_-;_-@_-"/>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sz val="11"/>
      </font>
    </dxf>
    <dxf>
      <font>
        <sz val="11"/>
      </font>
    </dxf>
    <dxf>
      <font>
        <sz val="11"/>
      </font>
    </dxf>
    <dxf>
      <font>
        <sz val="11"/>
      </font>
    </dxf>
    <dxf>
      <font>
        <sz val="11"/>
      </font>
    </dxf>
    <dxf>
      <font>
        <sz val="11"/>
      </font>
    </dxf>
    <dxf>
      <font>
        <sz val="11"/>
      </font>
    </dxf>
    <dxf>
      <font>
        <sz val="11"/>
      </font>
    </dxf>
    <dxf>
      <font>
        <sz val="11"/>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numFmt numFmtId="19" formatCode="yyyy/mm/dd"/>
    </dxf>
    <dxf>
      <numFmt numFmtId="165" formatCode="_-* #,##0_-;\-* #,##0_-;_-* &quot;-&quot;??_-;_-@_-"/>
    </dxf>
    <dxf>
      <numFmt numFmtId="165" formatCode="_-* #,##0_-;\-* #,##0_-;_-* &quot;-&quot;??_-;_-@_-"/>
    </dxf>
    <dxf>
      <alignment horizontal="center"/>
    </dxf>
    <dxf>
      <alignment horizontal="center"/>
    </dxf>
    <dxf>
      <alignment horizontal="right"/>
    </dxf>
    <dxf>
      <alignment horizontal="right"/>
    </dxf>
    <dxf>
      <alignment horizontal="right"/>
    </dxf>
    <dxf>
      <alignment horizontal="right"/>
    </dxf>
    <dxf>
      <border>
        <right style="medium">
          <color indexed="64"/>
        </right>
      </border>
    </dxf>
    <dxf>
      <border>
        <right style="medium">
          <color indexed="64"/>
        </right>
      </border>
    </dxf>
    <dxf>
      <border>
        <right style="medium">
          <color indexed="64"/>
        </right>
      </border>
    </dxf>
    <dxf>
      <border>
        <right style="medium">
          <color indexed="64"/>
        </right>
      </border>
    </dxf>
    <dxf>
      <border>
        <right style="medium">
          <color indexed="64"/>
        </right>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sz val="11"/>
      </font>
    </dxf>
    <dxf>
      <font>
        <sz val="11"/>
      </font>
    </dxf>
    <dxf>
      <font>
        <sz val="11"/>
      </font>
    </dxf>
    <dxf>
      <font>
        <sz val="11"/>
      </font>
    </dxf>
    <dxf>
      <font>
        <sz val="11"/>
      </font>
    </dxf>
    <dxf>
      <numFmt numFmtId="168" formatCode="&quot;$&quot;#,##0"/>
    </dxf>
    <dxf>
      <numFmt numFmtId="168" formatCode="&quot;$&quot;#,##0"/>
    </dxf>
    <dxf>
      <font>
        <sz val="11"/>
      </font>
    </dxf>
    <dxf>
      <font>
        <sz val="11"/>
      </font>
    </dxf>
    <dxf>
      <font>
        <sz val="11"/>
      </font>
    </dxf>
    <dxf>
      <font>
        <sz val="11"/>
      </font>
    </dxf>
    <dxf>
      <font>
        <sz val="11"/>
      </font>
    </dxf>
    <dxf>
      <font>
        <sz val="11"/>
      </font>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name val="Avenir Next LT Pro"/>
        <scheme val="none"/>
      </font>
    </dxf>
    <dxf>
      <font>
        <sz val="11"/>
      </font>
    </dxf>
    <dxf>
      <font>
        <sz val="11"/>
      </font>
    </dxf>
    <dxf>
      <font>
        <sz val="11"/>
      </font>
    </dxf>
    <dxf>
      <font>
        <sz val="11"/>
      </font>
    </dxf>
    <dxf>
      <font>
        <sz val="11"/>
      </font>
    </dxf>
    <dxf>
      <font>
        <sz val="11"/>
      </font>
    </dxf>
    <dxf>
      <protection locked="1"/>
    </dxf>
    <dxf>
      <protection locked="1"/>
    </dxf>
    <dxf>
      <protection locked="1"/>
    </dxf>
    <dxf>
      <protection locked="1"/>
    </dxf>
    <dxf>
      <protection locked="1"/>
    </dxf>
    <dxf>
      <protection locked="1"/>
    </dxf>
    <dxf>
      <font>
        <sz val="11"/>
      </font>
    </dxf>
    <dxf>
      <font>
        <sz val="11"/>
      </font>
    </dxf>
    <dxf>
      <font>
        <sz val="11"/>
      </font>
    </dxf>
    <dxf>
      <font>
        <sz val="11"/>
      </font>
    </dxf>
    <dxf>
      <font>
        <sz val="11"/>
      </font>
    </dxf>
    <dxf>
      <font>
        <sz val="11"/>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numFmt numFmtId="165" formatCode="_-* #,##0_-;\-* #,##0_-;_-* &quot;-&quot;??_-;_-@_-"/>
    </dxf>
    <dxf>
      <font>
        <sz val="16"/>
        <color rgb="FFD43260"/>
        <name val="Avenir Next LT Pro"/>
        <family val="2"/>
        <scheme val="none"/>
      </font>
    </dxf>
    <dxf>
      <font>
        <sz val="11"/>
        <name val="Avenir Next LT Pro"/>
        <family val="2"/>
        <scheme val="none"/>
      </font>
      <fill>
        <patternFill patternType="solid">
          <fgColor auto="1"/>
          <bgColor rgb="FF070E25"/>
        </patternFill>
      </fill>
      <border>
        <left/>
        <right/>
        <top/>
        <bottom/>
      </border>
    </dxf>
    <dxf>
      <font>
        <sz val="16"/>
        <color rgb="FFD43260"/>
        <name val="Avenir Next LT Pro"/>
        <family val="2"/>
        <scheme val="none"/>
      </font>
    </dxf>
    <dxf>
      <font>
        <sz val="11"/>
        <name val="Avenir Next LT Pro"/>
        <family val="2"/>
        <scheme val="none"/>
      </font>
      <fill>
        <patternFill patternType="solid">
          <fgColor auto="1"/>
          <bgColor theme="1"/>
        </patternFill>
      </fill>
      <border>
        <left/>
        <right/>
        <top/>
        <bottom/>
      </border>
    </dxf>
    <dxf>
      <font>
        <sz val="11"/>
        <name val="Avenir Next LT Pro"/>
        <family val="2"/>
        <scheme val="none"/>
      </font>
      <fill>
        <patternFill patternType="solid">
          <fgColor auto="1"/>
          <bgColor rgb="FF070E25"/>
        </patternFill>
      </fill>
      <border>
        <left/>
        <right/>
        <top/>
        <bottom/>
      </border>
    </dxf>
    <dxf>
      <fill>
        <patternFill patternType="solid">
          <fgColor rgb="FFDEEAF6"/>
          <bgColor rgb="FFDEEAF6"/>
        </patternFill>
      </fill>
    </dxf>
    <dxf>
      <fill>
        <patternFill patternType="solid">
          <fgColor rgb="FFD9E2F3"/>
          <bgColor rgb="FFD9E2F3"/>
        </patternFill>
      </fill>
    </dxf>
    <dxf>
      <fill>
        <patternFill patternType="solid">
          <fgColor theme="0"/>
          <bgColor theme="0"/>
        </patternFill>
      </fill>
    </dxf>
    <dxf>
      <fill>
        <patternFill patternType="solid">
          <fgColor theme="8"/>
          <bgColor theme="8"/>
        </patternFill>
      </fill>
    </dxf>
  </dxfs>
  <tableStyles count="4" defaultTableStyle="TableStyleMedium2" defaultPivotStyle="PivotStyleLight16">
    <tableStyle name="DataSheet-style" pivot="0" count="4" xr9:uid="{00000000-0011-0000-FFFF-FFFF00000000}">
      <tableStyleElement type="headerRow" dxfId="1140"/>
      <tableStyleElement type="totalRow" dxfId="1139"/>
      <tableStyleElement type="firstRowStripe" dxfId="1138"/>
      <tableStyleElement type="secondRowStripe" dxfId="1137"/>
    </tableStyle>
    <tableStyle name="Slicer Style 1" pivot="0" table="0" count="5" xr9:uid="{199AF33C-BF78-4386-977F-388555F0CB83}">
      <tableStyleElement type="wholeTable" dxfId="1136"/>
    </tableStyle>
    <tableStyle name="Slicer Style 1 2" pivot="0" table="0" count="6" xr9:uid="{EAB6A50D-DEE4-4F5D-8A4D-719C3E4C638B}">
      <tableStyleElement type="wholeTable" dxfId="1135"/>
      <tableStyleElement type="headerRow" dxfId="1134"/>
    </tableStyle>
    <tableStyle name="Slicer Style 1 2 3" pivot="0" table="0" count="6" xr9:uid="{11C7027D-D270-4374-9564-617F0F4B451B}">
      <tableStyleElement type="wholeTable" dxfId="1133"/>
      <tableStyleElement type="headerRow" dxfId="1132"/>
    </tableStyle>
  </tableStyles>
  <colors>
    <mruColors>
      <color rgb="FFB1F5F1"/>
      <color rgb="FF990099"/>
      <color rgb="FF800080"/>
      <color rgb="FF1D1D3A"/>
      <color rgb="FF002060"/>
      <color rgb="FFD43260"/>
      <color rgb="FFCC00CC"/>
      <color rgb="FF7417BD"/>
      <color rgb="FF6921B5"/>
      <color rgb="FF194AFE"/>
    </mruColors>
  </colors>
  <extLst>
    <ext xmlns:x14="http://schemas.microsoft.com/office/spreadsheetml/2009/9/main" uri="{46F421CA-312F-682f-3DD2-61675219B42D}">
      <x14:dxfs count="12">
        <dxf>
          <font>
            <color rgb="FFD43260"/>
          </font>
          <border>
            <left style="thin">
              <color theme="0"/>
            </left>
            <right style="thin">
              <color theme="0"/>
            </right>
            <top style="thin">
              <color theme="0"/>
            </top>
            <bottom style="thin">
              <color theme="0"/>
            </bottom>
          </border>
        </dxf>
        <dxf>
          <font>
            <color theme="0"/>
          </font>
          <fill>
            <patternFill>
              <bgColor rgb="FF002060"/>
            </patternFill>
          </fill>
        </dxf>
        <dxf>
          <font>
            <color theme="0"/>
          </font>
          <fill>
            <patternFill>
              <bgColor rgb="FF070E25"/>
            </patternFill>
          </fill>
          <border>
            <left style="thin">
              <color theme="0"/>
            </left>
            <right style="thin">
              <color theme="0"/>
            </right>
            <top style="thin">
              <color theme="0"/>
            </top>
            <bottom style="thin">
              <color theme="0"/>
            </bottom>
          </border>
        </dxf>
        <dxf>
          <font>
            <color theme="0"/>
          </font>
          <fill>
            <patternFill>
              <fgColor theme="1"/>
              <bgColor rgb="FF002060"/>
            </patternFill>
          </fill>
        </dxf>
        <dxf>
          <font>
            <color rgb="FF194AFE"/>
          </font>
          <border>
            <left style="thin">
              <color theme="0"/>
            </left>
            <right style="thin">
              <color theme="0"/>
            </right>
            <top style="thin">
              <color theme="0"/>
            </top>
            <bottom style="thin">
              <color theme="0"/>
            </bottom>
          </border>
        </dxf>
        <dxf>
          <font>
            <color theme="0"/>
          </font>
          <fill>
            <patternFill>
              <bgColor rgb="FF002060"/>
            </patternFill>
          </fill>
        </dxf>
        <dxf>
          <font>
            <color theme="0"/>
          </font>
          <fill>
            <patternFill>
              <bgColor theme="3"/>
            </patternFill>
          </fill>
          <border>
            <left style="thin">
              <color theme="0"/>
            </left>
            <right style="thin">
              <color theme="0"/>
            </right>
            <top style="thin">
              <color theme="0"/>
            </top>
            <bottom style="thin">
              <color theme="0"/>
            </bottom>
          </border>
        </dxf>
        <dxf>
          <font>
            <color theme="0"/>
          </font>
          <fill>
            <patternFill>
              <fgColor theme="1"/>
              <bgColor rgb="FF7030A0"/>
            </patternFill>
          </fill>
        </dxf>
        <dxf>
          <font>
            <color rgb="FF194AFE"/>
          </font>
          <border>
            <left style="thin">
              <color theme="0"/>
            </left>
            <right style="thin">
              <color theme="0"/>
            </right>
            <top style="thin">
              <color theme="0"/>
            </top>
            <bottom style="thin">
              <color theme="0"/>
            </bottom>
          </border>
        </dxf>
        <dxf>
          <font>
            <color theme="0"/>
          </font>
          <fill>
            <patternFill>
              <bgColor rgb="FF002060"/>
            </patternFill>
          </fill>
        </dxf>
        <dxf>
          <font>
            <color theme="0"/>
          </font>
          <fill>
            <patternFill>
              <bgColor theme="3"/>
            </patternFill>
          </fill>
          <border>
            <left style="thin">
              <color theme="0"/>
            </left>
            <right style="thin">
              <color theme="0"/>
            </right>
            <top style="thin">
              <color theme="0"/>
            </top>
            <bottom style="thin">
              <color theme="0"/>
            </bottom>
          </border>
        </dxf>
        <dxf>
          <font>
            <color theme="0"/>
          </font>
          <fill>
            <patternFill>
              <fgColor theme="1"/>
              <bgColor rgb="FF00206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1"/>
            <x14:slicerStyleElement type="selectedItemWithData" dxfId="10"/>
            <x14:slicerStyleElement type="hoveredUnselectedItemWithData" dxfId="9"/>
            <x14:slicerStyleElement type="hoveredSelectedItemWithData" dxfId="8"/>
          </x14:slicerStyleElements>
        </x14:slicerStyle>
        <x14:slicerStyle name="Slicer Style 1 2">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1 2 3">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20.xml"/><Relationship Id="rId21" Type="http://schemas.openxmlformats.org/officeDocument/2006/relationships/pivotCacheDefinition" Target="pivotCache/pivotCacheDefinition15.xml"/><Relationship Id="rId42" Type="http://schemas.openxmlformats.org/officeDocument/2006/relationships/styles" Target="styles.xml"/><Relationship Id="rId47" Type="http://schemas.openxmlformats.org/officeDocument/2006/relationships/calcChain" Target="calcChain.xml"/><Relationship Id="rId63" Type="http://schemas.openxmlformats.org/officeDocument/2006/relationships/customXml" Target="../customXml/item16.xml"/><Relationship Id="rId68" Type="http://schemas.openxmlformats.org/officeDocument/2006/relationships/customXml" Target="../customXml/item21.xml"/><Relationship Id="rId16" Type="http://schemas.openxmlformats.org/officeDocument/2006/relationships/pivotCacheDefinition" Target="pivotCache/pivotCacheDefinition10.xml"/><Relationship Id="rId11" Type="http://schemas.openxmlformats.org/officeDocument/2006/relationships/pivotCacheDefinition" Target="pivotCache/pivotCacheDefinition5.xml"/><Relationship Id="rId24" Type="http://schemas.openxmlformats.org/officeDocument/2006/relationships/pivotCacheDefinition" Target="pivotCache/pivotCacheDefinition18.xml"/><Relationship Id="rId32" Type="http://schemas.microsoft.com/office/2007/relationships/slicerCache" Target="slicerCaches/slicerCache1.xml"/><Relationship Id="rId37" Type="http://schemas.microsoft.com/office/2007/relationships/slicerCache" Target="slicerCaches/slicerCache6.xml"/><Relationship Id="rId40" Type="http://schemas.openxmlformats.org/officeDocument/2006/relationships/theme" Target="theme/theme1.xml"/><Relationship Id="rId45" Type="http://schemas.openxmlformats.org/officeDocument/2006/relationships/powerPivotData" Target="model/item.data"/><Relationship Id="rId53" Type="http://schemas.openxmlformats.org/officeDocument/2006/relationships/customXml" Target="../customXml/item6.xml"/><Relationship Id="rId58" Type="http://schemas.openxmlformats.org/officeDocument/2006/relationships/customXml" Target="../customXml/item11.xml"/><Relationship Id="rId66" Type="http://schemas.openxmlformats.org/officeDocument/2006/relationships/customXml" Target="../customXml/item19.xml"/><Relationship Id="rId74" Type="http://schemas.openxmlformats.org/officeDocument/2006/relationships/customXml" Target="../customXml/item27.xml"/><Relationship Id="rId5" Type="http://schemas.openxmlformats.org/officeDocument/2006/relationships/worksheet" Target="worksheets/sheet5.xml"/><Relationship Id="rId61" Type="http://schemas.openxmlformats.org/officeDocument/2006/relationships/customXml" Target="../customXml/item14.xml"/><Relationship Id="rId19" Type="http://schemas.openxmlformats.org/officeDocument/2006/relationships/pivotCacheDefinition" Target="pivotCache/pivotCacheDefinition13.xml"/><Relationship Id="rId14" Type="http://schemas.openxmlformats.org/officeDocument/2006/relationships/pivotCacheDefinition" Target="pivotCache/pivotCacheDefinition8.xml"/><Relationship Id="rId22" Type="http://schemas.openxmlformats.org/officeDocument/2006/relationships/pivotCacheDefinition" Target="pivotCache/pivotCacheDefinition16.xml"/><Relationship Id="rId27" Type="http://schemas.openxmlformats.org/officeDocument/2006/relationships/pivotCacheDefinition" Target="pivotCache/pivotCacheDefinition21.xml"/><Relationship Id="rId30" Type="http://schemas.openxmlformats.org/officeDocument/2006/relationships/pivotCacheDefinition" Target="pivotCache/pivotCacheDefinition24.xml"/><Relationship Id="rId35" Type="http://schemas.microsoft.com/office/2007/relationships/slicerCache" Target="slicerCaches/slicerCache4.xml"/><Relationship Id="rId43" Type="http://schemas.openxmlformats.org/officeDocument/2006/relationships/sharedStrings" Target="sharedStrings.xml"/><Relationship Id="rId48" Type="http://schemas.openxmlformats.org/officeDocument/2006/relationships/customXml" Target="../customXml/item1.xml"/><Relationship Id="rId56" Type="http://schemas.openxmlformats.org/officeDocument/2006/relationships/customXml" Target="../customXml/item9.xml"/><Relationship Id="rId64" Type="http://schemas.openxmlformats.org/officeDocument/2006/relationships/customXml" Target="../customXml/item17.xml"/><Relationship Id="rId69" Type="http://schemas.openxmlformats.org/officeDocument/2006/relationships/customXml" Target="../customXml/item22.xml"/><Relationship Id="rId77" Type="http://schemas.microsoft.com/office/2006/relationships/vbaProject" Target="vbaProject.bin"/><Relationship Id="rId8" Type="http://schemas.openxmlformats.org/officeDocument/2006/relationships/pivotCacheDefinition" Target="pivotCache/pivotCacheDefinition2.xml"/><Relationship Id="rId51" Type="http://schemas.openxmlformats.org/officeDocument/2006/relationships/customXml" Target="../customXml/item4.xml"/><Relationship Id="rId72" Type="http://schemas.openxmlformats.org/officeDocument/2006/relationships/customXml" Target="../customXml/item25.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25" Type="http://schemas.openxmlformats.org/officeDocument/2006/relationships/pivotCacheDefinition" Target="pivotCache/pivotCacheDefinition19.xml"/><Relationship Id="rId33" Type="http://schemas.microsoft.com/office/2007/relationships/slicerCache" Target="slicerCaches/slicerCache2.xml"/><Relationship Id="rId38" Type="http://schemas.microsoft.com/office/2007/relationships/slicerCache" Target="slicerCaches/slicerCache7.xml"/><Relationship Id="rId46" Type="http://schemas.microsoft.com/office/2017/10/relationships/person" Target="persons/person.xml"/><Relationship Id="rId59" Type="http://schemas.openxmlformats.org/officeDocument/2006/relationships/customXml" Target="../customXml/item12.xml"/><Relationship Id="rId67" Type="http://schemas.openxmlformats.org/officeDocument/2006/relationships/customXml" Target="../customXml/item20.xml"/><Relationship Id="rId20" Type="http://schemas.openxmlformats.org/officeDocument/2006/relationships/pivotCacheDefinition" Target="pivotCache/pivotCacheDefinition14.xml"/><Relationship Id="rId41" Type="http://schemas.openxmlformats.org/officeDocument/2006/relationships/connections" Target="connections.xml"/><Relationship Id="rId54" Type="http://schemas.openxmlformats.org/officeDocument/2006/relationships/customXml" Target="../customXml/item7.xml"/><Relationship Id="rId62" Type="http://schemas.openxmlformats.org/officeDocument/2006/relationships/customXml" Target="../customXml/item15.xml"/><Relationship Id="rId70" Type="http://schemas.openxmlformats.org/officeDocument/2006/relationships/customXml" Target="../customXml/item23.xml"/><Relationship Id="rId75" Type="http://schemas.openxmlformats.org/officeDocument/2006/relationships/customXml" Target="../customXml/item28.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9.xml"/><Relationship Id="rId23" Type="http://schemas.openxmlformats.org/officeDocument/2006/relationships/pivotCacheDefinition" Target="pivotCache/pivotCacheDefinition17.xml"/><Relationship Id="rId28" Type="http://schemas.openxmlformats.org/officeDocument/2006/relationships/pivotCacheDefinition" Target="pivotCache/pivotCacheDefinition22.xml"/><Relationship Id="rId36" Type="http://schemas.microsoft.com/office/2007/relationships/slicerCache" Target="slicerCaches/slicerCache5.xml"/><Relationship Id="rId49" Type="http://schemas.openxmlformats.org/officeDocument/2006/relationships/customXml" Target="../customXml/item2.xml"/><Relationship Id="rId57" Type="http://schemas.openxmlformats.org/officeDocument/2006/relationships/customXml" Target="../customXml/item10.xml"/><Relationship Id="rId10" Type="http://schemas.openxmlformats.org/officeDocument/2006/relationships/pivotCacheDefinition" Target="pivotCache/pivotCacheDefinition4.xml"/><Relationship Id="rId31" Type="http://schemas.openxmlformats.org/officeDocument/2006/relationships/pivotCacheDefinition" Target="pivotCache/pivotCacheDefinition25.xml"/><Relationship Id="rId44" Type="http://schemas.openxmlformats.org/officeDocument/2006/relationships/sheetMetadata" Target="metadata.xml"/><Relationship Id="rId52" Type="http://schemas.openxmlformats.org/officeDocument/2006/relationships/customXml" Target="../customXml/item5.xml"/><Relationship Id="rId60" Type="http://schemas.openxmlformats.org/officeDocument/2006/relationships/customXml" Target="../customXml/item13.xml"/><Relationship Id="rId65" Type="http://schemas.openxmlformats.org/officeDocument/2006/relationships/customXml" Target="../customXml/item18.xml"/><Relationship Id="rId73" Type="http://schemas.openxmlformats.org/officeDocument/2006/relationships/customXml" Target="../customXml/item26.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39" Type="http://schemas.microsoft.com/office/2007/relationships/slicerCache" Target="slicerCaches/slicerCache8.xml"/><Relationship Id="rId34" Type="http://schemas.microsoft.com/office/2007/relationships/slicerCache" Target="slicerCaches/slicerCache3.xml"/><Relationship Id="rId50" Type="http://schemas.openxmlformats.org/officeDocument/2006/relationships/customXml" Target="../customXml/item3.xml"/><Relationship Id="rId55" Type="http://schemas.openxmlformats.org/officeDocument/2006/relationships/customXml" Target="../customXml/item8.xml"/><Relationship Id="rId76" Type="http://schemas.openxmlformats.org/officeDocument/2006/relationships/customXml" Target="../customXml/item29.xml"/><Relationship Id="rId7" Type="http://schemas.openxmlformats.org/officeDocument/2006/relationships/pivotCacheDefinition" Target="pivotCache/pivotCacheDefinition1.xml"/><Relationship Id="rId71" Type="http://schemas.openxmlformats.org/officeDocument/2006/relationships/customXml" Target="../customXml/item24.xml"/><Relationship Id="rId2" Type="http://schemas.openxmlformats.org/officeDocument/2006/relationships/worksheet" Target="worksheets/sheet2.xml"/><Relationship Id="rId29" Type="http://schemas.openxmlformats.org/officeDocument/2006/relationships/pivotCacheDefinition" Target="pivotCache/pivotCacheDefinition2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978C9E23-D4B0-11CE-BF2D-00AA003F40D0}"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doughnutChart>
        <c:varyColors val="1"/>
        <c:ser>
          <c:idx val="0"/>
          <c:order val="0"/>
          <c:spPr>
            <a:gradFill>
              <a:gsLst>
                <a:gs pos="60000">
                  <a:srgbClr val="9947F7"/>
                </a:gs>
                <a:gs pos="0">
                  <a:srgbClr val="DC25FA"/>
                </a:gs>
              </a:gsLst>
              <a:lin ang="5400000" scaled="1"/>
            </a:gradFill>
            <a:ln w="146050">
              <a:solidFill>
                <a:schemeClr val="tx1"/>
              </a:solidFill>
            </a:ln>
          </c:spPr>
          <c:dPt>
            <c:idx val="0"/>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01-3A37-4DA5-B160-B2FECB46A751}"/>
              </c:ext>
            </c:extLst>
          </c:dPt>
          <c:dPt>
            <c:idx val="1"/>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03-3A37-4DA5-B160-B2FECB46A751}"/>
              </c:ext>
            </c:extLst>
          </c:dPt>
          <c:dPt>
            <c:idx val="2"/>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05-3A37-4DA5-B160-B2FECB46A751}"/>
              </c:ext>
            </c:extLst>
          </c:dPt>
          <c:dPt>
            <c:idx val="3"/>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07-3A37-4DA5-B160-B2FECB46A751}"/>
              </c:ext>
            </c:extLst>
          </c:dPt>
          <c:dPt>
            <c:idx val="4"/>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09-3A37-4DA5-B160-B2FECB46A751}"/>
              </c:ext>
            </c:extLst>
          </c:dPt>
          <c:dPt>
            <c:idx val="5"/>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0B-3A37-4DA5-B160-B2FECB46A751}"/>
              </c:ext>
            </c:extLst>
          </c:dPt>
          <c:dPt>
            <c:idx val="6"/>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0D-3A37-4DA5-B160-B2FECB46A751}"/>
              </c:ext>
            </c:extLst>
          </c:dPt>
          <c:dPt>
            <c:idx val="7"/>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0F-3A37-4DA5-B160-B2FECB46A751}"/>
              </c:ext>
            </c:extLst>
          </c:dPt>
          <c:dPt>
            <c:idx val="8"/>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11-3A37-4DA5-B160-B2FECB46A751}"/>
              </c:ext>
            </c:extLst>
          </c:dPt>
          <c:dPt>
            <c:idx val="9"/>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13-3A37-4DA5-B160-B2FECB46A751}"/>
              </c:ext>
            </c:extLst>
          </c:dPt>
          <c:dPt>
            <c:idx val="10"/>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15-3A37-4DA5-B160-B2FECB46A751}"/>
              </c:ext>
            </c:extLst>
          </c:dPt>
          <c:dPt>
            <c:idx val="11"/>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17-3A37-4DA5-B160-B2FECB46A751}"/>
              </c:ext>
            </c:extLst>
          </c:dPt>
          <c:dPt>
            <c:idx val="12"/>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19-3A37-4DA5-B160-B2FECB46A751}"/>
              </c:ext>
            </c:extLst>
          </c:dPt>
          <c:dPt>
            <c:idx val="13"/>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1B-3A37-4DA5-B160-B2FECB46A751}"/>
              </c:ext>
            </c:extLst>
          </c:dPt>
          <c:dPt>
            <c:idx val="14"/>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1D-3A37-4DA5-B160-B2FECB46A751}"/>
              </c:ext>
            </c:extLst>
          </c:dPt>
          <c:dPt>
            <c:idx val="15"/>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1F-3A37-4DA5-B160-B2FECB46A751}"/>
              </c:ext>
            </c:extLst>
          </c:dPt>
          <c:dPt>
            <c:idx val="16"/>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21-3A37-4DA5-B160-B2FECB46A751}"/>
              </c:ext>
            </c:extLst>
          </c:dPt>
          <c:dPt>
            <c:idx val="17"/>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23-3A37-4DA5-B160-B2FECB46A751}"/>
              </c:ext>
            </c:extLst>
          </c:dPt>
          <c:dPt>
            <c:idx val="18"/>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25-3A37-4DA5-B160-B2FECB46A751}"/>
              </c:ext>
            </c:extLst>
          </c:dPt>
          <c:dPt>
            <c:idx val="19"/>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27-3A37-4DA5-B160-B2FECB46A751}"/>
              </c:ext>
            </c:extLst>
          </c:dPt>
          <c:dPt>
            <c:idx val="20"/>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29-3A37-4DA5-B160-B2FECB46A751}"/>
              </c:ext>
            </c:extLst>
          </c:dPt>
          <c:dPt>
            <c:idx val="21"/>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2B-3A37-4DA5-B160-B2FECB46A751}"/>
              </c:ext>
            </c:extLst>
          </c:dPt>
          <c:dPt>
            <c:idx val="22"/>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2D-3A37-4DA5-B160-B2FECB46A751}"/>
              </c:ext>
            </c:extLst>
          </c:dPt>
          <c:dPt>
            <c:idx val="23"/>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2F-3A37-4DA5-B160-B2FECB46A751}"/>
              </c:ext>
            </c:extLst>
          </c:dPt>
          <c:dPt>
            <c:idx val="24"/>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31-3A37-4DA5-B160-B2FECB46A751}"/>
              </c:ext>
            </c:extLst>
          </c:dPt>
          <c:dPt>
            <c:idx val="25"/>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33-3A37-4DA5-B160-B2FECB46A751}"/>
              </c:ext>
            </c:extLst>
          </c:dPt>
          <c:dPt>
            <c:idx val="26"/>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35-3A37-4DA5-B160-B2FECB46A751}"/>
              </c:ext>
            </c:extLst>
          </c:dPt>
          <c:dPt>
            <c:idx val="27"/>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37-3A37-4DA5-B160-B2FECB46A751}"/>
              </c:ext>
            </c:extLst>
          </c:dPt>
          <c:dPt>
            <c:idx val="28"/>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39-3A37-4DA5-B160-B2FECB46A751}"/>
              </c:ext>
            </c:extLst>
          </c:dPt>
          <c:dPt>
            <c:idx val="29"/>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3B-3A37-4DA5-B160-B2FECB46A751}"/>
              </c:ext>
            </c:extLst>
          </c:dPt>
          <c:dPt>
            <c:idx val="30"/>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3D-3A37-4DA5-B160-B2FECB46A751}"/>
              </c:ext>
            </c:extLst>
          </c:dPt>
          <c:dPt>
            <c:idx val="31"/>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3F-3A37-4DA5-B160-B2FECB46A751}"/>
              </c:ext>
            </c:extLst>
          </c:dPt>
          <c:dPt>
            <c:idx val="32"/>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41-3A37-4DA5-B160-B2FECB46A751}"/>
              </c:ext>
            </c:extLst>
          </c:dPt>
          <c:dPt>
            <c:idx val="33"/>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43-3A37-4DA5-B160-B2FECB46A751}"/>
              </c:ext>
            </c:extLst>
          </c:dPt>
          <c:dPt>
            <c:idx val="34"/>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45-3A37-4DA5-B160-B2FECB46A751}"/>
              </c:ext>
            </c:extLst>
          </c:dPt>
          <c:dPt>
            <c:idx val="35"/>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47-3A37-4DA5-B160-B2FECB46A751}"/>
              </c:ext>
            </c:extLst>
          </c:dPt>
          <c:dPt>
            <c:idx val="36"/>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49-3A37-4DA5-B160-B2FECB46A751}"/>
              </c:ext>
            </c:extLst>
          </c:dPt>
          <c:dPt>
            <c:idx val="37"/>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4B-3A37-4DA5-B160-B2FECB46A751}"/>
              </c:ext>
            </c:extLst>
          </c:dPt>
          <c:dPt>
            <c:idx val="38"/>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4D-3A37-4DA5-B160-B2FECB46A751}"/>
              </c:ext>
            </c:extLst>
          </c:dPt>
          <c:dPt>
            <c:idx val="39"/>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4F-3A37-4DA5-B160-B2FECB46A751}"/>
              </c:ext>
            </c:extLst>
          </c:dPt>
          <c:dPt>
            <c:idx val="40"/>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51-3A37-4DA5-B160-B2FECB46A751}"/>
              </c:ext>
            </c:extLst>
          </c:dPt>
          <c:dPt>
            <c:idx val="41"/>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53-3A37-4DA5-B160-B2FECB46A751}"/>
              </c:ext>
            </c:extLst>
          </c:dPt>
          <c:dPt>
            <c:idx val="42"/>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55-3A37-4DA5-B160-B2FECB46A751}"/>
              </c:ext>
            </c:extLst>
          </c:dPt>
          <c:dPt>
            <c:idx val="43"/>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57-3A37-4DA5-B160-B2FECB46A751}"/>
              </c:ext>
            </c:extLst>
          </c:dPt>
          <c:dPt>
            <c:idx val="44"/>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59-3A37-4DA5-B160-B2FECB46A751}"/>
              </c:ext>
            </c:extLst>
          </c:dPt>
          <c:dPt>
            <c:idx val="45"/>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5B-3A37-4DA5-B160-B2FECB46A751}"/>
              </c:ext>
            </c:extLst>
          </c:dPt>
          <c:dPt>
            <c:idx val="46"/>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5D-3A37-4DA5-B160-B2FECB46A751}"/>
              </c:ext>
            </c:extLst>
          </c:dPt>
          <c:dPt>
            <c:idx val="47"/>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5F-3A37-4DA5-B160-B2FECB46A751}"/>
              </c:ext>
            </c:extLst>
          </c:dPt>
          <c:dPt>
            <c:idx val="48"/>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61-3A37-4DA5-B160-B2FECB46A751}"/>
              </c:ext>
            </c:extLst>
          </c:dPt>
          <c:dPt>
            <c:idx val="49"/>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63-3A37-4DA5-B160-B2FECB46A751}"/>
              </c:ext>
            </c:extLst>
          </c:dPt>
          <c:dPt>
            <c:idx val="50"/>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65-3A37-4DA5-B160-B2FECB46A751}"/>
              </c:ext>
            </c:extLst>
          </c:dPt>
          <c:dPt>
            <c:idx val="51"/>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67-3A37-4DA5-B160-B2FECB46A751}"/>
              </c:ext>
            </c:extLst>
          </c:dPt>
          <c:dPt>
            <c:idx val="52"/>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69-3A37-4DA5-B160-B2FECB46A751}"/>
              </c:ext>
            </c:extLst>
          </c:dPt>
          <c:dPt>
            <c:idx val="53"/>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6B-3A37-4DA5-B160-B2FECB46A751}"/>
              </c:ext>
            </c:extLst>
          </c:dPt>
          <c:dPt>
            <c:idx val="54"/>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6D-3A37-4DA5-B160-B2FECB46A751}"/>
              </c:ext>
            </c:extLst>
          </c:dPt>
          <c:dPt>
            <c:idx val="55"/>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6F-3A37-4DA5-B160-B2FECB46A751}"/>
              </c:ext>
            </c:extLst>
          </c:dPt>
          <c:dPt>
            <c:idx val="56"/>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71-3A37-4DA5-B160-B2FECB46A751}"/>
              </c:ext>
            </c:extLst>
          </c:dPt>
          <c:dPt>
            <c:idx val="57"/>
            <c:bubble3D val="0"/>
            <c:spPr>
              <a:gradFill>
                <a:gsLst>
                  <a:gs pos="60000">
                    <a:srgbClr val="9947F7"/>
                  </a:gs>
                  <a:gs pos="0">
                    <a:srgbClr val="DC25FA"/>
                  </a:gs>
                </a:gsLst>
                <a:lin ang="5400000" scaled="1"/>
              </a:gradFill>
              <a:ln w="146050">
                <a:solidFill>
                  <a:schemeClr val="tx1"/>
                </a:solidFill>
              </a:ln>
              <a:effectLst/>
            </c:spPr>
            <c:extLst>
              <c:ext xmlns:c16="http://schemas.microsoft.com/office/drawing/2014/chart" uri="{C3380CC4-5D6E-409C-BE32-E72D297353CC}">
                <c16:uniqueId val="{00000073-3A37-4DA5-B160-B2FECB46A751}"/>
              </c:ext>
            </c:extLst>
          </c:dPt>
          <c:val>
            <c:numLit>
              <c:formatCode>General</c:formatCode>
              <c:ptCount val="5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numLit>
          </c:val>
          <c:extLst>
            <c:ext xmlns:c16="http://schemas.microsoft.com/office/drawing/2014/chart" uri="{C3380CC4-5D6E-409C-BE32-E72D297353CC}">
              <c16:uniqueId val="{00000074-3A37-4DA5-B160-B2FECB46A751}"/>
            </c:ext>
          </c:extLst>
        </c:ser>
        <c:dLbls>
          <c:showLegendKey val="0"/>
          <c:showVal val="0"/>
          <c:showCatName val="0"/>
          <c:showSerName val="0"/>
          <c:showPercent val="0"/>
          <c:showBubbleSize val="0"/>
          <c:showLeaderLines val="1"/>
        </c:dLbls>
        <c:firstSliceAng val="0"/>
        <c:holeSize val="50"/>
      </c:doughnutChart>
      <c:doughnutChart>
        <c:varyColors val="1"/>
        <c:ser>
          <c:idx val="1"/>
          <c:order val="1"/>
          <c:tx>
            <c:v>Percentage</c:v>
          </c:tx>
          <c:spPr>
            <a:ln>
              <a:noFill/>
            </a:ln>
          </c:spPr>
          <c:dPt>
            <c:idx val="0"/>
            <c:bubble3D val="0"/>
            <c:spPr>
              <a:solidFill>
                <a:srgbClr val="9BF8F2">
                  <a:alpha val="0"/>
                </a:srgbClr>
              </a:solidFill>
              <a:ln w="19050">
                <a:noFill/>
              </a:ln>
              <a:effectLst/>
            </c:spPr>
            <c:extLst>
              <c:ext xmlns:c16="http://schemas.microsoft.com/office/drawing/2014/chart" uri="{C3380CC4-5D6E-409C-BE32-E72D297353CC}">
                <c16:uniqueId val="{00000076-3A37-4DA5-B160-B2FECB46A751}"/>
              </c:ext>
            </c:extLst>
          </c:dPt>
          <c:dPt>
            <c:idx val="1"/>
            <c:bubble3D val="0"/>
            <c:spPr>
              <a:solidFill>
                <a:srgbClr val="DC25FA">
                  <a:alpha val="30000"/>
                </a:srgbClr>
              </a:solidFill>
              <a:ln w="19050">
                <a:noFill/>
              </a:ln>
              <a:effectLst/>
            </c:spPr>
            <c:extLst>
              <c:ext xmlns:c16="http://schemas.microsoft.com/office/drawing/2014/chart" uri="{C3380CC4-5D6E-409C-BE32-E72D297353CC}">
                <c16:uniqueId val="{00000078-3A37-4DA5-B160-B2FECB46A751}"/>
              </c:ext>
            </c:extLst>
          </c:dPt>
          <c:val>
            <c:numRef>
              <c:f>Pivot_tables!$R$6:$S$6</c:f>
              <c:numCache>
                <c:formatCode>0.00%</c:formatCode>
                <c:ptCount val="2"/>
                <c:pt idx="0" formatCode="0%">
                  <c:v>1</c:v>
                </c:pt>
                <c:pt idx="1">
                  <c:v>0.11428146106051534</c:v>
                </c:pt>
              </c:numCache>
            </c:numRef>
          </c:val>
          <c:extLst>
            <c:ext xmlns:c16="http://schemas.microsoft.com/office/drawing/2014/chart" uri="{C3380CC4-5D6E-409C-BE32-E72D297353CC}">
              <c16:uniqueId val="{00000079-3A37-4DA5-B160-B2FECB46A751}"/>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147029495127386E-3"/>
          <c:y val="1.2668247038797254E-2"/>
          <c:w val="0.9827012659509049"/>
          <c:h val="0.9794140985619546"/>
        </c:manualLayout>
      </c:layout>
      <c:bubbleChart>
        <c:varyColors val="0"/>
        <c:ser>
          <c:idx val="0"/>
          <c:order val="0"/>
          <c:tx>
            <c:v>Sales</c:v>
          </c:tx>
          <c:spPr>
            <a:gradFill flip="none" rotWithShape="1">
              <a:gsLst>
                <a:gs pos="34000">
                  <a:srgbClr val="100D83"/>
                </a:gs>
                <a:gs pos="79000">
                  <a:srgbClr val="7417BD"/>
                </a:gs>
              </a:gsLst>
              <a:path path="circle">
                <a:fillToRect l="100000" t="100000"/>
              </a:path>
              <a:tileRect r="-100000" b="-100000"/>
            </a:gradFill>
            <a:ln>
              <a:noFill/>
            </a:ln>
            <a:effectLst>
              <a:outerShdw blurRad="127000" dist="50800" dir="5400000" sx="109000" sy="109000" algn="ctr" rotWithShape="0">
                <a:srgbClr val="7417BD">
                  <a:alpha val="80000"/>
                </a:srgbClr>
              </a:outerShdw>
            </a:effectLst>
          </c:spPr>
          <c:invertIfNegative val="0"/>
          <c:dLbls>
            <c:dLbl>
              <c:idx val="0"/>
              <c:tx>
                <c:rich>
                  <a:bodyPr/>
                  <a:lstStyle/>
                  <a:p>
                    <a:fld id="{03930C6A-1C4F-48F5-A06E-E44FF128C2D2}" type="CELLRANGE">
                      <a:rPr lang="en-US"/>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4500-4D6B-AE1A-10A7C7B28FD6}"/>
                </c:ext>
              </c:extLst>
            </c:dLbl>
            <c:dLbl>
              <c:idx val="1"/>
              <c:tx>
                <c:rich>
                  <a:bodyPr/>
                  <a:lstStyle/>
                  <a:p>
                    <a:fld id="{43D625A9-E998-4071-B749-332BFF9F14E2}"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4500-4D6B-AE1A-10A7C7B28FD6}"/>
                </c:ext>
              </c:extLst>
            </c:dLbl>
            <c:dLbl>
              <c:idx val="2"/>
              <c:tx>
                <c:rich>
                  <a:bodyPr/>
                  <a:lstStyle/>
                  <a:p>
                    <a:fld id="{6D535959-F96C-4FDC-9DD9-FF87FC8EC5AE}"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4500-4D6B-AE1A-10A7C7B28FD6}"/>
                </c:ext>
              </c:extLst>
            </c:dLbl>
            <c:dLbl>
              <c:idx val="3"/>
              <c:tx>
                <c:rich>
                  <a:bodyPr/>
                  <a:lstStyle/>
                  <a:p>
                    <a:fld id="{35D905C3-2916-457E-ABB4-EEFF6BCE9142}"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4500-4D6B-AE1A-10A7C7B28FD6}"/>
                </c:ext>
              </c:extLst>
            </c:dLbl>
            <c:dLbl>
              <c:idx val="4"/>
              <c:tx>
                <c:rich>
                  <a:bodyPr/>
                  <a:lstStyle/>
                  <a:p>
                    <a:fld id="{8DE77C53-588E-462A-A310-2657203C72B8}"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4500-4D6B-AE1A-10A7C7B28FD6}"/>
                </c:ext>
              </c:extLst>
            </c:dLbl>
            <c:dLbl>
              <c:idx val="5"/>
              <c:tx>
                <c:rich>
                  <a:bodyPr/>
                  <a:lstStyle/>
                  <a:p>
                    <a:fld id="{8096EAFA-0027-407C-A8F5-308AF959AFFC}"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4500-4D6B-AE1A-10A7C7B28FD6}"/>
                </c:ext>
              </c:extLst>
            </c:dLbl>
            <c:dLbl>
              <c:idx val="6"/>
              <c:tx>
                <c:rich>
                  <a:bodyPr/>
                  <a:lstStyle/>
                  <a:p>
                    <a:fld id="{7C2A2D35-1E56-4FA5-94E0-F1C046C76577}"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4500-4D6B-AE1A-10A7C7B28FD6}"/>
                </c:ext>
              </c:extLst>
            </c:dLbl>
            <c:dLbl>
              <c:idx val="7"/>
              <c:tx>
                <c:rich>
                  <a:bodyPr/>
                  <a:lstStyle/>
                  <a:p>
                    <a:fld id="{0B4FB34C-431D-4E65-A705-4A6E70F8DDFD}"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4500-4D6B-AE1A-10A7C7B28FD6}"/>
                </c:ext>
              </c:extLst>
            </c:dLbl>
            <c:dLbl>
              <c:idx val="8"/>
              <c:tx>
                <c:rich>
                  <a:bodyPr/>
                  <a:lstStyle/>
                  <a:p>
                    <a:fld id="{880F748B-4562-474A-AAF8-8C259626ADA4}"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4500-4D6B-AE1A-10A7C7B28FD6}"/>
                </c:ext>
              </c:extLst>
            </c:dLbl>
            <c:dLbl>
              <c:idx val="9"/>
              <c:tx>
                <c:rich>
                  <a:bodyPr/>
                  <a:lstStyle/>
                  <a:p>
                    <a:fld id="{A66D20B2-C601-47F2-A13E-0DE664924E13}"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4500-4D6B-AE1A-10A7C7B28FD6}"/>
                </c:ext>
              </c:extLst>
            </c:dLbl>
            <c:dLbl>
              <c:idx val="10"/>
              <c:tx>
                <c:rich>
                  <a:bodyPr/>
                  <a:lstStyle/>
                  <a:p>
                    <a:fld id="{3E7606E2-9319-4C6F-B865-7A05037F5AF9}"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4500-4D6B-AE1A-10A7C7B28FD6}"/>
                </c:ext>
              </c:extLst>
            </c:dLbl>
            <c:dLbl>
              <c:idx val="11"/>
              <c:tx>
                <c:rich>
                  <a:bodyPr/>
                  <a:lstStyle/>
                  <a:p>
                    <a:fld id="{B71A1497-7D67-4B49-956A-F9909C06064A}"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4500-4D6B-AE1A-10A7C7B28FD6}"/>
                </c:ext>
              </c:extLst>
            </c:dLbl>
            <c:dLbl>
              <c:idx val="12"/>
              <c:tx>
                <c:rich>
                  <a:bodyPr/>
                  <a:lstStyle/>
                  <a:p>
                    <a:fld id="{BCE6A755-3C99-4E79-9890-BDAEE8221E43}"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4500-4D6B-AE1A-10A7C7B28FD6}"/>
                </c:ext>
              </c:extLst>
            </c:dLbl>
            <c:dLbl>
              <c:idx val="13"/>
              <c:tx>
                <c:rich>
                  <a:bodyPr/>
                  <a:lstStyle/>
                  <a:p>
                    <a:fld id="{6F12B2F0-08FA-4B17-855C-C78A6F1B62D0}"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4500-4D6B-AE1A-10A7C7B28FD6}"/>
                </c:ext>
              </c:extLst>
            </c:dLbl>
            <c:dLbl>
              <c:idx val="14"/>
              <c:tx>
                <c:rich>
                  <a:bodyPr/>
                  <a:lstStyle/>
                  <a:p>
                    <a:fld id="{4FE4FEF8-3067-456B-8795-6E775B51726E}"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4500-4D6B-AE1A-10A7C7B28FD6}"/>
                </c:ext>
              </c:extLst>
            </c:dLbl>
            <c:dLbl>
              <c:idx val="15"/>
              <c:tx>
                <c:rich>
                  <a:bodyPr/>
                  <a:lstStyle/>
                  <a:p>
                    <a:fld id="{C8BD7C50-FDDF-4E80-81B4-DA2D0F05669B}"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4500-4D6B-AE1A-10A7C7B28FD6}"/>
                </c:ext>
              </c:extLst>
            </c:dLbl>
            <c:dLbl>
              <c:idx val="16"/>
              <c:tx>
                <c:rich>
                  <a:bodyPr/>
                  <a:lstStyle/>
                  <a:p>
                    <a:fld id="{C139436E-810E-499D-865B-9772F9D5BC81}"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4500-4D6B-AE1A-10A7C7B28FD6}"/>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Avenir Next LT Pro" panose="020B0504020202020204" pitchFamily="34" charset="0"/>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Pivot_tables!$H$6:$H$22</c:f>
              <c:numCache>
                <c:formatCode>General</c:formatCode>
                <c:ptCount val="17"/>
                <c:pt idx="0">
                  <c:v>0</c:v>
                </c:pt>
                <c:pt idx="1">
                  <c:v>6</c:v>
                </c:pt>
                <c:pt idx="2">
                  <c:v>3</c:v>
                </c:pt>
                <c:pt idx="3">
                  <c:v>13</c:v>
                </c:pt>
                <c:pt idx="4">
                  <c:v>19</c:v>
                </c:pt>
                <c:pt idx="5">
                  <c:v>20</c:v>
                </c:pt>
                <c:pt idx="6">
                  <c:v>25</c:v>
                </c:pt>
                <c:pt idx="7">
                  <c:v>20</c:v>
                </c:pt>
                <c:pt idx="8">
                  <c:v>20</c:v>
                </c:pt>
                <c:pt idx="9">
                  <c:v>16</c:v>
                </c:pt>
                <c:pt idx="10">
                  <c:v>11</c:v>
                </c:pt>
                <c:pt idx="11">
                  <c:v>8</c:v>
                </c:pt>
                <c:pt idx="12">
                  <c:v>4</c:v>
                </c:pt>
                <c:pt idx="13">
                  <c:v>2</c:v>
                </c:pt>
                <c:pt idx="14">
                  <c:v>0</c:v>
                </c:pt>
                <c:pt idx="15">
                  <c:v>3</c:v>
                </c:pt>
                <c:pt idx="16">
                  <c:v>26</c:v>
                </c:pt>
              </c:numCache>
            </c:numRef>
          </c:xVal>
          <c:yVal>
            <c:numRef>
              <c:f>Pivot_tables!$I$6:$I$22</c:f>
              <c:numCache>
                <c:formatCode>General</c:formatCode>
                <c:ptCount val="17"/>
                <c:pt idx="0">
                  <c:v>4</c:v>
                </c:pt>
                <c:pt idx="1">
                  <c:v>4</c:v>
                </c:pt>
                <c:pt idx="2">
                  <c:v>1.25</c:v>
                </c:pt>
                <c:pt idx="3">
                  <c:v>4</c:v>
                </c:pt>
                <c:pt idx="4">
                  <c:v>3</c:v>
                </c:pt>
                <c:pt idx="5">
                  <c:v>7</c:v>
                </c:pt>
                <c:pt idx="6">
                  <c:v>11</c:v>
                </c:pt>
                <c:pt idx="7">
                  <c:v>14</c:v>
                </c:pt>
                <c:pt idx="8">
                  <c:v>18</c:v>
                </c:pt>
                <c:pt idx="9">
                  <c:v>21</c:v>
                </c:pt>
                <c:pt idx="10">
                  <c:v>19</c:v>
                </c:pt>
                <c:pt idx="11">
                  <c:v>17</c:v>
                </c:pt>
                <c:pt idx="12">
                  <c:v>19</c:v>
                </c:pt>
                <c:pt idx="13">
                  <c:v>16</c:v>
                </c:pt>
                <c:pt idx="14">
                  <c:v>13</c:v>
                </c:pt>
                <c:pt idx="15">
                  <c:v>10</c:v>
                </c:pt>
                <c:pt idx="16">
                  <c:v>17</c:v>
                </c:pt>
              </c:numCache>
            </c:numRef>
          </c:yVal>
          <c:bubbleSize>
            <c:numRef>
              <c:f>Pivot_tables!$J$6:$J$22</c:f>
              <c:numCache>
                <c:formatCode>"$"#,##0_);\("$"#,##0\)</c:formatCode>
                <c:ptCount val="17"/>
                <c:pt idx="0">
                  <c:v>82201.149999999994</c:v>
                </c:pt>
                <c:pt idx="1">
                  <c:v>185928.14</c:v>
                </c:pt>
                <c:pt idx="2">
                  <c:v>107796.09</c:v>
                </c:pt>
                <c:pt idx="3">
                  <c:v>241200.42</c:v>
                </c:pt>
                <c:pt idx="4">
                  <c:v>96261.3</c:v>
                </c:pt>
                <c:pt idx="5">
                  <c:v>99069.48</c:v>
                </c:pt>
                <c:pt idx="6">
                  <c:v>10479.77</c:v>
                </c:pt>
                <c:pt idx="7">
                  <c:v>4914.82</c:v>
                </c:pt>
                <c:pt idx="8">
                  <c:v>98070.91</c:v>
                </c:pt>
                <c:pt idx="9">
                  <c:v>318169.68</c:v>
                </c:pt>
                <c:pt idx="10">
                  <c:v>55813.919999999998</c:v>
                </c:pt>
                <c:pt idx="11">
                  <c:v>26071.61</c:v>
                </c:pt>
                <c:pt idx="12">
                  <c:v>1789.43</c:v>
                </c:pt>
                <c:pt idx="13">
                  <c:v>6752.18</c:v>
                </c:pt>
                <c:pt idx="14">
                  <c:v>175730.05</c:v>
                </c:pt>
                <c:pt idx="15">
                  <c:v>172511.33</c:v>
                </c:pt>
                <c:pt idx="16">
                  <c:v>198764.49</c:v>
                </c:pt>
              </c:numCache>
            </c:numRef>
          </c:bubbleSize>
          <c:bubble3D val="0"/>
          <c:extLst>
            <c:ext xmlns:c15="http://schemas.microsoft.com/office/drawing/2012/chart" uri="{02D57815-91ED-43cb-92C2-25804820EDAC}">
              <c15:datalabelsRange>
                <c15:f>Pivot_tables!$L$6:$L$22</c15:f>
                <c15:dlblRangeCache>
                  <c:ptCount val="17"/>
                  <c:pt idx="0">
                    <c:v>$82,201</c:v>
                  </c:pt>
                  <c:pt idx="1">
                    <c:v>$185,928</c:v>
                  </c:pt>
                  <c:pt idx="2">
                    <c:v>$107,796</c:v>
                  </c:pt>
                  <c:pt idx="3">
                    <c:v>$241,200</c:v>
                  </c:pt>
                  <c:pt idx="4">
                    <c:v>$96,261</c:v>
                  </c:pt>
                  <c:pt idx="5">
                    <c:v>$99,069</c:v>
                  </c:pt>
                  <c:pt idx="6">
                    <c:v>$10,480</c:v>
                  </c:pt>
                  <c:pt idx="7">
                    <c:v>$4,915</c:v>
                  </c:pt>
                  <c:pt idx="8">
                    <c:v>$98,071</c:v>
                  </c:pt>
                  <c:pt idx="10">
                    <c:v>$55,814</c:v>
                  </c:pt>
                  <c:pt idx="11">
                    <c:v>$26,072</c:v>
                  </c:pt>
                  <c:pt idx="12">
                    <c:v>$1,789</c:v>
                  </c:pt>
                  <c:pt idx="13">
                    <c:v>$6,752</c:v>
                  </c:pt>
                  <c:pt idx="14">
                    <c:v>$175,730</c:v>
                  </c:pt>
                  <c:pt idx="15">
                    <c:v>$172,511</c:v>
                  </c:pt>
                  <c:pt idx="16">
                    <c:v>$198,764</c:v>
                  </c:pt>
                </c15:dlblRangeCache>
              </c15:datalabelsRange>
            </c:ext>
            <c:ext xmlns:c16="http://schemas.microsoft.com/office/drawing/2014/chart" uri="{C3380CC4-5D6E-409C-BE32-E72D297353CC}">
              <c16:uniqueId val="{00000011-4500-4D6B-AE1A-10A7C7B28FD6}"/>
            </c:ext>
          </c:extLst>
        </c:ser>
        <c:ser>
          <c:idx val="1"/>
          <c:order val="1"/>
          <c:tx>
            <c:v>Max Sales</c:v>
          </c:tx>
          <c:spPr>
            <a:gradFill>
              <a:gsLst>
                <a:gs pos="34000">
                  <a:srgbClr val="100D83"/>
                </a:gs>
                <a:gs pos="79000">
                  <a:srgbClr val="DD115E"/>
                </a:gs>
              </a:gsLst>
              <a:path path="circle">
                <a:fillToRect l="100000" t="100000"/>
              </a:path>
            </a:gradFill>
            <a:ln w="25400">
              <a:noFill/>
            </a:ln>
            <a:effectLst>
              <a:outerShdw blurRad="152400" sx="105000" sy="105000" algn="ctr" rotWithShape="0">
                <a:srgbClr val="DD115E">
                  <a:alpha val="88000"/>
                </a:srgbClr>
              </a:outerShdw>
            </a:effectLst>
          </c:spPr>
          <c:invertIfNegative val="0"/>
          <c:dLbls>
            <c:dLbl>
              <c:idx val="0"/>
              <c:tx>
                <c:rich>
                  <a:bodyPr/>
                  <a:lstStyle/>
                  <a:p>
                    <a:fld id="{995BB574-5595-4B1A-9ECA-E7A886191791}" type="CELLRANGE">
                      <a:rPr lang="en-US"/>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4500-4D6B-AE1A-10A7C7B28FD6}"/>
                </c:ext>
              </c:extLst>
            </c:dLbl>
            <c:dLbl>
              <c:idx val="1"/>
              <c:tx>
                <c:rich>
                  <a:bodyPr/>
                  <a:lstStyle/>
                  <a:p>
                    <a:fld id="{3C2CC7C3-C722-46EF-B0C8-01CAA9CA5C79}" type="CELLRANGE">
                      <a:rPr lang="en-US"/>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4500-4D6B-AE1A-10A7C7B28FD6}"/>
                </c:ext>
              </c:extLst>
            </c:dLbl>
            <c:dLbl>
              <c:idx val="2"/>
              <c:tx>
                <c:rich>
                  <a:bodyPr/>
                  <a:lstStyle/>
                  <a:p>
                    <a:fld id="{D68AA34A-6C10-4CD7-B4C7-44796CABA602}"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4-4500-4D6B-AE1A-10A7C7B28FD6}"/>
                </c:ext>
              </c:extLst>
            </c:dLbl>
            <c:dLbl>
              <c:idx val="3"/>
              <c:tx>
                <c:rich>
                  <a:bodyPr/>
                  <a:lstStyle/>
                  <a:p>
                    <a:fld id="{F5F9FA2A-D369-4081-AB94-4DDB63A80C94}"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4500-4D6B-AE1A-10A7C7B28FD6}"/>
                </c:ext>
              </c:extLst>
            </c:dLbl>
            <c:dLbl>
              <c:idx val="4"/>
              <c:tx>
                <c:rich>
                  <a:bodyPr/>
                  <a:lstStyle/>
                  <a:p>
                    <a:fld id="{EA857DAA-6C4A-4EC9-99A7-26F6B2C377BA}"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4500-4D6B-AE1A-10A7C7B28FD6}"/>
                </c:ext>
              </c:extLst>
            </c:dLbl>
            <c:dLbl>
              <c:idx val="5"/>
              <c:tx>
                <c:rich>
                  <a:bodyPr/>
                  <a:lstStyle/>
                  <a:p>
                    <a:fld id="{80218FAE-FC8E-4874-B300-D37E7401EAF0}" type="CELLRANGE">
                      <a:rPr lang="en-US"/>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7-4500-4D6B-AE1A-10A7C7B28FD6}"/>
                </c:ext>
              </c:extLst>
            </c:dLbl>
            <c:dLbl>
              <c:idx val="6"/>
              <c:tx>
                <c:rich>
                  <a:bodyPr/>
                  <a:lstStyle/>
                  <a:p>
                    <a:fld id="{4D138856-7C31-4F57-BB79-C9F0113428AE}" type="CELLRANGE">
                      <a:rPr lang="en-US"/>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4500-4D6B-AE1A-10A7C7B28FD6}"/>
                </c:ext>
              </c:extLst>
            </c:dLbl>
            <c:dLbl>
              <c:idx val="7"/>
              <c:tx>
                <c:rich>
                  <a:bodyPr/>
                  <a:lstStyle/>
                  <a:p>
                    <a:fld id="{A4CE7C70-5420-4B7E-949B-E94354416FDA}" type="CELLRANGE">
                      <a:rPr lang="en-US"/>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9-4500-4D6B-AE1A-10A7C7B28FD6}"/>
                </c:ext>
              </c:extLst>
            </c:dLbl>
            <c:dLbl>
              <c:idx val="8"/>
              <c:tx>
                <c:rich>
                  <a:bodyPr/>
                  <a:lstStyle/>
                  <a:p>
                    <a:fld id="{76550BB8-800D-4ED8-9FF2-B20A39F82990}" type="CELLRANGE">
                      <a:rPr lang="en-US"/>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A-4500-4D6B-AE1A-10A7C7B28FD6}"/>
                </c:ext>
              </c:extLst>
            </c:dLbl>
            <c:dLbl>
              <c:idx val="9"/>
              <c:tx>
                <c:rich>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Avenir Next LT Pro" panose="020B0504020202020204" pitchFamily="34" charset="0"/>
                        <a:ea typeface="+mn-ea"/>
                        <a:cs typeface="+mn-cs"/>
                      </a:defRPr>
                    </a:pPr>
                    <a:fld id="{43CBC571-9A97-40F3-9375-27B7E2C9851E}" type="CELLRANGE">
                      <a:rPr lang="en-CA"/>
                      <a:pPr>
                        <a:defRPr sz="1400">
                          <a:solidFill>
                            <a:schemeClr val="bg1"/>
                          </a:solidFill>
                          <a:latin typeface="Avenir Next LT Pro" panose="020B0504020202020204" pitchFamily="34" charset="0"/>
                        </a:defRPr>
                      </a:pPr>
                      <a:t>[CELLRANGE]</a:t>
                    </a:fld>
                    <a:endParaRPr lang="en-CA"/>
                  </a:p>
                </c:rich>
              </c:tx>
              <c:numFmt formatCode="General"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Avenir Next LT Pro" panose="020B0504020202020204" pitchFamily="34" charset="0"/>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4500-4D6B-AE1A-10A7C7B28FD6}"/>
                </c:ext>
              </c:extLst>
            </c:dLbl>
            <c:dLbl>
              <c:idx val="10"/>
              <c:tx>
                <c:rich>
                  <a:bodyPr/>
                  <a:lstStyle/>
                  <a:p>
                    <a:fld id="{9F4E8E04-6270-469B-B72E-C979E70CD308}" type="CELLRANGE">
                      <a:rPr lang="en-US"/>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C-4500-4D6B-AE1A-10A7C7B28FD6}"/>
                </c:ext>
              </c:extLst>
            </c:dLbl>
            <c:dLbl>
              <c:idx val="11"/>
              <c:tx>
                <c:rich>
                  <a:bodyPr/>
                  <a:lstStyle/>
                  <a:p>
                    <a:fld id="{C4090DAE-AEAF-43B2-B622-EBB438C8B121}" type="CELLRANGE">
                      <a:rPr lang="en-US"/>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D-4500-4D6B-AE1A-10A7C7B28FD6}"/>
                </c:ext>
              </c:extLst>
            </c:dLbl>
            <c:dLbl>
              <c:idx val="12"/>
              <c:tx>
                <c:rich>
                  <a:bodyPr/>
                  <a:lstStyle/>
                  <a:p>
                    <a:fld id="{7CE81185-E38C-4C43-970F-11DF36883792}" type="CELLRANGE">
                      <a:rPr lang="en-US"/>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E-4500-4D6B-AE1A-10A7C7B28FD6}"/>
                </c:ext>
              </c:extLst>
            </c:dLbl>
            <c:dLbl>
              <c:idx val="13"/>
              <c:tx>
                <c:rich>
                  <a:bodyPr/>
                  <a:lstStyle/>
                  <a:p>
                    <a:fld id="{A53A43B9-B155-478A-A2F5-C10E82115527}" type="CELLRANGE">
                      <a:rPr lang="en-US"/>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F-4500-4D6B-AE1A-10A7C7B28FD6}"/>
                </c:ext>
              </c:extLst>
            </c:dLbl>
            <c:dLbl>
              <c:idx val="14"/>
              <c:tx>
                <c:rich>
                  <a:bodyPr/>
                  <a:lstStyle/>
                  <a:p>
                    <a:fld id="{7668394E-E104-45E6-A9F6-DD18268321CD}"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4500-4D6B-AE1A-10A7C7B28FD6}"/>
                </c:ext>
              </c:extLst>
            </c:dLbl>
            <c:dLbl>
              <c:idx val="15"/>
              <c:tx>
                <c:rich>
                  <a:bodyPr/>
                  <a:lstStyle/>
                  <a:p>
                    <a:fld id="{B2782CBC-A209-4E8B-8FE1-FD1BABE240A7}"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4500-4D6B-AE1A-10A7C7B28FD6}"/>
                </c:ext>
              </c:extLst>
            </c:dLbl>
            <c:dLbl>
              <c:idx val="16"/>
              <c:tx>
                <c:rich>
                  <a:bodyPr/>
                  <a:lstStyle/>
                  <a:p>
                    <a:fld id="{FAF2EC64-C828-4FC8-BD69-66D05996C14A}" type="CELLRANGE">
                      <a:rPr lang="en-CA"/>
                      <a:pPr/>
                      <a:t>[CELLRANGE]</a:t>
                    </a:fld>
                    <a:endParaRPr lang="en-C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4500-4D6B-AE1A-10A7C7B28FD6}"/>
                </c:ext>
              </c:extLst>
            </c:dLbl>
            <c:numFmt formatCode="&quot;$&quot;#"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Avenir Next LT Pro" panose="020B0504020202020204" pitchFamily="34" charset="0"/>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Pivot_tables!$H$6:$H$22</c:f>
              <c:numCache>
                <c:formatCode>General</c:formatCode>
                <c:ptCount val="17"/>
                <c:pt idx="0">
                  <c:v>0</c:v>
                </c:pt>
                <c:pt idx="1">
                  <c:v>6</c:v>
                </c:pt>
                <c:pt idx="2">
                  <c:v>3</c:v>
                </c:pt>
                <c:pt idx="3">
                  <c:v>13</c:v>
                </c:pt>
                <c:pt idx="4">
                  <c:v>19</c:v>
                </c:pt>
                <c:pt idx="5">
                  <c:v>20</c:v>
                </c:pt>
                <c:pt idx="6">
                  <c:v>25</c:v>
                </c:pt>
                <c:pt idx="7">
                  <c:v>20</c:v>
                </c:pt>
                <c:pt idx="8">
                  <c:v>20</c:v>
                </c:pt>
                <c:pt idx="9">
                  <c:v>16</c:v>
                </c:pt>
                <c:pt idx="10">
                  <c:v>11</c:v>
                </c:pt>
                <c:pt idx="11">
                  <c:v>8</c:v>
                </c:pt>
                <c:pt idx="12">
                  <c:v>4</c:v>
                </c:pt>
                <c:pt idx="13">
                  <c:v>2</c:v>
                </c:pt>
                <c:pt idx="14">
                  <c:v>0</c:v>
                </c:pt>
                <c:pt idx="15">
                  <c:v>3</c:v>
                </c:pt>
                <c:pt idx="16">
                  <c:v>26</c:v>
                </c:pt>
              </c:numCache>
            </c:numRef>
          </c:xVal>
          <c:yVal>
            <c:numRef>
              <c:f>Pivot_tables!$I$6:$I$22</c:f>
              <c:numCache>
                <c:formatCode>General</c:formatCode>
                <c:ptCount val="17"/>
                <c:pt idx="0">
                  <c:v>4</c:v>
                </c:pt>
                <c:pt idx="1">
                  <c:v>4</c:v>
                </c:pt>
                <c:pt idx="2">
                  <c:v>1.25</c:v>
                </c:pt>
                <c:pt idx="3">
                  <c:v>4</c:v>
                </c:pt>
                <c:pt idx="4">
                  <c:v>3</c:v>
                </c:pt>
                <c:pt idx="5">
                  <c:v>7</c:v>
                </c:pt>
                <c:pt idx="6">
                  <c:v>11</c:v>
                </c:pt>
                <c:pt idx="7">
                  <c:v>14</c:v>
                </c:pt>
                <c:pt idx="8">
                  <c:v>18</c:v>
                </c:pt>
                <c:pt idx="9">
                  <c:v>21</c:v>
                </c:pt>
                <c:pt idx="10">
                  <c:v>19</c:v>
                </c:pt>
                <c:pt idx="11">
                  <c:v>17</c:v>
                </c:pt>
                <c:pt idx="12">
                  <c:v>19</c:v>
                </c:pt>
                <c:pt idx="13">
                  <c:v>16</c:v>
                </c:pt>
                <c:pt idx="14">
                  <c:v>13</c:v>
                </c:pt>
                <c:pt idx="15">
                  <c:v>10</c:v>
                </c:pt>
                <c:pt idx="16">
                  <c:v>17</c:v>
                </c:pt>
              </c:numCache>
            </c:numRef>
          </c:yVal>
          <c:bubbleSize>
            <c:numRef>
              <c:f>Pivot_tables!$K$6:$K$22</c:f>
              <c:numCache>
                <c:formatCode>"$"#,##0</c:formatCode>
                <c:ptCount val="17"/>
                <c:pt idx="0">
                  <c:v>0</c:v>
                </c:pt>
                <c:pt idx="1">
                  <c:v>0</c:v>
                </c:pt>
                <c:pt idx="2">
                  <c:v>0</c:v>
                </c:pt>
                <c:pt idx="3">
                  <c:v>0</c:v>
                </c:pt>
                <c:pt idx="4">
                  <c:v>0</c:v>
                </c:pt>
                <c:pt idx="5">
                  <c:v>0</c:v>
                </c:pt>
                <c:pt idx="6">
                  <c:v>0</c:v>
                </c:pt>
                <c:pt idx="7">
                  <c:v>0</c:v>
                </c:pt>
                <c:pt idx="8">
                  <c:v>0</c:v>
                </c:pt>
                <c:pt idx="9">
                  <c:v>318169.68</c:v>
                </c:pt>
                <c:pt idx="10">
                  <c:v>0</c:v>
                </c:pt>
                <c:pt idx="11">
                  <c:v>0</c:v>
                </c:pt>
                <c:pt idx="12">
                  <c:v>0</c:v>
                </c:pt>
                <c:pt idx="13">
                  <c:v>0</c:v>
                </c:pt>
                <c:pt idx="14">
                  <c:v>0</c:v>
                </c:pt>
                <c:pt idx="15">
                  <c:v>0</c:v>
                </c:pt>
                <c:pt idx="16">
                  <c:v>0</c:v>
                </c:pt>
              </c:numCache>
            </c:numRef>
          </c:bubbleSize>
          <c:bubble3D val="0"/>
          <c:extLst>
            <c:ext xmlns:c15="http://schemas.microsoft.com/office/drawing/2012/chart" uri="{02D57815-91ED-43cb-92C2-25804820EDAC}">
              <c15:datalabelsRange>
                <c15:f>Pivot_tables!$K$6:$K$22</c15:f>
                <c15:dlblRangeCache>
                  <c:ptCount val="17"/>
                  <c:pt idx="9">
                    <c:v>$318,170</c:v>
                  </c:pt>
                </c15:dlblRangeCache>
              </c15:datalabelsRange>
            </c:ext>
            <c:ext xmlns:c16="http://schemas.microsoft.com/office/drawing/2014/chart" uri="{C3380CC4-5D6E-409C-BE32-E72D297353CC}">
              <c16:uniqueId val="{00000023-4500-4D6B-AE1A-10A7C7B28FD6}"/>
            </c:ext>
          </c:extLst>
        </c:ser>
        <c:dLbls>
          <c:showLegendKey val="0"/>
          <c:showVal val="0"/>
          <c:showCatName val="0"/>
          <c:showSerName val="0"/>
          <c:showPercent val="0"/>
          <c:showBubbleSize val="0"/>
        </c:dLbls>
        <c:bubbleScale val="60"/>
        <c:showNegBubbles val="0"/>
        <c:axId val="697472991"/>
        <c:axId val="1631463615"/>
      </c:bubbleChart>
      <c:valAx>
        <c:axId val="697472991"/>
        <c:scaling>
          <c:orientation val="minMax"/>
          <c:max val="30"/>
          <c:min val="-3"/>
        </c:scaling>
        <c:delete val="1"/>
        <c:axPos val="b"/>
        <c:numFmt formatCode="General" sourceLinked="1"/>
        <c:majorTickMark val="out"/>
        <c:minorTickMark val="none"/>
        <c:tickLblPos val="nextTo"/>
        <c:crossAx val="1631463615"/>
        <c:crosses val="autoZero"/>
        <c:crossBetween val="midCat"/>
      </c:valAx>
      <c:valAx>
        <c:axId val="1631463615"/>
        <c:scaling>
          <c:orientation val="minMax"/>
          <c:max val="25"/>
          <c:min val="-1"/>
        </c:scaling>
        <c:delete val="1"/>
        <c:axPos val="l"/>
        <c:numFmt formatCode="General" sourceLinked="1"/>
        <c:majorTickMark val="out"/>
        <c:minorTickMark val="none"/>
        <c:tickLblPos val="nextTo"/>
        <c:crossAx val="6974729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[Data_Analysis_Project_Superstore_SaurabhLakhanpal.xlsm]Pivot_tables!Sales&amp;Profit_BarChart</c:name>
    <c:fmtId val="2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33000">
                <a:srgbClr val="9BF8F2">
                  <a:alpha val="55686"/>
                </a:srgbClr>
              </a:gs>
              <a:gs pos="100000">
                <a:srgbClr val="C240D8"/>
              </a:gs>
            </a:gsLst>
            <a:lin ang="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328018815415397E-2"/>
          <c:y val="5.1494432761122248E-2"/>
          <c:w val="0.91534396236916915"/>
          <c:h val="0.89701113447775549"/>
        </c:manualLayout>
      </c:layout>
      <c:barChart>
        <c:barDir val="bar"/>
        <c:grouping val="clustered"/>
        <c:varyColors val="0"/>
        <c:ser>
          <c:idx val="0"/>
          <c:order val="0"/>
          <c:tx>
            <c:strRef>
              <c:f>Pivot_tables!$G$27</c:f>
              <c:strCache>
                <c:ptCount val="1"/>
                <c:pt idx="0">
                  <c:v>Total</c:v>
                </c:pt>
              </c:strCache>
            </c:strRef>
          </c:tx>
          <c:spPr>
            <a:gradFill flip="none" rotWithShape="1">
              <a:gsLst>
                <a:gs pos="33000">
                  <a:srgbClr val="9BF8F2">
                    <a:alpha val="55686"/>
                  </a:srgbClr>
                </a:gs>
                <a:gs pos="100000">
                  <a:srgbClr val="C240D8"/>
                </a:gs>
              </a:gsLst>
              <a:lin ang="0" scaled="1"/>
              <a:tileRect/>
            </a:gradFill>
            <a:ln>
              <a:noFill/>
            </a:ln>
            <a:effectLst/>
          </c:spPr>
          <c:invertIfNegative val="0"/>
          <c:cat>
            <c:strRef>
              <c:f>Pivot_tables!$F$28:$F$34</c:f>
              <c:strCache>
                <c:ptCount val="6"/>
                <c:pt idx="0">
                  <c:v>Jan</c:v>
                </c:pt>
                <c:pt idx="1">
                  <c:v>Feb</c:v>
                </c:pt>
                <c:pt idx="2">
                  <c:v>Mar</c:v>
                </c:pt>
                <c:pt idx="3">
                  <c:v>Apr</c:v>
                </c:pt>
                <c:pt idx="4">
                  <c:v>May</c:v>
                </c:pt>
                <c:pt idx="5">
                  <c:v>Jun</c:v>
                </c:pt>
              </c:strCache>
            </c:strRef>
          </c:cat>
          <c:val>
            <c:numRef>
              <c:f>Pivot_tables!$G$28:$G$34</c:f>
              <c:numCache>
                <c:formatCode>_-* #,##0_-;\-* #,##0_-;_-* "-"??_-;_-@_-</c:formatCode>
                <c:ptCount val="6"/>
                <c:pt idx="0">
                  <c:v>-657.53850031999514</c:v>
                </c:pt>
                <c:pt idx="1">
                  <c:v>36266.168780320018</c:v>
                </c:pt>
                <c:pt idx="2">
                  <c:v>1881.8305867500003</c:v>
                </c:pt>
                <c:pt idx="3">
                  <c:v>50182.103101999965</c:v>
                </c:pt>
                <c:pt idx="4">
                  <c:v>61026.94915840005</c:v>
                </c:pt>
                <c:pt idx="5">
                  <c:v>66323.886610000001</c:v>
                </c:pt>
              </c:numCache>
            </c:numRef>
          </c:val>
          <c:extLst>
            <c:ext xmlns:c16="http://schemas.microsoft.com/office/drawing/2014/chart" uri="{C3380CC4-5D6E-409C-BE32-E72D297353CC}">
              <c16:uniqueId val="{00000000-31E0-4C58-B473-A3EB2B45E16B}"/>
            </c:ext>
          </c:extLst>
        </c:ser>
        <c:dLbls>
          <c:showLegendKey val="0"/>
          <c:showVal val="0"/>
          <c:showCatName val="0"/>
          <c:showSerName val="0"/>
          <c:showPercent val="0"/>
          <c:showBubbleSize val="0"/>
        </c:dLbls>
        <c:gapWidth val="200"/>
        <c:axId val="654989279"/>
        <c:axId val="656499919"/>
      </c:barChart>
      <c:catAx>
        <c:axId val="654989279"/>
        <c:scaling>
          <c:orientation val="minMax"/>
        </c:scaling>
        <c:delete val="0"/>
        <c:axPos val="l"/>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Avenir Next LT Pro" panose="020B0504020202020204" pitchFamily="34" charset="0"/>
                <a:ea typeface="+mn-ea"/>
                <a:cs typeface="+mn-cs"/>
              </a:defRPr>
            </a:pPr>
            <a:endParaRPr lang="en-US"/>
          </a:p>
        </c:txPr>
        <c:crossAx val="656499919"/>
        <c:crosses val="autoZero"/>
        <c:auto val="1"/>
        <c:lblAlgn val="ctr"/>
        <c:lblOffset val="0"/>
        <c:noMultiLvlLbl val="0"/>
      </c:catAx>
      <c:valAx>
        <c:axId val="656499919"/>
        <c:scaling>
          <c:orientation val="minMax"/>
        </c:scaling>
        <c:delete val="1"/>
        <c:axPos val="b"/>
        <c:numFmt formatCode="_-* #,##0_-;\-* #,##0_-;_-* &quot;-&quot;??_-;_-@_-" sourceLinked="1"/>
        <c:majorTickMark val="none"/>
        <c:minorTickMark val="none"/>
        <c:tickLblPos val="nextTo"/>
        <c:crossAx val="6549892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[Data_Analysis_Project_Superstore_SaurabhLakhanpal.xlsm]Pivot_tables!Sales&amp;Profit_SmallDonut</c:name>
    <c:fmtId val="39"/>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rgbClr val="000000">
                  <a:lumMod val="75000"/>
                  <a:lumOff val="25000"/>
                </a:srgbClr>
              </a:fgClr>
              <a:bgClr>
                <a:srgbClr val="000000">
                  <a:lumMod val="65000"/>
                  <a:lumOff val="35000"/>
                </a:srgb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rgbClr val="000000">
                  <a:lumMod val="75000"/>
                  <a:lumOff val="25000"/>
                </a:srgbClr>
              </a:fgClr>
              <a:bgClr>
                <a:srgbClr val="000000">
                  <a:lumMod val="65000"/>
                  <a:lumOff val="35000"/>
                </a:srgb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rgbClr val="000000">
                  <a:lumMod val="75000"/>
                  <a:lumOff val="25000"/>
                </a:srgbClr>
              </a:fgClr>
              <a:bgClr>
                <a:srgbClr val="000000">
                  <a:lumMod val="65000"/>
                  <a:lumOff val="35000"/>
                </a:srgb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9BF8F2"/>
          </a:solidFill>
          <a:ln>
            <a:solidFill>
              <a:srgbClr val="9BF8F2"/>
            </a:solidFill>
          </a:ln>
          <a:effectLst>
            <a:outerShdw blurRad="254000" sx="102000" sy="102000" algn="ctr" rotWithShape="0">
              <a:prstClr val="black">
                <a:alpha val="20000"/>
              </a:prstClr>
            </a:outerShdw>
          </a:effectLst>
        </c:spPr>
      </c:pivotFmt>
      <c:pivotFmt>
        <c:idx val="8"/>
        <c:spPr>
          <a:solidFill>
            <a:srgbClr val="7417BD"/>
          </a:solidFill>
          <a:ln>
            <a:solidFill>
              <a:srgbClr val="7417BD"/>
            </a:solidFill>
          </a:ln>
          <a:effectLst>
            <a:outerShdw blurRad="254000" sx="102000" sy="102000" algn="ctr" rotWithShape="0">
              <a:prstClr val="black">
                <a:alpha val="20000"/>
              </a:prstClr>
            </a:outerShdw>
          </a:effectLst>
        </c:spPr>
      </c:pivotFmt>
      <c:pivotFmt>
        <c:idx val="9"/>
        <c:spPr>
          <a:solidFill>
            <a:srgbClr val="194AFE"/>
          </a:solidFill>
          <a:ln>
            <a:solidFill>
              <a:srgbClr val="194AFE"/>
            </a:solidFill>
          </a:ln>
          <a:effectLst>
            <a:outerShdw blurRad="254000" sx="102000" sy="102000" algn="ctr" rotWithShape="0">
              <a:prstClr val="black">
                <a:alpha val="20000"/>
              </a:prstClr>
            </a:outerShdw>
          </a:effectLst>
        </c:spPr>
      </c:pivotFmt>
      <c:pivotFmt>
        <c:idx val="10"/>
        <c:spPr>
          <a:solidFill>
            <a:srgbClr val="C240D8"/>
          </a:solidFill>
          <a:ln>
            <a:solidFill>
              <a:srgbClr val="C240D8"/>
            </a:solidFill>
          </a:ln>
          <a:effectLst>
            <a:outerShdw blurRad="254000" sx="102000" sy="102000" algn="ctr" rotWithShape="0">
              <a:prstClr val="black">
                <a:alpha val="20000"/>
              </a:prstClr>
            </a:outerShdw>
          </a:effectLst>
        </c:spPr>
      </c:pivotFmt>
    </c:pivotFmts>
    <c:plotArea>
      <c:layout>
        <c:manualLayout>
          <c:layoutTarget val="inner"/>
          <c:xMode val="edge"/>
          <c:yMode val="edge"/>
          <c:x val="0.10805788746233728"/>
          <c:y val="0.27402316346144467"/>
          <c:w val="0.80492540842911253"/>
          <c:h val="0.32134651773179518"/>
        </c:manualLayout>
      </c:layout>
      <c:doughnutChart>
        <c:varyColors val="1"/>
        <c:ser>
          <c:idx val="0"/>
          <c:order val="0"/>
          <c:tx>
            <c:strRef>
              <c:f>Pivot_tables!$J$27</c:f>
              <c:strCache>
                <c:ptCount val="1"/>
                <c:pt idx="0">
                  <c:v>Total</c:v>
                </c:pt>
              </c:strCache>
            </c:strRef>
          </c:tx>
          <c:dPt>
            <c:idx val="0"/>
            <c:bubble3D val="0"/>
            <c:spPr>
              <a:solidFill>
                <a:srgbClr val="9BF8F2"/>
              </a:solidFill>
              <a:ln>
                <a:solidFill>
                  <a:srgbClr val="9BF8F2"/>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CC1F-417A-AD39-3A96F5354244}"/>
              </c:ext>
            </c:extLst>
          </c:dPt>
          <c:dPt>
            <c:idx val="1"/>
            <c:bubble3D val="0"/>
            <c:spPr>
              <a:solidFill>
                <a:srgbClr val="7417BD"/>
              </a:solidFill>
              <a:ln>
                <a:solidFill>
                  <a:srgbClr val="7417BD"/>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CC1F-417A-AD39-3A96F5354244}"/>
              </c:ext>
            </c:extLst>
          </c:dPt>
          <c:dPt>
            <c:idx val="2"/>
            <c:bubble3D val="0"/>
            <c:spPr>
              <a:solidFill>
                <a:srgbClr val="194AFE"/>
              </a:solidFill>
              <a:ln>
                <a:solidFill>
                  <a:srgbClr val="194AFE"/>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CC1F-417A-AD39-3A96F5354244}"/>
              </c:ext>
            </c:extLst>
          </c:dPt>
          <c:dPt>
            <c:idx val="3"/>
            <c:bubble3D val="0"/>
            <c:spPr>
              <a:solidFill>
                <a:srgbClr val="C240D8"/>
              </a:solidFill>
              <a:ln>
                <a:solidFill>
                  <a:srgbClr val="C240D8"/>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CC1F-417A-AD39-3A96F5354244}"/>
              </c:ext>
            </c:extLst>
          </c:dPt>
          <c:cat>
            <c:strRef>
              <c:f>Pivot_tables!$I$28:$I$32</c:f>
              <c:strCache>
                <c:ptCount val="4"/>
                <c:pt idx="0">
                  <c:v>Central</c:v>
                </c:pt>
                <c:pt idx="1">
                  <c:v>East</c:v>
                </c:pt>
                <c:pt idx="2">
                  <c:v>South</c:v>
                </c:pt>
                <c:pt idx="3">
                  <c:v>West</c:v>
                </c:pt>
              </c:strCache>
            </c:strRef>
          </c:cat>
          <c:val>
            <c:numRef>
              <c:f>Pivot_tables!$J$28:$J$32</c:f>
              <c:numCache>
                <c:formatCode>_-* #,##0_-;\-* #,##0_-;_-* "-"??_-;_-@_-</c:formatCode>
                <c:ptCount val="4"/>
                <c:pt idx="0">
                  <c:v>78645.775268599988</c:v>
                </c:pt>
                <c:pt idx="1">
                  <c:v>85577.445845999988</c:v>
                </c:pt>
                <c:pt idx="2">
                  <c:v>-17431.355779449979</c:v>
                </c:pt>
                <c:pt idx="3">
                  <c:v>68231.53440199999</c:v>
                </c:pt>
              </c:numCache>
            </c:numRef>
          </c:val>
          <c:extLst>
            <c:ext xmlns:c16="http://schemas.microsoft.com/office/drawing/2014/chart" uri="{C3380CC4-5D6E-409C-BE32-E72D297353CC}">
              <c16:uniqueId val="{00000008-CC1F-417A-AD39-3A96F5354244}"/>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Avenir Next LT Pro" panose="020B05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[Data_Analysis_Project_Superstore_SaurabhLakhanpal.xlsm]Pivot_tables!Sales&amp;Profit_TrendChart</c:name>
    <c:fmtId val="18"/>
  </c:pivotSource>
  <c:chart>
    <c:autoTitleDeleted val="0"/>
    <c:pivotFmts>
      <c:pivotFmt>
        <c:idx val="0"/>
        <c:spPr>
          <a:solidFill>
            <a:schemeClr val="accent1"/>
          </a:solidFill>
          <a:ln w="19050" cap="rnd">
            <a:solidFill>
              <a:srgbClr val="7417BD"/>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flip="none" rotWithShape="1">
            <a:gsLst>
              <a:gs pos="32000">
                <a:srgbClr val="194AFE"/>
              </a:gs>
              <a:gs pos="100000">
                <a:schemeClr val="tx2"/>
              </a:gs>
            </a:gsLst>
            <a:lin ang="5400000" scaled="0"/>
            <a:tileRect/>
          </a:gradFill>
          <a:ln w="12700">
            <a:solidFill>
              <a:srgbClr val="7417BD"/>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32000">
                <a:srgbClr val="194AFE"/>
              </a:gs>
              <a:gs pos="100000">
                <a:schemeClr val="tx2"/>
              </a:gs>
            </a:gsLst>
            <a:lin ang="5400000" scaled="0"/>
            <a:tileRect/>
          </a:gradFill>
          <a:ln w="12700">
            <a:solidFill>
              <a:srgbClr val="7417BD"/>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cap="rnd">
            <a:solidFill>
              <a:srgbClr val="7417BD"/>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33000">
                <a:srgbClr val="194AFE"/>
              </a:gs>
              <a:gs pos="100000">
                <a:schemeClr val="tx1">
                  <a:alpha val="49000"/>
                </a:schemeClr>
              </a:gs>
            </a:gsLst>
            <a:lin ang="5400000" scaled="0"/>
            <a:tileRect/>
          </a:gradFill>
          <a:ln w="127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19050" cap="rnd">
            <a:solidFill>
              <a:srgbClr val="194AF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19050" cap="rnd">
            <a:solidFill>
              <a:srgbClr val="194AFE"/>
            </a:solidFill>
            <a:round/>
          </a:ln>
          <a:effectLst/>
        </c:spPr>
        <c:marker>
          <c:symbol val="none"/>
        </c:marker>
      </c:pivotFmt>
    </c:pivotFmts>
    <c:plotArea>
      <c:layout>
        <c:manualLayout>
          <c:layoutTarget val="inner"/>
          <c:xMode val="edge"/>
          <c:yMode val="edge"/>
          <c:x val="9.5984185182959147E-4"/>
          <c:y val="2.6685755189692201E-2"/>
          <c:w val="0.99904015814817038"/>
          <c:h val="0.96353137675972311"/>
        </c:manualLayout>
      </c:layout>
      <c:areaChart>
        <c:grouping val="standard"/>
        <c:varyColors val="0"/>
        <c:ser>
          <c:idx val="1"/>
          <c:order val="1"/>
          <c:tx>
            <c:strRef>
              <c:f>Pivot_tables!$D$27</c:f>
              <c:strCache>
                <c:ptCount val="1"/>
                <c:pt idx="0">
                  <c:v>Sum of Sales</c:v>
                </c:pt>
              </c:strCache>
            </c:strRef>
          </c:tx>
          <c:spPr>
            <a:gradFill flip="none" rotWithShape="1">
              <a:gsLst>
                <a:gs pos="33000">
                  <a:srgbClr val="194AFE"/>
                </a:gs>
                <a:gs pos="100000">
                  <a:schemeClr val="tx1">
                    <a:alpha val="49000"/>
                  </a:schemeClr>
                </a:gs>
              </a:gsLst>
              <a:lin ang="5400000" scaled="0"/>
              <a:tileRect/>
            </a:gradFill>
            <a:ln w="12700">
              <a:noFill/>
            </a:ln>
            <a:effectLst/>
          </c:spPr>
          <c:cat>
            <c:strRef>
              <c:f>Pivot_tables!$B$28:$B$34</c:f>
              <c:strCache>
                <c:ptCount val="6"/>
                <c:pt idx="0">
                  <c:v>Jan</c:v>
                </c:pt>
                <c:pt idx="1">
                  <c:v>Feb</c:v>
                </c:pt>
                <c:pt idx="2">
                  <c:v>Mar</c:v>
                </c:pt>
                <c:pt idx="3">
                  <c:v>Apr</c:v>
                </c:pt>
                <c:pt idx="4">
                  <c:v>May</c:v>
                </c:pt>
                <c:pt idx="5">
                  <c:v>Jun</c:v>
                </c:pt>
              </c:strCache>
            </c:strRef>
          </c:cat>
          <c:val>
            <c:numRef>
              <c:f>Pivot_tables!$D$28:$D$34</c:f>
              <c:numCache>
                <c:formatCode>_-* #,##0_-;\-* #,##0_-;_-* "-"??_-;_-@_-</c:formatCode>
                <c:ptCount val="6"/>
                <c:pt idx="0">
                  <c:v>264998.55</c:v>
                </c:pt>
                <c:pt idx="1">
                  <c:v>325502.44</c:v>
                </c:pt>
                <c:pt idx="2">
                  <c:v>265167.13</c:v>
                </c:pt>
                <c:pt idx="3">
                  <c:v>384029.19</c:v>
                </c:pt>
                <c:pt idx="4">
                  <c:v>290230.84999999998</c:v>
                </c:pt>
                <c:pt idx="5">
                  <c:v>351596.61</c:v>
                </c:pt>
              </c:numCache>
            </c:numRef>
          </c:val>
          <c:extLst>
            <c:ext xmlns:c16="http://schemas.microsoft.com/office/drawing/2014/chart" uri="{C3380CC4-5D6E-409C-BE32-E72D297353CC}">
              <c16:uniqueId val="{00000000-3753-4273-88B3-8AAF91C50BCF}"/>
            </c:ext>
          </c:extLst>
        </c:ser>
        <c:dLbls>
          <c:showLegendKey val="0"/>
          <c:showVal val="0"/>
          <c:showCatName val="0"/>
          <c:showSerName val="0"/>
          <c:showPercent val="0"/>
          <c:showBubbleSize val="0"/>
        </c:dLbls>
        <c:axId val="2053839215"/>
        <c:axId val="825637871"/>
      </c:areaChart>
      <c:lineChart>
        <c:grouping val="standard"/>
        <c:varyColors val="0"/>
        <c:ser>
          <c:idx val="0"/>
          <c:order val="0"/>
          <c:tx>
            <c:strRef>
              <c:f>Pivot_tables!$C$27</c:f>
              <c:strCache>
                <c:ptCount val="1"/>
                <c:pt idx="0">
                  <c:v>Sales</c:v>
                </c:pt>
              </c:strCache>
            </c:strRef>
          </c:tx>
          <c:spPr>
            <a:ln w="19050" cap="rnd">
              <a:solidFill>
                <a:srgbClr val="194AFE"/>
              </a:solidFill>
              <a:round/>
            </a:ln>
            <a:effectLst/>
          </c:spPr>
          <c:marker>
            <c:symbol val="none"/>
          </c:marker>
          <c:cat>
            <c:strRef>
              <c:f>Pivot_tables!$B$28:$B$34</c:f>
              <c:strCache>
                <c:ptCount val="6"/>
                <c:pt idx="0">
                  <c:v>Jan</c:v>
                </c:pt>
                <c:pt idx="1">
                  <c:v>Feb</c:v>
                </c:pt>
                <c:pt idx="2">
                  <c:v>Mar</c:v>
                </c:pt>
                <c:pt idx="3">
                  <c:v>Apr</c:v>
                </c:pt>
                <c:pt idx="4">
                  <c:v>May</c:v>
                </c:pt>
                <c:pt idx="5">
                  <c:v>Jun</c:v>
                </c:pt>
              </c:strCache>
            </c:strRef>
          </c:cat>
          <c:val>
            <c:numRef>
              <c:f>Pivot_tables!$C$28:$C$34</c:f>
              <c:numCache>
                <c:formatCode>_-* #,##0_-;\-* #,##0_-;_-* "-"??_-;_-@_-</c:formatCode>
                <c:ptCount val="6"/>
                <c:pt idx="0">
                  <c:v>264998.55</c:v>
                </c:pt>
                <c:pt idx="1">
                  <c:v>325502.44</c:v>
                </c:pt>
                <c:pt idx="2">
                  <c:v>265167.13</c:v>
                </c:pt>
                <c:pt idx="3">
                  <c:v>384029.19</c:v>
                </c:pt>
                <c:pt idx="4">
                  <c:v>290230.84999999998</c:v>
                </c:pt>
                <c:pt idx="5">
                  <c:v>351596.61</c:v>
                </c:pt>
              </c:numCache>
            </c:numRef>
          </c:val>
          <c:smooth val="0"/>
          <c:extLst>
            <c:ext xmlns:c16="http://schemas.microsoft.com/office/drawing/2014/chart" uri="{C3380CC4-5D6E-409C-BE32-E72D297353CC}">
              <c16:uniqueId val="{00000001-3753-4273-88B3-8AAF91C50BCF}"/>
            </c:ext>
          </c:extLst>
        </c:ser>
        <c:dLbls>
          <c:showLegendKey val="0"/>
          <c:showVal val="0"/>
          <c:showCatName val="0"/>
          <c:showSerName val="0"/>
          <c:showPercent val="0"/>
          <c:showBubbleSize val="0"/>
        </c:dLbls>
        <c:marker val="1"/>
        <c:smooth val="0"/>
        <c:axId val="2053839215"/>
        <c:axId val="825637871"/>
      </c:lineChart>
      <c:catAx>
        <c:axId val="2053839215"/>
        <c:scaling>
          <c:orientation val="minMax"/>
        </c:scaling>
        <c:delete val="1"/>
        <c:axPos val="b"/>
        <c:numFmt formatCode="General" sourceLinked="0"/>
        <c:majorTickMark val="out"/>
        <c:minorTickMark val="none"/>
        <c:tickLblPos val="nextTo"/>
        <c:crossAx val="825637871"/>
        <c:crosses val="autoZero"/>
        <c:auto val="1"/>
        <c:lblAlgn val="ctr"/>
        <c:lblOffset val="100"/>
        <c:noMultiLvlLbl val="0"/>
      </c:catAx>
      <c:valAx>
        <c:axId val="825637871"/>
        <c:scaling>
          <c:orientation val="minMax"/>
        </c:scaling>
        <c:delete val="1"/>
        <c:axPos val="l"/>
        <c:numFmt formatCode="_-* #,##0_-;\-* #,##0_-;_-* &quot;-&quot;??_-;_-@_-" sourceLinked="1"/>
        <c:majorTickMark val="out"/>
        <c:minorTickMark val="none"/>
        <c:tickLblPos val="nextTo"/>
        <c:crossAx val="20538392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8210777499768325E-2"/>
          <c:y val="4.1025654278426579E-3"/>
          <c:w val="0.9635784450004633"/>
          <c:h val="0.90572304646817592"/>
        </c:manualLayout>
      </c:layout>
      <c:scatterChart>
        <c:scatterStyle val="lineMarker"/>
        <c:varyColors val="0"/>
        <c:ser>
          <c:idx val="0"/>
          <c:order val="0"/>
          <c:tx>
            <c:strRef>
              <c:f>Pivot_tables!$AR$6</c:f>
              <c:strCache>
                <c:ptCount val="1"/>
                <c:pt idx="0">
                  <c:v> Sales </c:v>
                </c:pt>
              </c:strCache>
            </c:strRef>
          </c:tx>
          <c:spPr>
            <a:ln w="19050" cap="rnd">
              <a:solidFill>
                <a:srgbClr val="194AFE"/>
              </a:solidFill>
              <a:round/>
            </a:ln>
            <a:effectLst/>
          </c:spPr>
          <c:marker>
            <c:symbol val="circle"/>
            <c:size val="9"/>
            <c:spPr>
              <a:solidFill>
                <a:srgbClr val="D43260"/>
              </a:solidFill>
              <a:ln w="9525">
                <a:solidFill>
                  <a:schemeClr val="accent1"/>
                </a:solidFill>
              </a:ln>
              <a:effectLst/>
            </c:spPr>
          </c:marker>
          <c:dLbls>
            <c:dLbl>
              <c:idx val="30"/>
              <c:layout>
                <c:manualLayout>
                  <c:x val="-4.4097222222221144E-3"/>
                  <c:y val="-4.846172191748151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F71-4B10-8AB7-A73A6C87572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venir Next LT Pro" panose="020B05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rgbClr val="6921B5"/>
                </a:solidFill>
                <a:prstDash val="sysDot"/>
              </a:ln>
              <a:effectLst/>
            </c:spPr>
            <c:trendlineType val="movingAvg"/>
            <c:period val="2"/>
            <c:dispRSqr val="0"/>
            <c:dispEq val="0"/>
          </c:trendline>
          <c:xVal>
            <c:numRef>
              <c:f>Pivot_tables!$AQ$7:$AQ$37</c:f>
              <c:numCache>
                <c:formatCode>[=0]"";dd/mmm</c:formatCode>
                <c:ptCount val="31"/>
                <c:pt idx="0">
                  <c:v>42005</c:v>
                </c:pt>
                <c:pt idx="1">
                  <c:v>42006</c:v>
                </c:pt>
                <c:pt idx="2">
                  <c:v>42007</c:v>
                </c:pt>
                <c:pt idx="3">
                  <c:v>42008</c:v>
                </c:pt>
                <c:pt idx="4">
                  <c:v>42009</c:v>
                </c:pt>
                <c:pt idx="5">
                  <c:v>42010</c:v>
                </c:pt>
                <c:pt idx="6">
                  <c:v>42011</c:v>
                </c:pt>
                <c:pt idx="7">
                  <c:v>42012</c:v>
                </c:pt>
                <c:pt idx="8">
                  <c:v>42013</c:v>
                </c:pt>
                <c:pt idx="9">
                  <c:v>42014</c:v>
                </c:pt>
                <c:pt idx="10">
                  <c:v>42015</c:v>
                </c:pt>
                <c:pt idx="11">
                  <c:v>42016</c:v>
                </c:pt>
                <c:pt idx="12">
                  <c:v>42017</c:v>
                </c:pt>
                <c:pt idx="13">
                  <c:v>42018</c:v>
                </c:pt>
                <c:pt idx="14">
                  <c:v>42019</c:v>
                </c:pt>
                <c:pt idx="15">
                  <c:v>42020</c:v>
                </c:pt>
                <c:pt idx="16">
                  <c:v>42021</c:v>
                </c:pt>
                <c:pt idx="17">
                  <c:v>42022</c:v>
                </c:pt>
                <c:pt idx="18">
                  <c:v>42023</c:v>
                </c:pt>
                <c:pt idx="19">
                  <c:v>42024</c:v>
                </c:pt>
                <c:pt idx="20">
                  <c:v>42025</c:v>
                </c:pt>
                <c:pt idx="21">
                  <c:v>42026</c:v>
                </c:pt>
                <c:pt idx="22">
                  <c:v>42027</c:v>
                </c:pt>
                <c:pt idx="23">
                  <c:v>42028</c:v>
                </c:pt>
                <c:pt idx="24">
                  <c:v>42029</c:v>
                </c:pt>
                <c:pt idx="25">
                  <c:v>42030</c:v>
                </c:pt>
                <c:pt idx="26">
                  <c:v>42031</c:v>
                </c:pt>
                <c:pt idx="27">
                  <c:v>42032</c:v>
                </c:pt>
                <c:pt idx="28">
                  <c:v>42033</c:v>
                </c:pt>
                <c:pt idx="29">
                  <c:v>42034</c:v>
                </c:pt>
                <c:pt idx="30">
                  <c:v>42035</c:v>
                </c:pt>
              </c:numCache>
            </c:numRef>
          </c:xVal>
          <c:yVal>
            <c:numRef>
              <c:f>Pivot_tables!$AR$7:$AR$37</c:f>
              <c:numCache>
                <c:formatCode>_-* #,##0_-;\-* #,##0_-;_-* "-"??_-;_-@_-</c:formatCode>
                <c:ptCount val="31"/>
                <c:pt idx="0">
                  <c:v>8666.18</c:v>
                </c:pt>
                <c:pt idx="1">
                  <c:v>24319.919999999998</c:v>
                </c:pt>
                <c:pt idx="2">
                  <c:v>10134.42</c:v>
                </c:pt>
                <c:pt idx="3">
                  <c:v>5470.58</c:v>
                </c:pt>
                <c:pt idx="4">
                  <c:v>20160.509999999998</c:v>
                </c:pt>
                <c:pt idx="5">
                  <c:v>11123.41</c:v>
                </c:pt>
                <c:pt idx="6">
                  <c:v>16551.82</c:v>
                </c:pt>
                <c:pt idx="7">
                  <c:v>5388.84</c:v>
                </c:pt>
                <c:pt idx="8">
                  <c:v>13926.83</c:v>
                </c:pt>
                <c:pt idx="9">
                  <c:v>11520.37</c:v>
                </c:pt>
                <c:pt idx="10">
                  <c:v>3355.12</c:v>
                </c:pt>
                <c:pt idx="11">
                  <c:v>14882.67</c:v>
                </c:pt>
                <c:pt idx="12">
                  <c:v>1772.04</c:v>
                </c:pt>
                <c:pt idx="13">
                  <c:v>5200.1899999999996</c:v>
                </c:pt>
                <c:pt idx="14">
                  <c:v>4829.95</c:v>
                </c:pt>
                <c:pt idx="15">
                  <c:v>3964.13</c:v>
                </c:pt>
                <c:pt idx="16">
                  <c:v>6667.69</c:v>
                </c:pt>
                <c:pt idx="17">
                  <c:v>2987.38</c:v>
                </c:pt>
                <c:pt idx="18">
                  <c:v>1652.89</c:v>
                </c:pt>
                <c:pt idx="19">
                  <c:v>6109.01</c:v>
                </c:pt>
                <c:pt idx="20">
                  <c:v>12281.51</c:v>
                </c:pt>
                <c:pt idx="21">
                  <c:v>13513.64</c:v>
                </c:pt>
                <c:pt idx="22">
                  <c:v>765.9</c:v>
                </c:pt>
                <c:pt idx="23">
                  <c:v>8376.58</c:v>
                </c:pt>
                <c:pt idx="24">
                  <c:v>445.25</c:v>
                </c:pt>
                <c:pt idx="25">
                  <c:v>7035.73</c:v>
                </c:pt>
                <c:pt idx="26">
                  <c:v>4036.39</c:v>
                </c:pt>
                <c:pt idx="27">
                  <c:v>6617.65</c:v>
                </c:pt>
                <c:pt idx="28">
                  <c:v>11666.61</c:v>
                </c:pt>
                <c:pt idx="29">
                  <c:v>5276.23</c:v>
                </c:pt>
                <c:pt idx="30">
                  <c:v>16299.11</c:v>
                </c:pt>
              </c:numCache>
            </c:numRef>
          </c:yVal>
          <c:smooth val="0"/>
          <c:extLst>
            <c:ext xmlns:c16="http://schemas.microsoft.com/office/drawing/2014/chart" uri="{C3380CC4-5D6E-409C-BE32-E72D297353CC}">
              <c16:uniqueId val="{00000000-A525-4111-A779-0AB7EAA49035}"/>
            </c:ext>
          </c:extLst>
        </c:ser>
        <c:dLbls>
          <c:showLegendKey val="0"/>
          <c:showVal val="0"/>
          <c:showCatName val="0"/>
          <c:showSerName val="0"/>
          <c:showPercent val="0"/>
          <c:showBubbleSize val="0"/>
        </c:dLbls>
        <c:axId val="921920319"/>
        <c:axId val="796030543"/>
      </c:scatterChart>
      <c:valAx>
        <c:axId val="921920319"/>
        <c:scaling>
          <c:orientation val="minMax"/>
        </c:scaling>
        <c:delete val="0"/>
        <c:axPos val="b"/>
        <c:numFmt formatCode="[=0]&quot;&quot;;dd/mmm" sourceLinked="1"/>
        <c:majorTickMark val="none"/>
        <c:minorTickMark val="none"/>
        <c:tickLblPos val="nextTo"/>
        <c:spPr>
          <a:noFill/>
          <a:ln w="9525" cap="flat" cmpd="sng" algn="ctr">
            <a:solidFill>
              <a:srgbClr val="D43260"/>
            </a:solidFill>
            <a:round/>
          </a:ln>
          <a:effectLst/>
        </c:spPr>
        <c:txPr>
          <a:bodyPr rot="-60000000" spcFirstLastPara="1" vertOverflow="ellipsis" vert="horz" wrap="square" anchor="ctr" anchorCtr="1"/>
          <a:lstStyle/>
          <a:p>
            <a:pPr>
              <a:defRPr sz="900" b="0" i="0" u="none" strike="noStrike" kern="1200" baseline="0">
                <a:solidFill>
                  <a:schemeClr val="bg1"/>
                </a:solidFill>
                <a:latin typeface="Avenir Next LT Pro" panose="020B0504020202020204" pitchFamily="34" charset="0"/>
                <a:ea typeface="+mn-ea"/>
                <a:cs typeface="+mn-cs"/>
              </a:defRPr>
            </a:pPr>
            <a:endParaRPr lang="en-US"/>
          </a:p>
        </c:txPr>
        <c:crossAx val="796030543"/>
        <c:crosses val="autoZero"/>
        <c:crossBetween val="midCat"/>
        <c:majorUnit val="1"/>
        <c:minorUnit val="1"/>
      </c:valAx>
      <c:valAx>
        <c:axId val="796030543"/>
        <c:scaling>
          <c:orientation val="minMax"/>
        </c:scaling>
        <c:delete val="1"/>
        <c:axPos val="l"/>
        <c:numFmt formatCode="_-* #,##0_-;\-* #,##0_-;_-* &quot;-&quot;??_-;_-@_-" sourceLinked="1"/>
        <c:majorTickMark val="none"/>
        <c:minorTickMark val="none"/>
        <c:tickLblPos val="nextTo"/>
        <c:crossAx val="92192031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b" anchorCtr="1"/>
          <a:lstStyle/>
          <a:p>
            <a:pPr>
              <a:defRPr sz="1600" b="0" i="0" u="none" strike="noStrike" kern="1200" spc="0" baseline="0">
                <a:solidFill>
                  <a:srgbClr val="D43260"/>
                </a:solidFill>
                <a:latin typeface="Avenir Next LT Pro" panose="020B0504020202020204" pitchFamily="34" charset="0"/>
                <a:ea typeface="+mn-ea"/>
                <a:cs typeface="+mn-cs"/>
              </a:defRPr>
            </a:pPr>
            <a:r>
              <a:rPr lang="en-CA" sz="1600">
                <a:solidFill>
                  <a:srgbClr val="D43260"/>
                </a:solidFill>
              </a:rPr>
              <a:t>Top Performer</a:t>
            </a:r>
          </a:p>
        </c:rich>
      </c:tx>
      <c:overlay val="0"/>
      <c:spPr>
        <a:noFill/>
        <a:ln>
          <a:noFill/>
        </a:ln>
        <a:effectLst/>
      </c:spPr>
      <c:txPr>
        <a:bodyPr rot="0" spcFirstLastPara="1" vertOverflow="ellipsis" vert="horz" wrap="square" anchor="b" anchorCtr="1"/>
        <a:lstStyle/>
        <a:p>
          <a:pPr>
            <a:defRPr sz="1600" b="0" i="0" u="none" strike="noStrike" kern="1200" spc="0" baseline="0">
              <a:solidFill>
                <a:srgbClr val="D43260"/>
              </a:solidFill>
              <a:latin typeface="Avenir Next LT Pro" panose="020B0504020202020204" pitchFamily="34" charset="0"/>
              <a:ea typeface="+mn-ea"/>
              <a:cs typeface="+mn-cs"/>
            </a:defRPr>
          </a:pPr>
          <a:endParaRPr lang="en-US"/>
        </a:p>
      </c:txPr>
    </c:title>
    <c:autoTitleDeleted val="0"/>
    <c:plotArea>
      <c:layout>
        <c:manualLayout>
          <c:layoutTarget val="inner"/>
          <c:xMode val="edge"/>
          <c:yMode val="edge"/>
          <c:x val="3.996365795914724E-2"/>
          <c:y val="0.24263177629112151"/>
          <c:w val="0.92007268408170551"/>
          <c:h val="0.70223037909734953"/>
        </c:manualLayout>
      </c:layout>
      <c:barChart>
        <c:barDir val="col"/>
        <c:grouping val="clustered"/>
        <c:varyColors val="0"/>
        <c:ser>
          <c:idx val="0"/>
          <c:order val="0"/>
          <c:tx>
            <c:strRef>
              <c:f>Pivot_tables!$AY$7</c:f>
              <c:strCache>
                <c:ptCount val="1"/>
                <c:pt idx="0">
                  <c:v>Chris</c:v>
                </c:pt>
              </c:strCache>
            </c:strRef>
          </c:tx>
          <c:spPr>
            <a:solidFill>
              <a:srgbClr val="D43260"/>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Avenir Next LT Pro" panose="020B0504020202020204" pitchFamily="34" charset="0"/>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Pivot_tables!$AZ$6</c:f>
              <c:strCache>
                <c:ptCount val="1"/>
                <c:pt idx="0">
                  <c:v>Sales</c:v>
                </c:pt>
              </c:strCache>
            </c:strRef>
          </c:cat>
          <c:val>
            <c:numRef>
              <c:f>Pivot_tables!$AZ$7</c:f>
              <c:numCache>
                <c:formatCode>_-* #,##0_-;\-* #,##0_-;_-* "-"??_-;_-@_-</c:formatCode>
                <c:ptCount val="1"/>
                <c:pt idx="0">
                  <c:v>441445.62</c:v>
                </c:pt>
              </c:numCache>
            </c:numRef>
          </c:val>
          <c:extLst>
            <c:ext xmlns:c16="http://schemas.microsoft.com/office/drawing/2014/chart" uri="{C3380CC4-5D6E-409C-BE32-E72D297353CC}">
              <c16:uniqueId val="{00000000-C291-4F8E-9B32-7F1D6E38BABA}"/>
            </c:ext>
          </c:extLst>
        </c:ser>
        <c:ser>
          <c:idx val="1"/>
          <c:order val="1"/>
          <c:tx>
            <c:strRef>
              <c:f>Pivot_tables!$AY$8</c:f>
              <c:strCache>
                <c:ptCount val="1"/>
                <c:pt idx="0">
                  <c:v>Erin</c:v>
                </c:pt>
              </c:strCache>
            </c:strRef>
          </c:tx>
          <c:spPr>
            <a:solidFill>
              <a:srgbClr val="B1F5F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Avenir Next LT Pro" panose="020B0504020202020204" pitchFamily="34" charset="0"/>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Pivot_tables!$AZ$6</c:f>
              <c:strCache>
                <c:ptCount val="1"/>
                <c:pt idx="0">
                  <c:v>Sales</c:v>
                </c:pt>
              </c:strCache>
            </c:strRef>
          </c:cat>
          <c:val>
            <c:numRef>
              <c:f>Pivot_tables!$AZ$8</c:f>
              <c:numCache>
                <c:formatCode>_-* #,##0_-;\-* #,##0_-;_-* "-"??_-;_-@_-</c:formatCode>
                <c:ptCount val="1"/>
                <c:pt idx="0">
                  <c:v>584724.18999999994</c:v>
                </c:pt>
              </c:numCache>
            </c:numRef>
          </c:val>
          <c:extLst>
            <c:ext xmlns:c16="http://schemas.microsoft.com/office/drawing/2014/chart" uri="{C3380CC4-5D6E-409C-BE32-E72D297353CC}">
              <c16:uniqueId val="{00000001-C291-4F8E-9B32-7F1D6E38BABA}"/>
            </c:ext>
          </c:extLst>
        </c:ser>
        <c:ser>
          <c:idx val="2"/>
          <c:order val="2"/>
          <c:tx>
            <c:strRef>
              <c:f>Pivot_tables!$AY$9</c:f>
              <c:strCache>
                <c:ptCount val="1"/>
                <c:pt idx="0">
                  <c:v>Sam</c:v>
                </c:pt>
              </c:strCache>
            </c:strRef>
          </c:tx>
          <c:spPr>
            <a:solidFill>
              <a:srgbClr val="194AFE"/>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Avenir Next LT Pro" panose="020B0504020202020204" pitchFamily="34" charset="0"/>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Pivot_tables!$AZ$6</c:f>
              <c:strCache>
                <c:ptCount val="1"/>
                <c:pt idx="0">
                  <c:v>Sales</c:v>
                </c:pt>
              </c:strCache>
            </c:strRef>
          </c:cat>
          <c:val>
            <c:numRef>
              <c:f>Pivot_tables!$AZ$9</c:f>
              <c:numCache>
                <c:formatCode>_-* #,##0_-;\-* #,##0_-;_-* "-"??_-;_-@_-</c:formatCode>
                <c:ptCount val="1"/>
                <c:pt idx="0">
                  <c:v>341328.32</c:v>
                </c:pt>
              </c:numCache>
            </c:numRef>
          </c:val>
          <c:extLst>
            <c:ext xmlns:c16="http://schemas.microsoft.com/office/drawing/2014/chart" uri="{C3380CC4-5D6E-409C-BE32-E72D297353CC}">
              <c16:uniqueId val="{00000002-C291-4F8E-9B32-7F1D6E38BABA}"/>
            </c:ext>
          </c:extLst>
        </c:ser>
        <c:ser>
          <c:idx val="3"/>
          <c:order val="3"/>
          <c:tx>
            <c:strRef>
              <c:f>Pivot_tables!$AY$10</c:f>
              <c:strCache>
                <c:ptCount val="1"/>
                <c:pt idx="0">
                  <c:v>William</c:v>
                </c:pt>
              </c:strCache>
            </c:strRef>
          </c:tx>
          <c:spPr>
            <a:solidFill>
              <a:srgbClr val="6921B5"/>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Avenir Next LT Pro" panose="020B0504020202020204" pitchFamily="34" charset="0"/>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Pivot_tables!$AZ$6</c:f>
              <c:strCache>
                <c:ptCount val="1"/>
                <c:pt idx="0">
                  <c:v>Sales</c:v>
                </c:pt>
              </c:strCache>
            </c:strRef>
          </c:cat>
          <c:val>
            <c:numRef>
              <c:f>Pivot_tables!$AZ$10</c:f>
              <c:numCache>
                <c:formatCode>_-* #,##0_-;\-* #,##0_-;_-* "-"??_-;_-@_-</c:formatCode>
                <c:ptCount val="1"/>
                <c:pt idx="0">
                  <c:v>514026.64</c:v>
                </c:pt>
              </c:numCache>
            </c:numRef>
          </c:val>
          <c:extLst>
            <c:ext xmlns:c16="http://schemas.microsoft.com/office/drawing/2014/chart" uri="{C3380CC4-5D6E-409C-BE32-E72D297353CC}">
              <c16:uniqueId val="{00000003-C291-4F8E-9B32-7F1D6E38BABA}"/>
            </c:ext>
          </c:extLst>
        </c:ser>
        <c:dLbls>
          <c:showLegendKey val="0"/>
          <c:showVal val="0"/>
          <c:showCatName val="0"/>
          <c:showSerName val="0"/>
          <c:showPercent val="0"/>
          <c:showBubbleSize val="0"/>
        </c:dLbls>
        <c:gapWidth val="219"/>
        <c:overlap val="-27"/>
        <c:axId val="565486976"/>
        <c:axId val="1684021343"/>
      </c:barChart>
      <c:catAx>
        <c:axId val="565486976"/>
        <c:scaling>
          <c:orientation val="minMax"/>
        </c:scaling>
        <c:delete val="1"/>
        <c:axPos val="b"/>
        <c:numFmt formatCode="General" sourceLinked="1"/>
        <c:majorTickMark val="none"/>
        <c:minorTickMark val="none"/>
        <c:tickLblPos val="nextTo"/>
        <c:crossAx val="1684021343"/>
        <c:crosses val="autoZero"/>
        <c:auto val="1"/>
        <c:lblAlgn val="ctr"/>
        <c:lblOffset val="100"/>
        <c:noMultiLvlLbl val="0"/>
      </c:catAx>
      <c:valAx>
        <c:axId val="1684021343"/>
        <c:scaling>
          <c:orientation val="minMax"/>
        </c:scaling>
        <c:delete val="1"/>
        <c:axPos val="l"/>
        <c:numFmt formatCode="_-* #,##0_-;\-* #,##0_-;_-* &quot;-&quot;??_-;_-@_-" sourceLinked="1"/>
        <c:majorTickMark val="none"/>
        <c:minorTickMark val="none"/>
        <c:tickLblPos val="nextTo"/>
        <c:crossAx val="56548697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bg1"/>
          </a:solidFill>
          <a:latin typeface="Avenir Next LT Pro" panose="020B0504020202020204" pitchFamily="34" charset="0"/>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Pivot_tables!$CD$5</c:f>
              <c:strCache>
                <c:ptCount val="1"/>
                <c:pt idx="0">
                  <c:v>Home Office</c:v>
                </c:pt>
              </c:strCache>
            </c:strRef>
          </c:tx>
          <c:spPr>
            <a:ln>
              <a:noFill/>
            </a:ln>
          </c:spPr>
          <c:dPt>
            <c:idx val="0"/>
            <c:bubble3D val="0"/>
            <c:spPr>
              <a:solidFill>
                <a:srgbClr val="B1F5F1"/>
              </a:solidFill>
              <a:ln w="19050">
                <a:noFill/>
              </a:ln>
              <a:effectLst/>
            </c:spPr>
            <c:extLst>
              <c:ext xmlns:c16="http://schemas.microsoft.com/office/drawing/2014/chart" uri="{C3380CC4-5D6E-409C-BE32-E72D297353CC}">
                <c16:uniqueId val="{00000001-97E6-46E6-90DB-6D95DF96CC21}"/>
              </c:ext>
            </c:extLst>
          </c:dPt>
          <c:dPt>
            <c:idx val="1"/>
            <c:bubble3D val="0"/>
            <c:spPr>
              <a:noFill/>
              <a:ln w="19050">
                <a:noFill/>
              </a:ln>
              <a:effectLst/>
            </c:spPr>
            <c:extLst>
              <c:ext xmlns:c16="http://schemas.microsoft.com/office/drawing/2014/chart" uri="{C3380CC4-5D6E-409C-BE32-E72D297353CC}">
                <c16:uniqueId val="{00000003-97E6-46E6-90DB-6D95DF96CC21}"/>
              </c:ext>
            </c:extLst>
          </c:dPt>
          <c:cat>
            <c:strRef>
              <c:f>Pivot_tables!$CC$6:$CC$7</c:f>
              <c:strCache>
                <c:ptCount val="2"/>
                <c:pt idx="0">
                  <c:v>Sales</c:v>
                </c:pt>
                <c:pt idx="1">
                  <c:v>Difference from Max Sales</c:v>
                </c:pt>
              </c:strCache>
            </c:strRef>
          </c:cat>
          <c:val>
            <c:numRef>
              <c:f>Pivot_tables!$CD$6:$CD$7</c:f>
              <c:numCache>
                <c:formatCode>"$"#,##0_);\("$"#,##0\)</c:formatCode>
                <c:ptCount val="2"/>
                <c:pt idx="0">
                  <c:v>461345.73999999993</c:v>
                </c:pt>
                <c:pt idx="1">
                  <c:v>273515.57</c:v>
                </c:pt>
              </c:numCache>
            </c:numRef>
          </c:val>
          <c:extLst>
            <c:ext xmlns:c16="http://schemas.microsoft.com/office/drawing/2014/chart" uri="{C3380CC4-5D6E-409C-BE32-E72D297353CC}">
              <c16:uniqueId val="{00000004-97E6-46E6-90DB-6D95DF96CC21}"/>
            </c:ext>
          </c:extLst>
        </c:ser>
        <c:ser>
          <c:idx val="1"/>
          <c:order val="1"/>
          <c:tx>
            <c:strRef>
              <c:f>Pivot_tables!$CE$5</c:f>
              <c:strCache>
                <c:ptCount val="1"/>
                <c:pt idx="0">
                  <c:v>Consumer</c:v>
                </c:pt>
              </c:strCache>
            </c:strRef>
          </c:tx>
          <c:spPr>
            <a:ln>
              <a:noFill/>
            </a:ln>
          </c:spPr>
          <c:dPt>
            <c:idx val="0"/>
            <c:bubble3D val="0"/>
            <c:spPr>
              <a:solidFill>
                <a:srgbClr val="6921B5"/>
              </a:solidFill>
              <a:ln w="19050">
                <a:noFill/>
              </a:ln>
              <a:effectLst/>
            </c:spPr>
            <c:extLst>
              <c:ext xmlns:c16="http://schemas.microsoft.com/office/drawing/2014/chart" uri="{C3380CC4-5D6E-409C-BE32-E72D297353CC}">
                <c16:uniqueId val="{00000006-97E6-46E6-90DB-6D95DF96CC21}"/>
              </c:ext>
            </c:extLst>
          </c:dPt>
          <c:dPt>
            <c:idx val="1"/>
            <c:bubble3D val="0"/>
            <c:spPr>
              <a:noFill/>
              <a:ln w="19050">
                <a:noFill/>
              </a:ln>
              <a:effectLst/>
            </c:spPr>
            <c:extLst>
              <c:ext xmlns:c16="http://schemas.microsoft.com/office/drawing/2014/chart" uri="{C3380CC4-5D6E-409C-BE32-E72D297353CC}">
                <c16:uniqueId val="{00000008-97E6-46E6-90DB-6D95DF96CC21}"/>
              </c:ext>
            </c:extLst>
          </c:dPt>
          <c:cat>
            <c:strRef>
              <c:f>Pivot_tables!$CC$6:$CC$7</c:f>
              <c:strCache>
                <c:ptCount val="2"/>
                <c:pt idx="0">
                  <c:v>Sales</c:v>
                </c:pt>
                <c:pt idx="1">
                  <c:v>Difference from Max Sales</c:v>
                </c:pt>
              </c:strCache>
            </c:strRef>
          </c:cat>
          <c:val>
            <c:numRef>
              <c:f>Pivot_tables!$CE$6:$CE$7</c:f>
              <c:numCache>
                <c:formatCode>"$"#,##0_);\("$"#,##0\)</c:formatCode>
                <c:ptCount val="2"/>
                <c:pt idx="0">
                  <c:v>394051.7</c:v>
                </c:pt>
                <c:pt idx="1">
                  <c:v>340809.60999999993</c:v>
                </c:pt>
              </c:numCache>
            </c:numRef>
          </c:val>
          <c:extLst>
            <c:ext xmlns:c16="http://schemas.microsoft.com/office/drawing/2014/chart" uri="{C3380CC4-5D6E-409C-BE32-E72D297353CC}">
              <c16:uniqueId val="{00000009-97E6-46E6-90DB-6D95DF96CC21}"/>
            </c:ext>
          </c:extLst>
        </c:ser>
        <c:ser>
          <c:idx val="2"/>
          <c:order val="2"/>
          <c:tx>
            <c:strRef>
              <c:f>Pivot_tables!$CF$5</c:f>
              <c:strCache>
                <c:ptCount val="1"/>
                <c:pt idx="0">
                  <c:v>Corporate</c:v>
                </c:pt>
              </c:strCache>
            </c:strRef>
          </c:tx>
          <c:spPr>
            <a:ln>
              <a:noFill/>
            </a:ln>
          </c:spPr>
          <c:dPt>
            <c:idx val="0"/>
            <c:bubble3D val="0"/>
            <c:spPr>
              <a:solidFill>
                <a:srgbClr val="D43260"/>
              </a:solidFill>
              <a:ln w="19050">
                <a:noFill/>
              </a:ln>
              <a:effectLst/>
            </c:spPr>
            <c:extLst>
              <c:ext xmlns:c16="http://schemas.microsoft.com/office/drawing/2014/chart" uri="{C3380CC4-5D6E-409C-BE32-E72D297353CC}">
                <c16:uniqueId val="{0000000B-97E6-46E6-90DB-6D95DF96CC21}"/>
              </c:ext>
            </c:extLst>
          </c:dPt>
          <c:dPt>
            <c:idx val="1"/>
            <c:bubble3D val="0"/>
            <c:spPr>
              <a:noFill/>
              <a:ln w="19050">
                <a:noFill/>
              </a:ln>
              <a:effectLst/>
            </c:spPr>
            <c:extLst>
              <c:ext xmlns:c16="http://schemas.microsoft.com/office/drawing/2014/chart" uri="{C3380CC4-5D6E-409C-BE32-E72D297353CC}">
                <c16:uniqueId val="{0000000D-97E6-46E6-90DB-6D95DF96CC21}"/>
              </c:ext>
            </c:extLst>
          </c:dPt>
          <c:cat>
            <c:strRef>
              <c:f>Pivot_tables!$CC$6:$CC$7</c:f>
              <c:strCache>
                <c:ptCount val="2"/>
                <c:pt idx="0">
                  <c:v>Sales</c:v>
                </c:pt>
                <c:pt idx="1">
                  <c:v>Difference from Max Sales</c:v>
                </c:pt>
              </c:strCache>
            </c:strRef>
          </c:cat>
          <c:val>
            <c:numRef>
              <c:f>Pivot_tables!$CF$6:$CF$7</c:f>
              <c:numCache>
                <c:formatCode>"$"#,##0_);\("$"#,##0\)</c:formatCode>
                <c:ptCount val="2"/>
                <c:pt idx="0">
                  <c:v>634861.30999999994</c:v>
                </c:pt>
                <c:pt idx="1">
                  <c:v>100000</c:v>
                </c:pt>
              </c:numCache>
            </c:numRef>
          </c:val>
          <c:extLst>
            <c:ext xmlns:c16="http://schemas.microsoft.com/office/drawing/2014/chart" uri="{C3380CC4-5D6E-409C-BE32-E72D297353CC}">
              <c16:uniqueId val="{0000000E-97E6-46E6-90DB-6D95DF96CC21}"/>
            </c:ext>
          </c:extLst>
        </c:ser>
        <c:ser>
          <c:idx val="3"/>
          <c:order val="3"/>
          <c:tx>
            <c:strRef>
              <c:f>Pivot_tables!$CG$5</c:f>
              <c:strCache>
                <c:ptCount val="1"/>
                <c:pt idx="0">
                  <c:v>Small Business</c:v>
                </c:pt>
              </c:strCache>
            </c:strRef>
          </c:tx>
          <c:spPr>
            <a:ln>
              <a:noFill/>
            </a:ln>
          </c:spPr>
          <c:dPt>
            <c:idx val="0"/>
            <c:bubble3D val="0"/>
            <c:spPr>
              <a:solidFill>
                <a:srgbClr val="194AFE"/>
              </a:solidFill>
              <a:ln w="19050">
                <a:noFill/>
              </a:ln>
              <a:effectLst/>
            </c:spPr>
            <c:extLst>
              <c:ext xmlns:c16="http://schemas.microsoft.com/office/drawing/2014/chart" uri="{C3380CC4-5D6E-409C-BE32-E72D297353CC}">
                <c16:uniqueId val="{00000010-97E6-46E6-90DB-6D95DF96CC21}"/>
              </c:ext>
            </c:extLst>
          </c:dPt>
          <c:dPt>
            <c:idx val="1"/>
            <c:bubble3D val="0"/>
            <c:spPr>
              <a:noFill/>
              <a:ln w="19050">
                <a:noFill/>
              </a:ln>
              <a:effectLst/>
            </c:spPr>
            <c:extLst>
              <c:ext xmlns:c16="http://schemas.microsoft.com/office/drawing/2014/chart" uri="{C3380CC4-5D6E-409C-BE32-E72D297353CC}">
                <c16:uniqueId val="{00000012-97E6-46E6-90DB-6D95DF96CC21}"/>
              </c:ext>
            </c:extLst>
          </c:dPt>
          <c:cat>
            <c:strRef>
              <c:f>Pivot_tables!$CC$6:$CC$7</c:f>
              <c:strCache>
                <c:ptCount val="2"/>
                <c:pt idx="0">
                  <c:v>Sales</c:v>
                </c:pt>
                <c:pt idx="1">
                  <c:v>Difference from Max Sales</c:v>
                </c:pt>
              </c:strCache>
            </c:strRef>
          </c:cat>
          <c:val>
            <c:numRef>
              <c:f>Pivot_tables!$CG$6:$CG$7</c:f>
              <c:numCache>
                <c:formatCode>"$"#,##0_);\("$"#,##0\)</c:formatCode>
                <c:ptCount val="2"/>
                <c:pt idx="0">
                  <c:v>391266.02</c:v>
                </c:pt>
                <c:pt idx="1">
                  <c:v>343595.28999999992</c:v>
                </c:pt>
              </c:numCache>
            </c:numRef>
          </c:val>
          <c:extLst>
            <c:ext xmlns:c16="http://schemas.microsoft.com/office/drawing/2014/chart" uri="{C3380CC4-5D6E-409C-BE32-E72D297353CC}">
              <c16:uniqueId val="{00000013-97E6-46E6-90DB-6D95DF96CC21}"/>
            </c:ext>
          </c:extLst>
        </c:ser>
        <c:dLbls>
          <c:showLegendKey val="0"/>
          <c:showVal val="0"/>
          <c:showCatName val="0"/>
          <c:showSerName val="0"/>
          <c:showPercent val="0"/>
          <c:showBubbleSize val="0"/>
          <c:showLeaderLines val="0"/>
        </c:dLbls>
        <c:firstSliceAng val="180"/>
        <c:holeSize val="5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727774116341185E-2"/>
          <c:y val="1.1804016301241033E-2"/>
          <c:w val="0.92280792271564827"/>
          <c:h val="0.99523330075543837"/>
        </c:manualLayout>
      </c:layout>
      <c:doughnutChart>
        <c:varyColors val="1"/>
        <c:ser>
          <c:idx val="0"/>
          <c:order val="0"/>
          <c:tx>
            <c:strRef>
              <c:f>Pivot_tables!$BL$5</c:f>
              <c:strCache>
                <c:ptCount val="1"/>
                <c:pt idx="0">
                  <c:v>Profit</c:v>
                </c:pt>
              </c:strCache>
            </c:strRef>
          </c:tx>
          <c:spPr>
            <a:ln>
              <a:noFill/>
            </a:ln>
          </c:spPr>
          <c:dPt>
            <c:idx val="0"/>
            <c:bubble3D val="0"/>
            <c:spPr>
              <a:solidFill>
                <a:srgbClr val="B1F5F1"/>
              </a:solidFill>
              <a:ln w="19050">
                <a:solidFill>
                  <a:srgbClr val="B1F5F1"/>
                </a:solidFill>
              </a:ln>
              <a:effectLst/>
            </c:spPr>
            <c:extLst>
              <c:ext xmlns:c16="http://schemas.microsoft.com/office/drawing/2014/chart" uri="{C3380CC4-5D6E-409C-BE32-E72D297353CC}">
                <c16:uniqueId val="{00000001-4D05-480C-893A-1E24C167139D}"/>
              </c:ext>
            </c:extLst>
          </c:dPt>
          <c:dPt>
            <c:idx val="1"/>
            <c:bubble3D val="0"/>
            <c:spPr>
              <a:solidFill>
                <a:srgbClr val="DC25FA"/>
              </a:solidFill>
              <a:ln w="19050">
                <a:solidFill>
                  <a:srgbClr val="DC25FA"/>
                </a:solidFill>
              </a:ln>
              <a:effectLst/>
            </c:spPr>
            <c:extLst>
              <c:ext xmlns:c16="http://schemas.microsoft.com/office/drawing/2014/chart" uri="{C3380CC4-5D6E-409C-BE32-E72D297353CC}">
                <c16:uniqueId val="{00000003-4D05-480C-893A-1E24C167139D}"/>
              </c:ext>
            </c:extLst>
          </c:dPt>
          <c:dPt>
            <c:idx val="2"/>
            <c:bubble3D val="0"/>
            <c:spPr>
              <a:solidFill>
                <a:srgbClr val="6921B5"/>
              </a:solidFill>
              <a:ln w="19050">
                <a:solidFill>
                  <a:srgbClr val="6921B5"/>
                </a:solidFill>
              </a:ln>
              <a:effectLst/>
            </c:spPr>
            <c:extLst>
              <c:ext xmlns:c16="http://schemas.microsoft.com/office/drawing/2014/chart" uri="{C3380CC4-5D6E-409C-BE32-E72D297353CC}">
                <c16:uniqueId val="{00000005-4D05-480C-893A-1E24C167139D}"/>
              </c:ext>
            </c:extLst>
          </c:dPt>
          <c:dPt>
            <c:idx val="3"/>
            <c:bubble3D val="0"/>
            <c:spPr>
              <a:solidFill>
                <a:srgbClr val="D43260"/>
              </a:solidFill>
              <a:ln w="19050">
                <a:solidFill>
                  <a:srgbClr val="D43260"/>
                </a:solidFill>
              </a:ln>
              <a:effectLst/>
            </c:spPr>
            <c:extLst>
              <c:ext xmlns:c16="http://schemas.microsoft.com/office/drawing/2014/chart" uri="{C3380CC4-5D6E-409C-BE32-E72D297353CC}">
                <c16:uniqueId val="{00000007-4D05-480C-893A-1E24C167139D}"/>
              </c:ext>
            </c:extLst>
          </c:dPt>
          <c:dPt>
            <c:idx val="4"/>
            <c:bubble3D val="0"/>
            <c:spPr>
              <a:solidFill>
                <a:srgbClr val="194AFE"/>
              </a:solidFill>
              <a:ln w="19050">
                <a:solidFill>
                  <a:srgbClr val="194AFE"/>
                </a:solidFill>
              </a:ln>
              <a:effectLst/>
            </c:spPr>
            <c:extLst>
              <c:ext xmlns:c16="http://schemas.microsoft.com/office/drawing/2014/chart" uri="{C3380CC4-5D6E-409C-BE32-E72D297353CC}">
                <c16:uniqueId val="{00000009-4D05-480C-893A-1E24C167139D}"/>
              </c:ext>
            </c:extLst>
          </c:dPt>
          <c:dLbls>
            <c:delete val="1"/>
          </c:dLbls>
          <c:cat>
            <c:strRef>
              <c:f>Pivot_tables!$BK$6:$BK$10</c:f>
              <c:strCache>
                <c:ptCount val="5"/>
                <c:pt idx="0">
                  <c:v>Low</c:v>
                </c:pt>
                <c:pt idx="1">
                  <c:v>Medium</c:v>
                </c:pt>
                <c:pt idx="2">
                  <c:v>High</c:v>
                </c:pt>
                <c:pt idx="3">
                  <c:v>Critical</c:v>
                </c:pt>
                <c:pt idx="4">
                  <c:v>N/A</c:v>
                </c:pt>
              </c:strCache>
            </c:strRef>
          </c:cat>
          <c:val>
            <c:numRef>
              <c:f>Pivot_tables!$BL$6:$BL$10</c:f>
              <c:numCache>
                <c:formatCode>"$"#,##0_);\("$"#,##0\)</c:formatCode>
                <c:ptCount val="5"/>
                <c:pt idx="0">
                  <c:v>34078.892534799998</c:v>
                </c:pt>
                <c:pt idx="1">
                  <c:v>42579.657761069997</c:v>
                </c:pt>
                <c:pt idx="2">
                  <c:v>35793.009311599999</c:v>
                </c:pt>
                <c:pt idx="3">
                  <c:v>35087.324923680004</c:v>
                </c:pt>
                <c:pt idx="4">
                  <c:v>67484.515206000011</c:v>
                </c:pt>
              </c:numCache>
            </c:numRef>
          </c:val>
          <c:extLst>
            <c:ext xmlns:c16="http://schemas.microsoft.com/office/drawing/2014/chart" uri="{C3380CC4-5D6E-409C-BE32-E72D297353CC}">
              <c16:uniqueId val="{0000000A-4D05-480C-893A-1E24C167139D}"/>
            </c:ext>
          </c:extLst>
        </c:ser>
        <c:ser>
          <c:idx val="1"/>
          <c:order val="1"/>
          <c:tx>
            <c:strRef>
              <c:f>Pivot_tables!$BM$5</c:f>
              <c:strCache>
                <c:ptCount val="1"/>
                <c:pt idx="0">
                  <c:v>Profit</c:v>
                </c:pt>
              </c:strCache>
            </c:strRef>
          </c:tx>
          <c:spPr>
            <a:ln>
              <a:noFill/>
            </a:ln>
          </c:spPr>
          <c:dPt>
            <c:idx val="0"/>
            <c:bubble3D val="0"/>
            <c:spPr>
              <a:noFill/>
              <a:ln w="19050">
                <a:noFill/>
              </a:ln>
              <a:effectLst/>
            </c:spPr>
            <c:extLst>
              <c:ext xmlns:c16="http://schemas.microsoft.com/office/drawing/2014/chart" uri="{C3380CC4-5D6E-409C-BE32-E72D297353CC}">
                <c16:uniqueId val="{0000000C-4D05-480C-893A-1E24C167139D}"/>
              </c:ext>
            </c:extLst>
          </c:dPt>
          <c:dPt>
            <c:idx val="1"/>
            <c:bubble3D val="0"/>
            <c:spPr>
              <a:solidFill>
                <a:srgbClr val="DC25FA"/>
              </a:solidFill>
              <a:ln w="19050">
                <a:solidFill>
                  <a:srgbClr val="DC25FA"/>
                </a:solidFill>
              </a:ln>
              <a:effectLst/>
            </c:spPr>
            <c:extLst>
              <c:ext xmlns:c16="http://schemas.microsoft.com/office/drawing/2014/chart" uri="{C3380CC4-5D6E-409C-BE32-E72D297353CC}">
                <c16:uniqueId val="{0000000E-4D05-480C-893A-1E24C167139D}"/>
              </c:ext>
            </c:extLst>
          </c:dPt>
          <c:dPt>
            <c:idx val="2"/>
            <c:bubble3D val="0"/>
            <c:spPr>
              <a:solidFill>
                <a:srgbClr val="6921B5"/>
              </a:solidFill>
              <a:ln w="19050">
                <a:solidFill>
                  <a:srgbClr val="6921B5"/>
                </a:solidFill>
              </a:ln>
              <a:effectLst/>
            </c:spPr>
            <c:extLst>
              <c:ext xmlns:c16="http://schemas.microsoft.com/office/drawing/2014/chart" uri="{C3380CC4-5D6E-409C-BE32-E72D297353CC}">
                <c16:uniqueId val="{00000010-4D05-480C-893A-1E24C167139D}"/>
              </c:ext>
            </c:extLst>
          </c:dPt>
          <c:dPt>
            <c:idx val="3"/>
            <c:bubble3D val="0"/>
            <c:spPr>
              <a:solidFill>
                <a:srgbClr val="D43260"/>
              </a:solidFill>
              <a:ln w="19050">
                <a:solidFill>
                  <a:srgbClr val="D43260"/>
                </a:solidFill>
              </a:ln>
              <a:effectLst/>
            </c:spPr>
            <c:extLst>
              <c:ext xmlns:c16="http://schemas.microsoft.com/office/drawing/2014/chart" uri="{C3380CC4-5D6E-409C-BE32-E72D297353CC}">
                <c16:uniqueId val="{00000012-4D05-480C-893A-1E24C167139D}"/>
              </c:ext>
            </c:extLst>
          </c:dPt>
          <c:dPt>
            <c:idx val="4"/>
            <c:bubble3D val="0"/>
            <c:spPr>
              <a:solidFill>
                <a:srgbClr val="194AFE"/>
              </a:solidFill>
              <a:ln w="19050">
                <a:solidFill>
                  <a:srgbClr val="194AFE"/>
                </a:solidFill>
              </a:ln>
              <a:effectLst/>
            </c:spPr>
            <c:extLst>
              <c:ext xmlns:c16="http://schemas.microsoft.com/office/drawing/2014/chart" uri="{C3380CC4-5D6E-409C-BE32-E72D297353CC}">
                <c16:uniqueId val="{00000014-4D05-480C-893A-1E24C167139D}"/>
              </c:ext>
            </c:extLst>
          </c:dPt>
          <c:dLbls>
            <c:delete val="1"/>
          </c:dLbls>
          <c:cat>
            <c:strRef>
              <c:f>Pivot_tables!$BK$6:$BK$10</c:f>
              <c:strCache>
                <c:ptCount val="5"/>
                <c:pt idx="0">
                  <c:v>Low</c:v>
                </c:pt>
                <c:pt idx="1">
                  <c:v>Medium</c:v>
                </c:pt>
                <c:pt idx="2">
                  <c:v>High</c:v>
                </c:pt>
                <c:pt idx="3">
                  <c:v>Critical</c:v>
                </c:pt>
                <c:pt idx="4">
                  <c:v>N/A</c:v>
                </c:pt>
              </c:strCache>
            </c:strRef>
          </c:cat>
          <c:val>
            <c:numRef>
              <c:f>Pivot_tables!$BM$6:$BM$10</c:f>
              <c:numCache>
                <c:formatCode>"$"#,##0_);\("$"#,##0\)</c:formatCode>
                <c:ptCount val="5"/>
                <c:pt idx="0">
                  <c:v>34078.892534799998</c:v>
                </c:pt>
                <c:pt idx="1">
                  <c:v>42579.657761069997</c:v>
                </c:pt>
                <c:pt idx="2">
                  <c:v>35793.009311599999</c:v>
                </c:pt>
                <c:pt idx="3">
                  <c:v>35087.324923680004</c:v>
                </c:pt>
                <c:pt idx="4">
                  <c:v>67484.515206000011</c:v>
                </c:pt>
              </c:numCache>
            </c:numRef>
          </c:val>
          <c:extLst>
            <c:ext xmlns:c16="http://schemas.microsoft.com/office/drawing/2014/chart" uri="{C3380CC4-5D6E-409C-BE32-E72D297353CC}">
              <c16:uniqueId val="{00000015-4D05-480C-893A-1E24C167139D}"/>
            </c:ext>
          </c:extLst>
        </c:ser>
        <c:ser>
          <c:idx val="2"/>
          <c:order val="2"/>
          <c:tx>
            <c:strRef>
              <c:f>Pivot_tables!$BN$5</c:f>
              <c:strCache>
                <c:ptCount val="1"/>
                <c:pt idx="0">
                  <c:v>Profit</c:v>
                </c:pt>
              </c:strCache>
            </c:strRef>
          </c:tx>
          <c:spPr>
            <a:ln>
              <a:noFill/>
            </a:ln>
          </c:spPr>
          <c:dPt>
            <c:idx val="0"/>
            <c:bubble3D val="0"/>
            <c:spPr>
              <a:noFill/>
              <a:ln w="19050">
                <a:noFill/>
              </a:ln>
              <a:effectLst/>
            </c:spPr>
            <c:extLst>
              <c:ext xmlns:c16="http://schemas.microsoft.com/office/drawing/2014/chart" uri="{C3380CC4-5D6E-409C-BE32-E72D297353CC}">
                <c16:uniqueId val="{00000017-4D05-480C-893A-1E24C167139D}"/>
              </c:ext>
            </c:extLst>
          </c:dPt>
          <c:dPt>
            <c:idx val="1"/>
            <c:bubble3D val="0"/>
            <c:spPr>
              <a:noFill/>
              <a:ln w="19050">
                <a:noFill/>
              </a:ln>
              <a:effectLst/>
            </c:spPr>
            <c:extLst>
              <c:ext xmlns:c16="http://schemas.microsoft.com/office/drawing/2014/chart" uri="{C3380CC4-5D6E-409C-BE32-E72D297353CC}">
                <c16:uniqueId val="{00000019-4D05-480C-893A-1E24C167139D}"/>
              </c:ext>
            </c:extLst>
          </c:dPt>
          <c:dPt>
            <c:idx val="2"/>
            <c:bubble3D val="0"/>
            <c:spPr>
              <a:solidFill>
                <a:srgbClr val="6921B5"/>
              </a:solidFill>
              <a:ln w="19050">
                <a:solidFill>
                  <a:srgbClr val="6921B5"/>
                </a:solidFill>
              </a:ln>
              <a:effectLst/>
            </c:spPr>
            <c:extLst>
              <c:ext xmlns:c16="http://schemas.microsoft.com/office/drawing/2014/chart" uri="{C3380CC4-5D6E-409C-BE32-E72D297353CC}">
                <c16:uniqueId val="{0000001B-4D05-480C-893A-1E24C167139D}"/>
              </c:ext>
            </c:extLst>
          </c:dPt>
          <c:dPt>
            <c:idx val="3"/>
            <c:bubble3D val="0"/>
            <c:spPr>
              <a:solidFill>
                <a:srgbClr val="D43260"/>
              </a:solidFill>
              <a:ln w="19050">
                <a:solidFill>
                  <a:srgbClr val="D43260"/>
                </a:solidFill>
              </a:ln>
              <a:effectLst/>
            </c:spPr>
            <c:extLst>
              <c:ext xmlns:c16="http://schemas.microsoft.com/office/drawing/2014/chart" uri="{C3380CC4-5D6E-409C-BE32-E72D297353CC}">
                <c16:uniqueId val="{0000001D-4D05-480C-893A-1E24C167139D}"/>
              </c:ext>
            </c:extLst>
          </c:dPt>
          <c:dPt>
            <c:idx val="4"/>
            <c:bubble3D val="0"/>
            <c:spPr>
              <a:solidFill>
                <a:srgbClr val="194AFE"/>
              </a:solidFill>
              <a:ln w="19050">
                <a:solidFill>
                  <a:srgbClr val="194AFE"/>
                </a:solidFill>
              </a:ln>
              <a:effectLst/>
            </c:spPr>
            <c:extLst>
              <c:ext xmlns:c16="http://schemas.microsoft.com/office/drawing/2014/chart" uri="{C3380CC4-5D6E-409C-BE32-E72D297353CC}">
                <c16:uniqueId val="{0000001F-4D05-480C-893A-1E24C167139D}"/>
              </c:ext>
            </c:extLst>
          </c:dPt>
          <c:dLbls>
            <c:dLbl>
              <c:idx val="1"/>
              <c:layout>
                <c:manualLayout>
                  <c:x val="3.9490049751243796E-2"/>
                  <c:y val="3.3320171428346547E-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19-4D05-480C-893A-1E24C167139D}"/>
                </c:ext>
              </c:extLst>
            </c:dLbl>
            <c:dLbl>
              <c:idx val="2"/>
              <c:layout>
                <c:manualLayout>
                  <c:x val="0"/>
                  <c:y val="2.9988154285511891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1B-4D05-480C-893A-1E24C167139D}"/>
                </c:ext>
              </c:extLst>
            </c:dLbl>
            <c:dLbl>
              <c:idx val="3"/>
              <c:layout>
                <c:manualLayout>
                  <c:x val="-6.5816749585406306E-3"/>
                  <c:y val="-6.1086275278103954E-17"/>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1D-4D05-480C-893A-1E24C167139D}"/>
                </c:ext>
              </c:extLst>
            </c:dLbl>
            <c:spPr>
              <a:solidFill>
                <a:schemeClr val="tx1"/>
              </a:solidFill>
              <a:ln>
                <a:noFill/>
              </a:ln>
              <a:effectLst/>
            </c:spPr>
            <c:txPr>
              <a:bodyPr rot="0" spcFirstLastPara="1" vertOverflow="ellipsis" vert="horz" wrap="square" lIns="0" tIns="19050" rIns="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c15:spPr>
              </c:ext>
            </c:extLst>
          </c:dLbls>
          <c:cat>
            <c:strRef>
              <c:f>Pivot_tables!$BK$6:$BK$10</c:f>
              <c:strCache>
                <c:ptCount val="5"/>
                <c:pt idx="0">
                  <c:v>Low</c:v>
                </c:pt>
                <c:pt idx="1">
                  <c:v>Medium</c:v>
                </c:pt>
                <c:pt idx="2">
                  <c:v>High</c:v>
                </c:pt>
                <c:pt idx="3">
                  <c:v>Critical</c:v>
                </c:pt>
                <c:pt idx="4">
                  <c:v>N/A</c:v>
                </c:pt>
              </c:strCache>
            </c:strRef>
          </c:cat>
          <c:val>
            <c:numRef>
              <c:f>Pivot_tables!$BN$6:$BN$10</c:f>
              <c:numCache>
                <c:formatCode>"$"#,##0_);\("$"#,##0\)</c:formatCode>
                <c:ptCount val="5"/>
                <c:pt idx="0">
                  <c:v>34078.892534799998</c:v>
                </c:pt>
                <c:pt idx="1">
                  <c:v>42579.657761069997</c:v>
                </c:pt>
                <c:pt idx="2">
                  <c:v>35793.009311599999</c:v>
                </c:pt>
                <c:pt idx="3">
                  <c:v>35087.324923680004</c:v>
                </c:pt>
                <c:pt idx="4">
                  <c:v>67484.515206000011</c:v>
                </c:pt>
              </c:numCache>
            </c:numRef>
          </c:val>
          <c:extLst>
            <c:ext xmlns:c16="http://schemas.microsoft.com/office/drawing/2014/chart" uri="{C3380CC4-5D6E-409C-BE32-E72D297353CC}">
              <c16:uniqueId val="{00000020-4D05-480C-893A-1E24C167139D}"/>
            </c:ext>
          </c:extLst>
        </c:ser>
        <c:ser>
          <c:idx val="3"/>
          <c:order val="3"/>
          <c:tx>
            <c:strRef>
              <c:f>Pivot_tables!$BO$5</c:f>
              <c:strCache>
                <c:ptCount val="1"/>
                <c:pt idx="0">
                  <c:v>Profit</c:v>
                </c:pt>
              </c:strCache>
            </c:strRef>
          </c:tx>
          <c:spPr>
            <a:ln>
              <a:noFill/>
            </a:ln>
          </c:spPr>
          <c:dPt>
            <c:idx val="0"/>
            <c:bubble3D val="0"/>
            <c:spPr>
              <a:noFill/>
              <a:ln w="19050">
                <a:noFill/>
              </a:ln>
              <a:effectLst/>
            </c:spPr>
            <c:extLst>
              <c:ext xmlns:c16="http://schemas.microsoft.com/office/drawing/2014/chart" uri="{C3380CC4-5D6E-409C-BE32-E72D297353CC}">
                <c16:uniqueId val="{00000022-4D05-480C-893A-1E24C167139D}"/>
              </c:ext>
            </c:extLst>
          </c:dPt>
          <c:dPt>
            <c:idx val="1"/>
            <c:bubble3D val="0"/>
            <c:spPr>
              <a:noFill/>
              <a:ln w="19050">
                <a:noFill/>
              </a:ln>
              <a:effectLst/>
            </c:spPr>
            <c:extLst>
              <c:ext xmlns:c16="http://schemas.microsoft.com/office/drawing/2014/chart" uri="{C3380CC4-5D6E-409C-BE32-E72D297353CC}">
                <c16:uniqueId val="{00000024-4D05-480C-893A-1E24C167139D}"/>
              </c:ext>
            </c:extLst>
          </c:dPt>
          <c:dPt>
            <c:idx val="2"/>
            <c:bubble3D val="0"/>
            <c:spPr>
              <a:noFill/>
              <a:ln w="19050">
                <a:noFill/>
              </a:ln>
              <a:effectLst/>
            </c:spPr>
            <c:extLst>
              <c:ext xmlns:c16="http://schemas.microsoft.com/office/drawing/2014/chart" uri="{C3380CC4-5D6E-409C-BE32-E72D297353CC}">
                <c16:uniqueId val="{00000026-4D05-480C-893A-1E24C167139D}"/>
              </c:ext>
            </c:extLst>
          </c:dPt>
          <c:dPt>
            <c:idx val="3"/>
            <c:bubble3D val="0"/>
            <c:spPr>
              <a:solidFill>
                <a:srgbClr val="D43260"/>
              </a:solidFill>
              <a:ln w="19050">
                <a:solidFill>
                  <a:srgbClr val="D43260"/>
                </a:solidFill>
              </a:ln>
              <a:effectLst/>
            </c:spPr>
            <c:extLst>
              <c:ext xmlns:c16="http://schemas.microsoft.com/office/drawing/2014/chart" uri="{C3380CC4-5D6E-409C-BE32-E72D297353CC}">
                <c16:uniqueId val="{00000028-4D05-480C-893A-1E24C167139D}"/>
              </c:ext>
            </c:extLst>
          </c:dPt>
          <c:dPt>
            <c:idx val="4"/>
            <c:bubble3D val="0"/>
            <c:spPr>
              <a:solidFill>
                <a:srgbClr val="194AFE"/>
              </a:solidFill>
              <a:ln w="19050">
                <a:solidFill>
                  <a:srgbClr val="194AFE"/>
                </a:solidFill>
              </a:ln>
              <a:effectLst/>
            </c:spPr>
            <c:extLst>
              <c:ext xmlns:c16="http://schemas.microsoft.com/office/drawing/2014/chart" uri="{C3380CC4-5D6E-409C-BE32-E72D297353CC}">
                <c16:uniqueId val="{0000002A-4D05-480C-893A-1E24C167139D}"/>
              </c:ext>
            </c:extLst>
          </c:dPt>
          <c:dLbls>
            <c:delete val="1"/>
          </c:dLbls>
          <c:cat>
            <c:strRef>
              <c:f>Pivot_tables!$BK$6:$BK$10</c:f>
              <c:strCache>
                <c:ptCount val="5"/>
                <c:pt idx="0">
                  <c:v>Low</c:v>
                </c:pt>
                <c:pt idx="1">
                  <c:v>Medium</c:v>
                </c:pt>
                <c:pt idx="2">
                  <c:v>High</c:v>
                </c:pt>
                <c:pt idx="3">
                  <c:v>Critical</c:v>
                </c:pt>
                <c:pt idx="4">
                  <c:v>N/A</c:v>
                </c:pt>
              </c:strCache>
            </c:strRef>
          </c:cat>
          <c:val>
            <c:numRef>
              <c:f>Pivot_tables!$BO$6:$BO$10</c:f>
              <c:numCache>
                <c:formatCode>"$"#,##0_);\("$"#,##0\)</c:formatCode>
                <c:ptCount val="5"/>
                <c:pt idx="0">
                  <c:v>34078.892534799998</c:v>
                </c:pt>
                <c:pt idx="1">
                  <c:v>42579.657761069997</c:v>
                </c:pt>
                <c:pt idx="2">
                  <c:v>35793.009311599999</c:v>
                </c:pt>
                <c:pt idx="3">
                  <c:v>35087.324923680004</c:v>
                </c:pt>
                <c:pt idx="4">
                  <c:v>67484.515206000011</c:v>
                </c:pt>
              </c:numCache>
            </c:numRef>
          </c:val>
          <c:extLst>
            <c:ext xmlns:c16="http://schemas.microsoft.com/office/drawing/2014/chart" uri="{C3380CC4-5D6E-409C-BE32-E72D297353CC}">
              <c16:uniqueId val="{0000002B-4D05-480C-893A-1E24C167139D}"/>
            </c:ext>
          </c:extLst>
        </c:ser>
        <c:ser>
          <c:idx val="4"/>
          <c:order val="4"/>
          <c:tx>
            <c:strRef>
              <c:f>Pivot_tables!$BP$5</c:f>
              <c:strCache>
                <c:ptCount val="1"/>
                <c:pt idx="0">
                  <c:v>Profit</c:v>
                </c:pt>
              </c:strCache>
            </c:strRef>
          </c:tx>
          <c:spPr>
            <a:ln>
              <a:noFill/>
            </a:ln>
          </c:spPr>
          <c:dPt>
            <c:idx val="0"/>
            <c:bubble3D val="0"/>
            <c:spPr>
              <a:noFill/>
              <a:ln w="19050">
                <a:noFill/>
              </a:ln>
              <a:effectLst/>
            </c:spPr>
            <c:extLst>
              <c:ext xmlns:c16="http://schemas.microsoft.com/office/drawing/2014/chart" uri="{C3380CC4-5D6E-409C-BE32-E72D297353CC}">
                <c16:uniqueId val="{0000002D-4D05-480C-893A-1E24C167139D}"/>
              </c:ext>
            </c:extLst>
          </c:dPt>
          <c:dPt>
            <c:idx val="1"/>
            <c:bubble3D val="0"/>
            <c:spPr>
              <a:noFill/>
              <a:ln w="19050">
                <a:noFill/>
              </a:ln>
              <a:effectLst/>
            </c:spPr>
            <c:extLst>
              <c:ext xmlns:c16="http://schemas.microsoft.com/office/drawing/2014/chart" uri="{C3380CC4-5D6E-409C-BE32-E72D297353CC}">
                <c16:uniqueId val="{0000002F-4D05-480C-893A-1E24C167139D}"/>
              </c:ext>
            </c:extLst>
          </c:dPt>
          <c:dPt>
            <c:idx val="2"/>
            <c:bubble3D val="0"/>
            <c:spPr>
              <a:noFill/>
              <a:ln w="19050">
                <a:noFill/>
              </a:ln>
              <a:effectLst/>
            </c:spPr>
            <c:extLst>
              <c:ext xmlns:c16="http://schemas.microsoft.com/office/drawing/2014/chart" uri="{C3380CC4-5D6E-409C-BE32-E72D297353CC}">
                <c16:uniqueId val="{00000031-4D05-480C-893A-1E24C167139D}"/>
              </c:ext>
            </c:extLst>
          </c:dPt>
          <c:dPt>
            <c:idx val="3"/>
            <c:bubble3D val="0"/>
            <c:spPr>
              <a:noFill/>
              <a:ln w="19050">
                <a:noFill/>
              </a:ln>
              <a:effectLst/>
            </c:spPr>
            <c:extLst>
              <c:ext xmlns:c16="http://schemas.microsoft.com/office/drawing/2014/chart" uri="{C3380CC4-5D6E-409C-BE32-E72D297353CC}">
                <c16:uniqueId val="{00000033-4D05-480C-893A-1E24C167139D}"/>
              </c:ext>
            </c:extLst>
          </c:dPt>
          <c:dPt>
            <c:idx val="4"/>
            <c:bubble3D val="0"/>
            <c:spPr>
              <a:solidFill>
                <a:srgbClr val="194AFE"/>
              </a:solidFill>
              <a:ln w="19050">
                <a:solidFill>
                  <a:srgbClr val="194AFE"/>
                </a:solidFill>
              </a:ln>
              <a:effectLst/>
            </c:spPr>
            <c:extLst>
              <c:ext xmlns:c16="http://schemas.microsoft.com/office/drawing/2014/chart" uri="{C3380CC4-5D6E-409C-BE32-E72D297353CC}">
                <c16:uniqueId val="{00000035-4D05-480C-893A-1E24C167139D}"/>
              </c:ext>
            </c:extLst>
          </c:dPt>
          <c:dLbls>
            <c:delete val="1"/>
          </c:dLbls>
          <c:cat>
            <c:strRef>
              <c:f>Pivot_tables!$BK$6:$BK$10</c:f>
              <c:strCache>
                <c:ptCount val="5"/>
                <c:pt idx="0">
                  <c:v>Low</c:v>
                </c:pt>
                <c:pt idx="1">
                  <c:v>Medium</c:v>
                </c:pt>
                <c:pt idx="2">
                  <c:v>High</c:v>
                </c:pt>
                <c:pt idx="3">
                  <c:v>Critical</c:v>
                </c:pt>
                <c:pt idx="4">
                  <c:v>N/A</c:v>
                </c:pt>
              </c:strCache>
            </c:strRef>
          </c:cat>
          <c:val>
            <c:numRef>
              <c:f>Pivot_tables!$BP$6:$BP$10</c:f>
              <c:numCache>
                <c:formatCode>"$"#,##0_);\("$"#,##0\)</c:formatCode>
                <c:ptCount val="5"/>
                <c:pt idx="0">
                  <c:v>34078.892534799998</c:v>
                </c:pt>
                <c:pt idx="1">
                  <c:v>42579.657761069997</c:v>
                </c:pt>
                <c:pt idx="2">
                  <c:v>35793.009311599999</c:v>
                </c:pt>
                <c:pt idx="3">
                  <c:v>35087.324923680004</c:v>
                </c:pt>
                <c:pt idx="4">
                  <c:v>67484.515206000011</c:v>
                </c:pt>
              </c:numCache>
            </c:numRef>
          </c:val>
          <c:extLst>
            <c:ext xmlns:c16="http://schemas.microsoft.com/office/drawing/2014/chart" uri="{C3380CC4-5D6E-409C-BE32-E72D297353CC}">
              <c16:uniqueId val="{00000036-4D05-480C-893A-1E24C167139D}"/>
            </c:ext>
          </c:extLst>
        </c:ser>
        <c:dLbls>
          <c:showLegendKey val="0"/>
          <c:showVal val="1"/>
          <c:showCatName val="0"/>
          <c:showSerName val="0"/>
          <c:showPercent val="0"/>
          <c:showBubbleSize val="0"/>
          <c:showLeaderLines val="1"/>
        </c:dLbls>
        <c:firstSliceAng val="18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3640103073676155E-3"/>
          <c:y val="3.5684222014849875E-3"/>
          <c:w val="0.99563598969263234"/>
          <c:h val="0.81918684989778878"/>
        </c:manualLayout>
      </c:layout>
      <c:bar3DChart>
        <c:barDir val="col"/>
        <c:grouping val="stacked"/>
        <c:varyColors val="0"/>
        <c:ser>
          <c:idx val="0"/>
          <c:order val="0"/>
          <c:tx>
            <c:strRef>
              <c:f>Pivot_tables!$AF$33</c:f>
              <c:strCache>
                <c:ptCount val="1"/>
                <c:pt idx="0">
                  <c:v> Cumulative cost </c:v>
                </c:pt>
              </c:strCache>
            </c:strRef>
          </c:tx>
          <c:spPr>
            <a:solidFill>
              <a:srgbClr val="D43260"/>
            </a:solidFill>
            <a:ln>
              <a:noFill/>
            </a:ln>
            <a:effectLst/>
            <a:sp3d/>
          </c:spPr>
          <c:invertIfNegative val="0"/>
          <c:cat>
            <c:strRef>
              <c:f>Pivot_tables!$AE$34:$AE$36</c:f>
              <c:strCache>
                <c:ptCount val="3"/>
                <c:pt idx="0">
                  <c:v> Furniture </c:v>
                </c:pt>
                <c:pt idx="1">
                  <c:v> Office Supplies </c:v>
                </c:pt>
                <c:pt idx="2">
                  <c:v> Technology </c:v>
                </c:pt>
              </c:strCache>
            </c:strRef>
          </c:cat>
          <c:val>
            <c:numRef>
              <c:f>Pivot_tables!$AF$34:$AF$36</c:f>
              <c:numCache>
                <c:formatCode>_-* #,##0_-;\-* #,##0_-;_-* "-"??_-;_-@_-</c:formatCode>
                <c:ptCount val="3"/>
                <c:pt idx="0">
                  <c:v>131268.74200539998</c:v>
                </c:pt>
                <c:pt idx="1">
                  <c:v>80084.997369999983</c:v>
                </c:pt>
                <c:pt idx="2">
                  <c:v>123747.83775599999</c:v>
                </c:pt>
              </c:numCache>
            </c:numRef>
          </c:val>
          <c:extLst>
            <c:ext xmlns:c16="http://schemas.microsoft.com/office/drawing/2014/chart" uri="{C3380CC4-5D6E-409C-BE32-E72D297353CC}">
              <c16:uniqueId val="{00000000-3516-4675-9E5E-296433C3E7CA}"/>
            </c:ext>
          </c:extLst>
        </c:ser>
        <c:ser>
          <c:idx val="1"/>
          <c:order val="1"/>
          <c:tx>
            <c:strRef>
              <c:f>Pivot_tables!$AG$33</c:f>
              <c:strCache>
                <c:ptCount val="1"/>
                <c:pt idx="0">
                  <c:v> Shipping Cost </c:v>
                </c:pt>
              </c:strCache>
            </c:strRef>
          </c:tx>
          <c:spPr>
            <a:solidFill>
              <a:srgbClr val="B1F5F1"/>
            </a:solidFill>
            <a:ln>
              <a:noFill/>
            </a:ln>
            <a:effectLst/>
            <a:sp3d/>
          </c:spPr>
          <c:invertIfNegative val="0"/>
          <c:cat>
            <c:strRef>
              <c:f>Pivot_tables!$AE$34:$AE$36</c:f>
              <c:strCache>
                <c:ptCount val="3"/>
                <c:pt idx="0">
                  <c:v> Furniture </c:v>
                </c:pt>
                <c:pt idx="1">
                  <c:v> Office Supplies </c:v>
                </c:pt>
                <c:pt idx="2">
                  <c:v> Technology </c:v>
                </c:pt>
              </c:strCache>
            </c:strRef>
          </c:cat>
          <c:val>
            <c:numRef>
              <c:f>Pivot_tables!$AG$34:$AG$36</c:f>
              <c:numCache>
                <c:formatCode>_-* #,##0_-;\-* #,##0_-;_-* "-"??_-;_-@_-</c:formatCode>
                <c:ptCount val="3"/>
                <c:pt idx="0">
                  <c:v>3295</c:v>
                </c:pt>
                <c:pt idx="1">
                  <c:v>2496</c:v>
                </c:pt>
                <c:pt idx="2">
                  <c:v>1229.6600000000001</c:v>
                </c:pt>
              </c:numCache>
            </c:numRef>
          </c:val>
          <c:extLst>
            <c:ext xmlns:c16="http://schemas.microsoft.com/office/drawing/2014/chart" uri="{C3380CC4-5D6E-409C-BE32-E72D297353CC}">
              <c16:uniqueId val="{00000001-3516-4675-9E5E-296433C3E7CA}"/>
            </c:ext>
          </c:extLst>
        </c:ser>
        <c:ser>
          <c:idx val="2"/>
          <c:order val="2"/>
          <c:tx>
            <c:strRef>
              <c:f>Pivot_tables!$AH$33</c:f>
              <c:strCache>
                <c:ptCount val="1"/>
                <c:pt idx="0">
                  <c:v> Discount </c:v>
                </c:pt>
              </c:strCache>
            </c:strRef>
          </c:tx>
          <c:spPr>
            <a:solidFill>
              <a:srgbClr val="7030A0"/>
            </a:solidFill>
            <a:ln>
              <a:noFill/>
            </a:ln>
            <a:effectLst/>
            <a:sp3d/>
          </c:spPr>
          <c:invertIfNegative val="0"/>
          <c:cat>
            <c:strRef>
              <c:f>Pivot_tables!$AE$34:$AE$36</c:f>
              <c:strCache>
                <c:ptCount val="3"/>
                <c:pt idx="0">
                  <c:v> Furniture </c:v>
                </c:pt>
                <c:pt idx="1">
                  <c:v> Office Supplies </c:v>
                </c:pt>
                <c:pt idx="2">
                  <c:v> Technology </c:v>
                </c:pt>
              </c:strCache>
            </c:strRef>
          </c:cat>
          <c:val>
            <c:numRef>
              <c:f>Pivot_tables!$AH$34:$AH$36</c:f>
              <c:numCache>
                <c:formatCode>_-* #,##0_-;\-* #,##0_-;_-* "-"??_-;_-@_-</c:formatCode>
                <c:ptCount val="3"/>
                <c:pt idx="0">
                  <c:v>5.8499999999999943</c:v>
                </c:pt>
                <c:pt idx="1">
                  <c:v>15.109999999999983</c:v>
                </c:pt>
                <c:pt idx="2">
                  <c:v>6.4799999999999933</c:v>
                </c:pt>
              </c:numCache>
            </c:numRef>
          </c:val>
          <c:extLst>
            <c:ext xmlns:c16="http://schemas.microsoft.com/office/drawing/2014/chart" uri="{C3380CC4-5D6E-409C-BE32-E72D297353CC}">
              <c16:uniqueId val="{00000002-3516-4675-9E5E-296433C3E7CA}"/>
            </c:ext>
          </c:extLst>
        </c:ser>
        <c:ser>
          <c:idx val="3"/>
          <c:order val="3"/>
          <c:tx>
            <c:strRef>
              <c:f>Pivot_tables!$AI$33</c:f>
              <c:strCache>
                <c:ptCount val="1"/>
                <c:pt idx="0">
                  <c:v> Profit </c:v>
                </c:pt>
              </c:strCache>
            </c:strRef>
          </c:tx>
          <c:spPr>
            <a:solidFill>
              <a:srgbClr val="194AFE"/>
            </a:solidFill>
            <a:ln>
              <a:noFill/>
            </a:ln>
            <a:effectLst/>
            <a:sp3d/>
          </c:spPr>
          <c:invertIfNegative val="0"/>
          <c:cat>
            <c:strRef>
              <c:f>Pivot_tables!$AE$34:$AE$36</c:f>
              <c:strCache>
                <c:ptCount val="3"/>
                <c:pt idx="0">
                  <c:v> Furniture </c:v>
                </c:pt>
                <c:pt idx="1">
                  <c:v> Office Supplies </c:v>
                </c:pt>
                <c:pt idx="2">
                  <c:v> Technology </c:v>
                </c:pt>
              </c:strCache>
            </c:strRef>
          </c:cat>
          <c:val>
            <c:numRef>
              <c:f>Pivot_tables!$AI$34:$AI$36</c:f>
              <c:numCache>
                <c:formatCode>_-* #,##0_-;\-* #,##0_-;_-* "-"??_-;_-@_-</c:formatCode>
                <c:ptCount val="3"/>
                <c:pt idx="0">
                  <c:v>6301.754294600003</c:v>
                </c:pt>
                <c:pt idx="1">
                  <c:v>28333.074329999999</c:v>
                </c:pt>
                <c:pt idx="2">
                  <c:v>44010.946644000011</c:v>
                </c:pt>
              </c:numCache>
            </c:numRef>
          </c:val>
          <c:extLst>
            <c:ext xmlns:c16="http://schemas.microsoft.com/office/drawing/2014/chart" uri="{C3380CC4-5D6E-409C-BE32-E72D297353CC}">
              <c16:uniqueId val="{00000003-3516-4675-9E5E-296433C3E7CA}"/>
            </c:ext>
          </c:extLst>
        </c:ser>
        <c:dLbls>
          <c:showLegendKey val="0"/>
          <c:showVal val="0"/>
          <c:showCatName val="0"/>
          <c:showSerName val="0"/>
          <c:showPercent val="0"/>
          <c:showBubbleSize val="0"/>
        </c:dLbls>
        <c:gapWidth val="200"/>
        <c:shape val="box"/>
        <c:axId val="707319695"/>
        <c:axId val="1016158815"/>
        <c:axId val="0"/>
      </c:bar3DChart>
      <c:catAx>
        <c:axId val="70731969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16158815"/>
        <c:crosses val="autoZero"/>
        <c:auto val="1"/>
        <c:lblAlgn val="ctr"/>
        <c:lblOffset val="0"/>
        <c:noMultiLvlLbl val="0"/>
      </c:catAx>
      <c:valAx>
        <c:axId val="1016158815"/>
        <c:scaling>
          <c:orientation val="minMax"/>
        </c:scaling>
        <c:delete val="1"/>
        <c:axPos val="l"/>
        <c:numFmt formatCode="_-* #,##0_-;\-* #,##0_-;_-* &quot;-&quot;??_-;_-@_-" sourceLinked="1"/>
        <c:majorTickMark val="none"/>
        <c:minorTickMark val="none"/>
        <c:tickLblPos val="nextTo"/>
        <c:crossAx val="7073196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plotSurface>
          <cx:spPr>
            <a:noFill/>
            <a:ln>
              <a:noFill/>
            </a:ln>
            <a:effectLst>
              <a:outerShdw blurRad="50800" dist="38100" dir="2700000" algn="tl" rotWithShape="0">
                <a:srgbClr val="CC00CC">
                  <a:alpha val="40000"/>
                </a:srgbClr>
              </a:outerShdw>
            </a:effectLst>
          </cx:spPr>
        </cx:plotSurface>
        <cx:series layoutId="regionMap" uniqueId="{E6AA392E-773C-4B40-BF30-7D041BDE2445}">
          <cx:tx>
            <cx:txData>
              <cx:f>_xlchart.v5.2</cx:f>
              <cx:v>Total Sales</cx:v>
            </cx:txData>
          </cx:tx>
          <cx:spPr>
            <a:effectLst>
              <a:outerShdw blurRad="50800" dist="38100" dir="2700000" algn="tl" rotWithShape="0">
                <a:prstClr val="black">
                  <a:alpha val="40000"/>
                </a:prstClr>
              </a:outerShdw>
            </a:effectLst>
          </cx:spPr>
          <cx:dataLabels/>
          <cx:dataId val="0"/>
          <cx:layoutPr>
            <cx:regionLabelLayout val="bestFitOnly"/>
            <cx:geography cultureLanguage="en-US" cultureRegion="CA" attribution="Powered by Bing">
              <cx:geoCache provider="{E9337A44-BEBE-4D9F-B70C-5C5E7DAFC167}">
                <cx:binary>1H1Zc5xIFu5fcfj5oiY3kpyYnogGalMt2izL4xeiWpIh2fft198DVVKV6HJbE60bN6raQZPLgYSP
k2fN1L8fm389Bs/b7FMTBlH+r8fm989uUST/+u23/NF9Drf5RSgfsziPfxQXj3H4W/zjh3x8/u0p
29Yycn7DKqK/PbrbrHhuPv/n33A15zlexY/bQsbRTfmctbfPeRkU+d+0nWz6tH0KZWTJvMjkY4F+
//xHsP1zG24/f3qOClm0X9rk+ffPbzp9/vTb+FJ/ue2nAEZWlE9AS/AF1zSKNVWow498/hTEkbNv
VnTtQqcqIVjFYvd7ufdmGwL9OwY0DGf79JQ95zk80PD/I8I3o4f61edPj3EZFf1Lc+D9/f75PpLF
89Onu2JbPOefP8k8NncdzLh/hPu74Zl/e/va//PvUQW8hVHNETLjV/arpr8Ac/0cRXkbVNtIfiA6
VL3QhaYJfYeNqqK36HB+oRNdF5yrO3D0t+i8d1SnIXpLPcLp+o+zxMl6Drb1Nnt+eU8fwEHiQlV1
rmHCXjnkmIM4u6CarlGC9F07e7n3joPeM6LT+BwoR9hYk7PEZvYcZ85Hsg9MbhrVsa7z/eTF37KP
Ti4opYRTdc9gMPntJtYdNO8Y0GlkXglHwMzOk2n+yPxtlG9h7v0wsUNhYoNpjaA908DEdcw0Al9Q
IhBjbI/MiGneM6LT0BwoR9j8cXuWTLOJs8L9ZG39uPhIwcOBMzSi6oicnNSQqsKsJgjG6LX9mHPe
O6rTGL2lHuG0sc4Spz8y2cXRB0JE6AXuAdAR3UEwmtwQQheg2TGhMW1QH9AL++41t18P6DQ6r08y
AuaP72cJjLkN5I84+1C9jfALzCgobmivVcO7P57eEBIXGuKYC3UP3lts3jem0/Ac044QMv84T4Ti
IM62T/HLO/oAnU2/AOnDmErxTrMe46OyC0a5TrSRRmC+Yyg/geWVcgzK1ZmCEkXPj4V8LIuPw4Wi
C8YZYoSwk7hwsFYJKHQIj/QBM37XaH4GzRHxGJ0vZ4nOXVyCVmBusziQHyp0yIVQiaAYgQbQ/4A/
jic2vTdYQZ0G4bMTStrLx7ETOu8f12moxvQjtO7Ms0TrxcHzKf7xCWaYMvzzQ60gmOxUyjlnp60g
cCKoSOutpL0uPuKt/3V0p5E7fZURftZ54vfluflQ4wiBbk10Cly0Y7KRdBLigoBHDrw+e0BHXp9f
Duc0QnuyESRfvp0lS01BZZBP25fZ55+rDFi/YIIxhIkYTXlgquqcUKyTHVojleEdIzmNxyvhCJHp
eXpIF09b9wNVOEoviC5Ujule0ow8CAjRC40JwkHHe/kKdjLolwM5DceebATG4jyt0c1z/Wm+DZPc
lR/pC6XkQtOZhsSL/jZSD3iv34GrVLxEG0bQvHtYpyEakY+g2szPciZbBKDCxTJ/+Yj/+VQGUQUE
bEPB/tkpaSPW0cUForpGmH7waB87d94zotMAHShH2CzOc067dSEC9WmRB9vo6QPxAccN1rFg+4CB
GOHTcxHSdbV37gy/kcR576hOY/SWeoTT7eI8eSh6ktsPtYPEBfh2BPhvdgiIsVKgXYCVChCJvSFL
Xz6PvQz69YBOo7N4IRwBs9icJzBx/YE6GsUXKqca45S+qmLH1qkgFz0cGlL37SPrdPGL0fwEkoFq
jMcfZ4nH8qPjPDooxxTsFIhQD7+xKaODFqcCo7wET8GJfSxqfj2e05i80I1QWd6dJyrwSspHv315
N/9cBQAHNcOcYIhMj6wZBhMXgAXRn93MNpq4lu8Yyk8geaUcg/LfswRlF6T6f+BiA9czAbuFkb1s
GcV1OGhnOqOIA9cMv7EOPQQE3zOu0ziNn2uE1sY8T7TA4PlvnPkfx0IgbAQRGNI6xgAxUN9Uleps
b5mO5rTeSvnVUH4CzSvlGJTzZKFVXMr8gxUz9ULo4DbTGSjFb2Q/As800iFeumer0cT2rrGchuWI
dITL6jy1gPVWRs8fyCnsgkAwlLIjIX8MjSYuMNIQBd3tpMz55XBOw7InG0Gynpzl/LXeZu3HWpkE
wgK9DsBGpgvXLriKILVA7NEYWZfvGcnPAHl5hjEm1plikufbR7fMn4si/0B2wReQGkAY0yAQc8wn
YPdrKhgwEB3d8QnobsfK8nr7zvH8DJ435GOMznQqk4+udLbRy5v656ozOJ51Trng+mnHs84gRq2C
a6B3EPS/kZG5fseIfgLQK+UYm8VZ8k+vCK2fG/n4gWEByIqC4DThiO6SnsYBaqRqF0jViYAY9cs3
sXPJvG80p5E5ph1hs1mfJTZrCTkR+cfmFGqgBggEeZ17w2XsC6AXSEAQDXLa3iLzrrGcBuaIdITL
+jwdZvfF1n15O/98LiMQScaEAx57iTIyZYYcQg5KM9ZGs9ivxnEajh3VCIn7L2fKIXku4V+SyA8E
BBKcMKwmeI28jJQzCM1AOieGmOY+cW0Ey7of0a8HdRqdN8QjkNZ3ZwnSF1iWA8uOnj/QmiEMVkRB
4gW4znbyfexB66c5AumfP4lxvmtIpwE6Ih3B8+U8Z7P+i4vL7CMZCBzKGodVA3SfOwOy5FiH7hcW
cA55nS/BtRMM9KsRnQbn8CwjbNbnmeC5jqPiQ2NmFPLMwHRBAtbbDL+RhwapMLlRyLDRyMg3846h
/ASTl2cYQ3KeIudhC/kakVPEH2nOwEoPhAjjOlgs/W+sAmD1AkxR+spRI7X5fWM6Dc8x7Qihh/M0
NzfPf2bb3N9+nEbQp0RjDhYN3xs04wlNXIC/s88EPL1S6j0jOo3OgXKEzeY8XWib52r7kRmBvfIM
jAEmzT7xb2TPIKSBsgaxHMgaHOa7Eef8ejw/w2X3HGNUvp6Fhvb4t2u7d+6snWHzpuf/uqxdQKQf
JjWVgXx/I/9htS7SQT17CQOMvJujteY/H89pbEbkbx7hPBay966My+csf24/cA6DhDPwuAhGTitl
HFI1weSBbRR2IkiM5P/7xnQakWPaMcdcngXHvBk17AFx5coPdJhBMiCFdbbgmdlnaIy0Mh0sUhXy
OfWfrPT81WhOo7KjevNk8GDzs8TjoY1hkw7nA9kFIsvgNsbaTxZHg7gHlQxRCrGAHcO83HvnyXzH
gE6j8ko4Aubhv2cJzJUfQMr5h+6WArkZOoHcmH1W33g/DgHAgHNZVflemQb3zXGE5j0jOg3NgXKE
zdXyPLHJnp0PNWNgYRrRYZ8Nss9bgjd/LPfRYMbAihoy0sKufjmQnwCypxvDcXuWcNwN6wU/fBcB
CMYQCOxDzv9unhrblrCLACawBBppI4n/3vGcxuYt9QihO+ssEfr6nIXgzXiZT/657x/imCosCYT/
RhIfFtlqIHyEBlGy4Qdh6ONJ7B0jOQ3LK+EIka9fzhMRCbvVfPS2AeD+gtAkLKE95SHj+oUmYPkM
RDh37aO57Os7RvQTaF4px9j8cZbYPDznxaf3vI7/cbc0AIBi8JUBSsNvNKHB8mcNXDVg6+wBGlmX
7x7WaZRG5COoHs7DAfBm1GDOPMj8MY5y+ZE+TbAnYe5iBHa12/3eKgMQRYPcZ/DLiNNLNt81pJ9A
dHiaNw8Kz7n4/8NJP9/07nVfQGtbbCfDhoJH+979fevw9LDL4Yh0LyhOSqedDFk8/f4ZI4rAjfm6
UWF/kTci5ihs/xeq521e/P5ZAQypTiBNmlFBQH9QwdFTA9dDE2jhuF8bCtog+IAQxEs/f4r6rOjf
P1Pw2ekUHEOUwULenpM/f8p73QeaYDMwAYZu786D8Ctc+XUrx+s4aEFbfX0j+/KnqAyvYxkV+e+f
4TafPyW7fv0jwtI6BHF1DG51SKVDKszY0P64vQVLEbqj/0NcX4QFjdRlpCqxm5ZmwquMLGNaUTJp
c72wl1pSkGe7cTvPSnQe6MTI7NLlX1IPh84PcArX7El1tVi5p7aW6l/rJCvyH05Lg3jbcVIpT5Wn
25nhdXl22ZEu74wmqaRvpLquodSIG654VpxoQX6XMd5iS2V5/lXiqPInXp645bxJi9Sfu06G4qnQ
g8p+ZG7ZOGagYQcvE7cKrnxFJ4ll14rLp1WsFKFB1bJxV6UQabxMIymRoepum1w5ZWqTmRaAq2eG
y8puDXgSR1pqGUTfVV1XFKPgjq9ZWcC02ISdiwQ10sihUp0FSoGecdv4uZnnStuYjeuEieGmTaGZ
lU3L3NRkmWurNij9yr0qI4obZVIXgchzuJvXqvnCdVgUGqEXMIm23M18Z5FqsecZah6o3Ehr3/cW
tRvW2cx26S2ttcjwSJfGRhxzVJikxYkyzWLb/xPndUkMhYrAXRdOFcrQCLiNszksnQjCWdi5TWOA
f1jY/41CiMhPVTvvEiNnJCRmK1F7KeqGeFYlQqYaVOOtuC47l9f3pNZTcgcdRfKkuY1774g6eFS7
pstnuZ/mvuVlWSKnBYOMWrNlpPiuuX5pT4io7U0oitjE2CZfIsRcUyIWOZPU4500y0iNdRNuiy99
iulNpAWkNZCaxqmZoDjyzTy1+X3JE7ueRlVSNDeixAEyXcXzPAvjVkWXWQaP6hgl8f3SQjmmyYR2
hZZcd03O5ERqLY6MLM0TzWoJLlPDzr24nbql2+WtIZUquhZBqug/GK9Jbiiiq/3EaApfREYYi7Ax
uMy4ExqVdKSyDB2NtFYI+5M6Jk2STk+sSKt4YZYir7lRYU71mafXKTOSIFDYxFbz0Nk4SdniuSfz
EE9Bl83VTZJU6M6jCfZmtc/qdA3bsTrOWmmchn+NmCLwvE2Frl/aMKMQapaOVnb+RKoJoFIbpZ/X
G60umwluU2+i4Upe+p2jfEto2N5VnJBblOXORLElM3Of1tcqb50VcIBnJgVjVyhRQxeeM5BPAcX+
FyXL61kdYXfGcC3/TCvNmTUKZstQ1ZN5nFN7IvQwmuGkKSZcgdfc6VqcGJ0aZRM3KMiSZihdSydV
zS6KyJXid4olpNJ8CTINz2qpx8uQp3zVuKo/E3YdWg7i2qWd0nCRMae+01LHtrKCtWboIW/ulAQv
VNthX9U2tV3DFZJt8o4807But2UeZBuqVPQmLmv7pq46bEYIRTdJVDnwPnLXrN0qv9Fjp/yzClCy
KFVJ7lxfzaXhl9xd60EDHYNUm+VNjb6FIPPnJPX8hdYCqwSl60+JkPHc170wN0I9sue5dPy5IrJ2
kimas3JiW+pGGiPvNoAZ8irrvOh71FBvkpbCuda0jM/KzLMnnPFiCrq5PunaJpvnGc7ntEyiG0Fg
dpG8yNYEPsVZpeTdlHY+u66orWyxbBu4VJx8rWRSXOulV06zSGmnAfeqq85zgoXmqQHMDVphMibp
tcoK7BrMpeHG15XIcj1P/RGqXnSXlWG+QY3uCqNPbdeMUg3xguad8qAmXb4uKh7kZt22WmWorp9c
uyTgN6Kyw2nbNo6FScgth4hqElaJmHgxpp2hVCSfELUqDOwBm5eoaG47LS2nmk2QqdV2qxpFm7Rz
28G6iYNazPxQJxM9Z4qBwpR4hiw5N2vWRY8lwh58ISpMt2rp3lVxpm2yhuWbOHXjiQ34zLFM2MIO
/WaBk0KZUt9TpolLyGUqUTP3g5pZeoibteLhAKRVG830wimBVnArshl/zGqqTPwulSuVeO00zBJl
ArnNyazWY80iUqQmbJ2abfSswFbdJu69nQft2i31dgIpTt407ZpmVniKNxFxSC6ZHhamFwKPaVTD
VgCsNCtdytdB2Opf9bz0Zo3usWXhNum68Ct1hru6ubFDNdvAO+AwJUeeN/PrOJ7B1mzS8hKkzeu2
wxNh63jWZqkwYtwlUzX0pBVl1J0qDooWKY5bC2l2seFtUhosaMtL1w9tww1YPS1g3pw0DieWGldo
3mmVvS6RU01bwrEJAkGfNcDRU+p09ixNkti0qeqvizbDT4FTZxvm5SooAKw2Ij0OZ7rqSjPxPWop
YZebul43C8WXdOJ1pWeWHkknhJeAeNtWC1ep2TwKy2gKu8KglaJydRGWnnjgPNTu/UzHV4rNSwsE
Jp/VwgumYVHQS1vxfQvYGybRorUnQQHSImFuO00p0X+4VHWWSKr+VOmU7FbXW81QWYkmXp1TC1Uo
tZywI5bf6Y4ZtppmhKHwLsuuyyyvKusrXQmSiVKG1QbBzDHrbM+fBFyzza6pnJlHSTCJJI8modqV
U6a4nmPERDZz6ZDKBCXJu6zyJF8nIpBWiEhpuVIGViNsYpG4g8+hrDLf6IK6WzqxFvQCV52kXDRW
qFXxhCGtW5RebU+0DjUmLwLP4sLLJg0Czghp1E69MMutJhLwDcssmxaeF5laVPtm4qnlzK3DXoDU
8bIFeWchR2VmkyD4SkPPsYLGJqbvdUIaNSu8iVepIEMzNVjJtixvFcVTTBZ20bxDsbYoWllMFdYA
7Glnm04G00xOhDLnImcTJuxmIiOtnHW+VgmDtn6+jbMktTy1orMobgg1gqasuamkiXtTaUGyCHTd
tQ1bz7OHpIy7Kam7ZEMDrw6mPqWYW55T13ia+3lurxtJC2Sp0gnKqYtgh455g5q6W+nwkgKzSTut
+NLQLnGnoF9mhUWzpF6DUA9ikyAXlDiNtkFrhCku5dQDd12KjSirWmYnRuaUSquuSq7TP52uoriL
wMEGqv3e7nijOz/GSZtJx93vhP5a/M+XOIR/A82hst9I/VCCPXX78EY+7tTf57XXYZPv3qZ4HcTI
Stntxv4TE+ZvG9/YN4/HoewXH9lg31D6d9bNKEh8ZOH0dHv7RtMuICJHYB0BFRjWGIJ5sTNvYG0I
GCqwAAHS3LDAQgNP9966gQUiBLYthOy2/RZ5e9MGwVIfCHlDdBVBKomAfSf/F9OGIBjVkWkDiY/g
/1AFeDowhz1gYT++t6ZNgLwsQqBlPackXrNIJfdNGmArcTsxQ5WG72uaYivsMjEbWlVdQbtWnEVk
1xoE/r71FO1wqaHzKVokttKJXcupknQ5HPQgSBPjUBZNmy55fxjVeU6XvHRU8pUWFc3coV22OhyC
RBwXJQ2VZezPRSrIg5ME4QpCEA6wKhTTNlInde3yGdZS+oB58eRHRX3lNJ2BXHcS88yb+l3dfmdJ
akYFEg+V00yZ8IrCNlTeUSuwO3vZgkK2HM60RNjLyHa0zDiUfRuRy6ryDL9VnQnlYFgVGYFpSq87
tGwCxNMp7OiClkPZ1corJbbVPxNfevPWo9HK69x4FfQH1264GagJNUcNQ3E4aDKLV37iK7kxnCZz
4dT+amgLGrC5HLfxJo7TVtOGdPrGy7Nq6iS2vnH7MxDojZEJFlsJmsU5yb8KNVWuiyD2Z77ixr2J
Gm+q/gAiCg48bQ2WRLVRFLVTJgYNtdBKUkfMSFFskFN0oO4r9A7BJjkTXNnONGsyduc6MIk5SX6f
hqFtqa7Kqlsw7/LLxjW5xvLbUg2KW3iOag4mqtzVDQ09rxhCes5iKGoddm7/jmi4UMCqOcnieAFW
XZwaTJbtstb948NQl2DeHDUMdRVN7veY62TTetWcojq4yoh072xbYbOcasjMqObeNXmLjKrOG8vD
dTFLfTAEEMLlZcLraq6jVG5Y42mTSO/iW9zoxGSK7z74AY+MuhHVMolS1YpxE5ggyb2vw1nwepbX
itzVHc7AVQaSMHC1CQoyaSIesZlwwRFhDuU6qtjMCYUzr1BbWlXnpoaS1+4db3yQf1mVzp1G1W+T
vMqMSgm9J7epJ0Xqht8Lu0WWSxW5BjXaXjnEp5YNysg0LikzwsR2kAEeOjDthB1PkwDHG7d1443K
s3jT9oeU18xoRJZMh4ZMb11wNvQtilswQ0+TR14269QOvmMvrEHDEaly2RejqKpcM+adcknK+Duw
JzzQazGLaHaTdwtEunDZsYKkBvUpWnpR4DtWAZttT0DiZrvKXbuXoz+1JHTnPAQ7OHYVzSwrxdNn
THkEp0iz9rlNNmEjTN3jQfe1CurAUFPp6JGhO0VgIJa0hsP89lp0rNkdImoBhTyucRrdiNOsm9kU
ujYBeEIobmcBd+RNbMfYwG0WPsramTde2TywPNvwKJ35/TwyHGDWs5esn0eGYjhMJocyAHhld5E0
eIa8VVGhcO1mlFsgbrpvjq2utBxrT67s7mjH5EOoi3qiMttbxV0WriUkkO66VlG38mgYPxyJwhOO
M4jIjqQLJAphKiCzrv/LFyBoeulz5DjjKJSlq7n6s6/JYCGF7wUGFjK5VBItvix8DOXhdFwedz0q
/+V0TJu3nW8qRUMnlHTqfZk6tylrm6tQSu8+rk07zEPTjntFuod5OIB2RWEOC/1VFBS7+hDHLukd
RWSj9xSNktmTod+B7JXiUM9w5xBjoPj1PdIoW6dRHd21OmjIeRXXNxJn2crWXM9iWpFsHb+6dBri
fA2FIhdUB5vTyfRkWy0LMLi3eRjnU/jTNfpcC/z8q6KEi9Dzjbor7hqni64VrWC3oVuunZaX31rG
XLB4NDpBvCi/RVUKHrYsd69CljvzzOHIRBkKDbDi3e+VnYO3QVWbVRXp7V3op9e8r8/1xp2oYWcv
Usmih65UzaG+FB6ftoWHZ2CFut9RcVW3Df9mt5Eyr8qMgqkJ1U5FF4WXSPCU6cWyAIMe3JGO/E6w
Z/3i69PBN/xGt4GdaiCAg8EGIqDhwKf49uvrPKLnmqrJJw/5xJcmiC5P9bvvVO00MOcx6AyJTW7L
TgdRHrff1UBopuIU+Qr8X+TWdZSHFhh2iurYs9rA9lcZUf1VmGT7s6FO0cNrP+qc+ah+6NuUWpMb
Q79Ds6el1xnJ4I2fuNxQp+beDFy6N5zReNKUZb1Si5CtwED0JmHcOd8KzbviPXMzm12n4FJ/GLpi
l+67gs/nqGvMA/4UK+TaS0L0oNltPEEJcq3MLRzqgmtU6ZIInCj1AlhyWnsUTLz+TA2o7xhO6e7P
3raO+ymNnDZ+DBRv+8V6ji5xVlJTj4S6Utru+CAStPCIli1G9Ye+vp2oq6GosXhVNKE9l37blsah
y4F2qGNxdIXrAPwePenQONSPyUKh3io+rq0m9qd2F7RfQHh6JtJR9k1rC2nIQq//dJJi3fmO6xie
XxhSKqU0QpkYBRPZLZJhZiosukde411hV8X3r6VOOOReyvQeV6F3hfpS3zaUMEiqQ8930XX9HV6v
crifA3cYSq9th/v1bYfS68hYFPCFn8jS8JAEf1/iULNhOLZCTp31UDecHQ7+0OAE1NRQs+93qrPb
2DYkB74GjE7IEQ6h2GNGBtuJENjFUPQJKLAUm48YuXGlgt2MKE/SU++KLtNvdO5569y3K3PgaFAJ
HsuI6Deg+sh1+lqvQ33+Wl91sjbjFLe9CvHYcCmO+g/1xOGPgb2VmbgVRdCVBjA3WtmvX+3urK9T
uzydeFKjhnBzFTr2H/XQPByGr204GzqCdKQGrJWBKw6Vu4vryI7MFJwhlhKDUpwG4F2PKhEt014p
DmOizlyVSGsoqpEe3BTI25XivgexncSQTRgvJfveFYGp2y1bBmmRX9W4TsxC+uFjCr4iz9aa7yGo
yZNDD4092ewyr3RtAR5x3yiQBkrWoZyQX2gDfbr2GMXe2MWYwR8g08Gb9nY6Bjd/zGEO0p8UJ0Dg
5GTgm5gMhmGMZkGJlS9DwffnNUuUL4nU4jvZbquQLyEw4azBZwxa4WsxsVUYMLiNdq1C8uxGOK2l
grxhXYpXhAbOPE9UvGL9GcSG9mdD3aE1Tmxldug3nNWyvkVRJ1c1F2CDQHwKHIdZfgVxhP1haIhL
0YBR+FI3dOlAyJpDQ8KChkGABeggbXd/maH30FH4rTD+nlO0v3IKBFHAPsSCQpov2PRv37HDKqmo
jUueWFQ4Zg7xvFX5etByCV/qUAavImiHiTMhhcwvD1UphFeMQFZk0klGN4r06cbPA4isufmatiXd
4P4w1EuPBhPRImqOGobWRgRg2WI5KUqhFIu4kzzYgMvVsyQOv6WNRAsWs/wqb8r8ivRnfX1MtXa+
6wsuVf+Klv6yohW+73AsrjmXy6xOyD3xW/26b0tV/agt70uU1l/iOGgnMVbSRV4n3nI48+p2fxa8
nh1aD2dOzb2lj/Ns9vfYIPJXBoDVwODs7hcs9Dvvj8LILnftAGKb2ZNfRF1OJzwR08xtlXWgp9eJ
0lSLobSr4sjujCwqW4gs6MIMduW+99Du+bK9rHm2aCNdWZPQZdWsFfHRZYaGoa+ENCSriOvCsJPM
M724U/7LcHQbJxlyDHCQtBDKBe8guW5wlH6v7QSCxkWk3qlu10yiWLHXaaJ6CyyjdKFrLln7IDQn
qPayOxJGntnmrvO9v6Lrc7W/IrUd/1YnbjajSkKMok7DR8iTmqVN3X6TVWhPOoXXlyjQ7OuhB8TB
6k0AoUujGD7X/vNsaKmu+PDN1mmbGIw4wbR8bTl0jHEZWMSpIjOCOOWNaGIjSBv3jqbCvcN1iS0p
9Hw61L32KJrUt1Bj36a9/cg6N5pi25ZW3heHOhnwcJoK0P34YHE6r+UILLWboeNQpwgIuXbIy2+G
hsO1wsFwjTA1UK4UlzR1J2mhR5vSacAe7s84DuNNwiK2RKkzGdUPPYbGnnLoeiBiPWXWU75edugx
1A/dsGx2lx2qRuRvL5uL+BcyW//Lx84wrDSEP/rVL3KHxMTRbF9oUvVaP7JhL8TIQhDNjI2yS8FC
V8FM15AeLodiymxksMzrrLgDmxBiptA86ujpLgTCdt2HTk3faeh56D5ccigOl9QTdhVAYG4qvaLd
SEoSbBR2UG6S5VDT1aTd+EM1Tzx76tQqBDZBqGPj0A5e29LgPPBnHZLtZte8vwoCL5IBEXY2iZ1J
kullAR6TMlshL05DazgdDrkS2BAanwwFtabZ6qjzoVvbt7iQTrhUgglsVACXG6p2p3YpQQBxYk8h
5hav8whiIgno7AYH39t6qBsODDwLDYTxoY9e81WittlCcyHCtqs7dHRFsb/CUCcSJmCFzd8pbbAZ
yFjeM/hbFWB+gf0PMxTsDTqSRaLzmIBY5J9+7k8K8F1ADkampxaKy8YaZMRBluiVaDb696FCRgl0
HWRKG5IU4lbdvv9QN1B2sms21SPMJP1Veym1u9bb6+9uKj3+g8NH4DdhfhP2h4rfuipNr3c6Q684
gAl+qHH00L9OvBUtsdkALjd+EbA7oVSOldOYzhxbsLuo07ylluLUGFohSsPuegJqwzwwVIHHFQjq
zgjyHJIDene5IiATA3gmng9FJ0xLC7I24rnat7r2S+vgeT+0Dp73oVXtO49oka9G93FYh4suaX7Y
LQ6vXdWNdgfFqZ66xEeLoWpoLCE3aOHh7EeI8ug6UHEHsTpM4Ekga7mcesSxIPEofPSq3Ddb3LKr
tFXLJc9ZMmG57XzPuWJmtku+dZ1tOU4az+ymdC0QLhCaTol7h/xmIpxCuRqqGtnEoMgmrlUzD2Rc
WUMEt4AYqKvIymQoFlcpFfoV788S5jhGH+taHBoaX9B1qnTm0O1QP1ykLKLqqAF8hZ1BVAWUDWnT
blllKXg3fNDmvOT/UvZlzZHiTNe/iAiBAMEttW8uu7z3DTHuBYlFEvvy69+Dqp+ubs98M/FdtIJM
peiyXUi5nJOoe2L5X5uRDW9jp+Sa2d648bUe3+JWnf026C8Z5/+xETLUcP5we5EVA46IgA2P1yEh
hPmUAwMCI6gIauMfQ4VMP4nkYMnIdwfvBD/tQXlFrFHzdH/QjoeHCXXER6Rt623Gin5hRDN0+smX
U3kxgiPwvUFvhHhtRG5L75Sk3oOR2lh2j52If2R52R6cztJ3yK261zzXOFor1ffWweSwrrmqPAj5
GuiwbHGzoyaLFQKpVKLoauV744QVITzlTOdkafwu9acYjmGxbJheo+zlnWiuHk1y3ww6K+6TrtJA
LSBwifEnWOWU+atrNSCt/Ju9ske66Oayt5sOdGmuCn8InsqxOvZznsboUXp192ETB09NoD/raU/g
DqWiWvQ2SeL/8uS8uSoGlxHAwbkm6DLwgdGcmqInOBCILvKbf25tQenUzVj76qMe+wDwibjaNUV7
lw5jNkaD5MMpUdVwMlcqk/XOr4DVoKT29sZ4Fos+TscopJec5OwUKlFsdRjyfWP1xYmlk79ishge
cbKEUSVE8RcrhkPW6hoOVh5ErMucb2wc00gS785BTvCEJL5Ehgt4DBfh8bKcgNOL/HyU95JlUcim
TVvETsQ7JxPfHbypeSlHXiym+ei5DT4X9TGYh5uukzoi9pBEQEjaqxDuXXNRnb+TcbUFqIS+0pSr
5ahdb+flFn1t/OAYO6G+tPnYX1LgI7EFZi+anRmbsiM+SnY0V2YIpmqso7RrDqrO7a3RVWGHCpGT
kM01bEbh6SnXdby5BdomNr+JJrA2cfcvW6MyFr6lV7HXNbtaJ+PhNkydHg9FXmyLonG2lCa6jG6z
V5lxFKz8eNp5ae+eJ79ftrIoT3SWjKrBqXMgzXAyEvaYn/pOEbEeU9IvbjpjghrOF7sd602PHG/1
kVIigX4c/B2VPsIvPSbvBZV0gdzleFBjIV/tKr3qVRyr3Qjs0gqZOf5OFSBbBd7icXYL6T/YbvPs
z3oPCZJ1Fg7xRlpMoog08qmP4nKwx0M39P6jpEo8N2ptEk9ubRvB5I9cHvB5xgj5bAZwzM0sEesy
DTn6Cvybt0DJnxjb+ZHC3sgckIcdBqr33Mz691LBQHupQznRj4LjeZnf83s0gxVMgBaNeRPddC5v
xi5ykAi/2sg8J0c8ed6vVcb2k2jsPTLKKC/wI7GyeeTWNO7TLkRidB5GjwABBE/kpvJFTaKxdOQW
sCL3asapn619UgcLo6N9Zi+9MizXJAyGhR7qYmcPZfhU+hZZ+VSjojuLenKrbdYEHGEHxHSUqAcq
3URGbNGD+NwR92SkjE/qKfGuC40GUJltnKbsPgnF15QU8lD4SDq37hBHpgQ2zgHIJx2Zddmfdjed
5aFyfa21fVrX0mA8eL0D1I6VvLdZkb3UXWetbIfjSBmT+ORPpFvmXkbeyZTsiN363/40zRhOH3c2
9cquW4ph6DdBxRkqLx2/C+ahJEjnEsIXXOT8zvfKgkRm1sh9MNwh2HN3VuXkJDK6sPP4XWVlgPfy
Ua5+W1daDtvkAXAAJef5mU7NlwmvfHhJfbhpboHkmBGBlnE3LONyZcTaycWKBn28uRrnMQcUr6sO
Rkys8o0BQ332gal+4YAzB9T73gJ3E80Nch9HrxQn7dtv5hQzKtTmDohvxZmpkB2TDMDkUaHOaQIy
u5hIBFzSsL5FarewzMw6JRJKn+I1KyZqN9gi2IdTjN2naccUqD53xwdSRKkToOQ+1gc6D8BZ1ygY
4mpSmcJuFwL79T+VuTJmxsKIZiANqw9xbNcbVN1FlCZtsHFiRldKCfHmKwU08DROp6xP4pdwPHPW
iTcSe/FhiqVcGNEJC3eJxifFzoiqkYdO2vElrdL3uPb/yuwRIEk/HvYhiL7PDc8PVd6NX4xezHrH
Jf+oZ8ip74VFgYify6GDHwLrO4umJmqqoWbiVja96dqp2eqJ7Kya0FNMuFrj8CMoekO8DeEvMSZe
EXmlKzZmNkHuY7xaV6WTniaxi3VJT2mYlqtkcOWKTjQ4DQjDI4C4ynckDqaF4H586JCZfNZtjIdd
lO9uZrkbIC+bdT0R/V467kngZH8MXB5el0+z2aflRWstjR6ukrvyRHoUZWD9Bn+gSqdRWjC6N/AH
eAL2uZ5s/B0AmhglsNfeBC8xaJPszNpnMcQsiBCVIzhAsXE5CKtagXdQ3Bsd3gaFCgZ7Dlv1h5n0
3jJACVXEtRU+uONlQnJPLexQWsvMoWLtUYBSSVjG82Q5Yx/izkcrrX87IWxvzhj87nSBRB8AIuUT
tDjy8QK3T7lNVliy7IB1/6JjtwOQsfYPpBOyiqiwMV6vfWDCDx3TZOFw312APPDLwExdh8rTm7QX
eYTiZ7npCplfE9F4yVYJXCzPVybkipWvN8qq85UJyABW/DmbdoV6CPGoGvyCwTOYq7ZunyvWit1N
f4NC9P+bNPYGE3EzC0n/DO7HRQGSP8lMPGfpsGJdMb05do5nShQWUlzV+Bb20xCFyPHeZWF/NbMm
1p0KINIXxuGBd0HWsWeLa33M6G6e0KeKxs34kzv1SbzdGeeUuFYxbjd1hu7Y0DQ4hwNQt3NdshD9
g21l/atbeeXKTfPmGFpZeLSSka+AuSzealrdoaU84OomQYxeWcklxlka2bopz64H37d3yB6n9vhG
a6/Y1oDgroxozBxAmY7a7mSk4rFEWnso7m/f5WQsnjs9kP31y0x9PWxpgRjXmJihmb/4oOQ8t70i
+5v+ZmvueX1oLE9d7weGhFjUE68WCFKzCzLR9hJ0inClQy+9mMEpxJepcMeDkeLeDu7j7M0IZg0H
+WRHm7AGWAZr/uk+g8zIf7hYYAP/7QECUw7tQQEyAr/+b1FLBkJOEXOlvzTcKfbIy/FT7obJaajH
YpEh+Fh6tSfrpVH+07SZaLT3XteuPphAswnPrZ90FyNkFWC6ThzwjRGtobVPJB4u1yA3y8j3UrHk
2FWAtY62JxbxMHj9Mg3bZElLrZZ9NfrbMm1fBUKflRIcAJ5pCs+e29sM+UP6Gkg33RudP6cL0tFC
LS4uN0aaRredsXbANvWdxg6oQM6IZBy6DwGfVuZDFQ4yDyTz+cpEy7Fq+QMK2QtfgWZhLCo3RwFH
5mpnxJL5wb6fEz1GtGkOolMm+k3uTvKo3WHZwFu6A6R+vJvKBnlGm5N+Baxts+BBK/2lmaot8iXU
gbsdw2RaJEnCt2qU3TIZBvvCWd0tJyR3Lkk2dsthvkpnnQLS/WQZt51ldogzUqCUnvN7jzsom8xD
PdeXjB5B372RJkFWqGOHh8DP2P1kde9m66hVMq07bRUbu+qTQ9uk/o7L+KHJh/pkIGuNI7MdD6sY
xUps6Wawivghy1h9MtLNwkDezKpf9zAWIhnGiOKJj277otnsHLsG/yr+9kltRNY5/IRUlRFuW6bZ
H81c3H67bZbmqnRPXR2ACDEfVjpIsyNFrW6PuBFgmNTrT8RWAMuAyoJ8Hxf4pXrpCwgIXVQ0pfqr
LBqwm9z4h998dHL0gYKw9UoBQfitbuwv0g/lO/htyUKi4LEHFwmsKouy0+ik7JSyhp2EV6udtLOH
IJN0WvJZZyZk8Ohz+IAdseYAfEjSheycZHNLzQ0yX6uwO+Fb8BAk3P366yJP0qsm/d/FPNXY7Gzx
Ljv4JA9OFq/bKeorpBZbz6oQikAZ2kBwLssm1mvZM/EgUs/bazKIiLcNyRe16yVLi2Th2jgH2H2q
h3Q851awKQFiO972P4bfxhr+XrG4bn1dfWl4ADKIDZhlL7L8CfZvNnh8H63wwf6yUewBtbPeM6Lp
qqxQQ2KgBRkL1dpi2VRVdiralt35sasXWcmcnRUoHLpB6B00ItdDNQ9GvA1VSTY9zfnupmr9rN9Q
ANOnF7uq2w0S3isk3/idg2rk/YBK9n1gpT5CqoltOuZacaSCtFvz0icLM+3OhmLgKSKPBIXMMt0E
Ig8j2tFwk+bVtLcLKY951tjr1q7w5XFdd1F7MXstmfd1mDz5XWc0YiFgfNGUjFurrIaPzAKWwmnr
eDkiKR4FoOg8KotHIfoxP+R1UD6qtBUr0mbZ2kxS0bBzbIVrM2lUIK+AVYmE5M6IFsn7g5d4CPD7
rNHI0+TPeUrz01RqudQe8LjrsibFShQoh/AcxRWCd3fATZsvjdIM2Tx9vSKOpyItUXy52RgR262/
CdzB2mcxd1g0uJXYc5G+DWoIz3FZhOduviodYS1IpseVmegzNWzjKpkZSxNbZLHAthIM45vjoHI2
sFfdOfEhGXS9kEjxlIWbTi+TJARfXCe9mCGxntu4jO8tJJ0vjSeHgz1WX27ztHKDVa8HZ2l0Dqn/
CtSQwlFgAJht8lGgUpLovxqv8JdoxaSOoifszrbHHiRQ4Cv/wUInxF732n2jCM8uCfKfFEHGs5FS
L/lNmufgaaDkPFsq21rdpHkOdJrse4Ek7iFXbXrfAjN3fd7KHEn/AZnQq7tugMey7g6xC8BerIu7
sbGtFy+oF1U1dU+xVXcXAvZSnivrxZXecCxpbkf9bJXqnm3SkuuVmc1TXi95rYEu1oAQmFs7Ks/v
7ab9LTjo+k5tqjj9+QnShBabJsnSqM4Cehwm59IWDKQSOYp81fko9dp9UF/MgHrp3aCVt2ri+uwZ
4EpVo0LGRYPk/YyHuSrz0VObzkEpNU5SHGG+hdjMyeS9ph3Yo5PVn1O+M5qb+mbKba+4NxN5YQ+z
KWFWuOk0uBFboYizQo68joAuzb+DlzvYKv7OikCgQtA0z14eArJvt9MRbB/7wKxoaBdwEq3lFcyT
i33oT90zSVi175LgN70LPu9JTeqjSAp6weGzIDkNn0ymRQXxIhS9vhgpjdmb3cXxNS/jIAm66NpS
7c1klzThEoW4fGNEQf1mkwoGcvZ8N3+sxj1zLBZ5QVyvO1ulSGmGqBXHlXckLiorFbP9qI8b/oFn
76Gzs+TZpTjAtFPQNRGqPI1zhQvR9KauLPGN5bSIsAW3jzEYrZuWjyOYT353yaegjYxJmiHbAhTI
l7y38BfpOMBrTtH9Rw7c/QdnkqE3FhowujgwQNv/M19HgetM7FDnXwRI6n5Xtvc2tepL1jjZXoP7
HAG11FyMTrPaxqaftxsjmomZzPZp1WDZ21GFjfXogWgpp0UwhEUWue3tAtiK4oGSxFkhGwVIAKNN
fTBDXHjlWnnkr8my6oNM2KAjhzn1Af1Wf5oY0ZUgXV5nbot/W2PuM4zV+39ErwbcoX4rGTjzmyzB
/gEOGu/j+9vvq65IDZ4a7d+dThbrIrHTiM7+hD0P5krzHMe6IM2lEizdGR34r+wExjQmUAeoN8ya
eaGzss1EcCrwRoBj1jGEQCpBMOrb509XnZM7V93w6+r/3653QLrzkmlj6pQeAMERd5FYM2GxERM3
zQ6mMGnEzB3S30QzezO+rW1UF0SfjG9iUlf4j3IrXpDBZsdAKXUOxmxbzOgOMyBfTxdFSOkGCVj+
mE+hPPuMLlyHlB9VNloRMMrNA3gazlZnCCJ54GaICyiN0qHzv2VxVOOv/c3PWisq8iHdaxtbsq9r
HQVDLt+SEVu+xQd7Y0Q5sCdLMfkgHRTjgM67w/v/ijeRq3rLrRZUAyOm0xTNFN9Tn3bjC5XfUxAM
3/pcygN1g/mbjVuDaSCWKiD13syOrrUIuawAGCUDwgl8AnMzUohkbT7BVXTDJxV08qENZXmpO++u
SDiYiV4qdi2AdctqYGCm5zq+F+mMkc1K8YGH4x0kc/pISUp3vrD5uvbS6kvAPqyG8Y9PC+PWfv33
7z9I/p+CT6SofIcBC4LeoA7afXzaLyaKXdMK/eLFH+CLvLh24K5rnvrjOsmXbdfGB8un8YF35QNP
EndjJKNHZY1V0U0GmwaZd8DAtn0Pfvzop4jxuKuKBXNaO2LxVO9o5w2XskSvA+W3i6TKx4tRgaHZ
rTtLNksjmgnXCR/9qgVgcF7EQM451nx6NpIZhtjWIHchq9IB8rtKHfCW2FSzjWrjaTWkgErCyeSL
ijT50QMY4XUQQCUExfgMJB36VqQsXfCu85oZDjUtHJcFM7Odna6PvHmURaM2rlsdkpY4kYdjaZOG
U312UfS6DhqNICI39/LfJvhsYlaweYUxltr/sGnsgz+jwY/r0MnjQMKsPIDu/fOqMjNGRqE3CMBa
Zl8HHQLwPRtaA7lriH//KQ9gxJtOjNEEFNvRaBSOo9MtZdA4SYkqW+xGPJB8DwaI9ZKk8RcXe//Z
SG1zzl0VPBdOXDwQxs8oO1kvTsuHA97HKBaV11ovICmJjY9Ua90DnXoBAUdesFenDzX+IGhX4D1a
KYaS9yoKdVoejK7Q4UY1xbiJU90drNhqD5Yau0OYO4GObrK5utkEs7UREfbdcSSZnQ7M+WsQx5G8
2PNYPxsYhQFOmCuXo23GoEIgzUeNYC9BKvlm5ykwwGorneAe2O7ZFh7I8KDPr+gsmoE0iXeWrn6Y
Eb37sfIEi5oui09VF0efzNKyGdGAYGbHkSl2D1ld8bMZ5FBld8F4bwRkA5F2Rmb5RbXOtJNTX7iR
mWFiLj65NtK289IQX6ZD0KQn7DjpZahZlKs+vzeS9rMC9Qsx70bpxQxFjhLXBH4V3Iv/6VzN4ctr
0LTRyOUkq/FbHXf0OfN1YCQtUvqcWtNvEmpuVwkNP5znLIt/m+tAiloi9Yr+F9qf9h5Pyd5cNf0w
Xa+MDjxMGpE+B0C/zcs9XiKh91TZMcptrJV5dL22XfAU0UFGRgw1711QjuNuKNr86AQx+HjWGN+1
fTGtLJQ6L6rQYulK3jxLr2RR3KNuMXTie4p48qsnbXydhwYMAJFGbicQdNRVFbEsQYMVtLE5FuiT
8uHz+kfsN8GbDBXI4dounhVYYss4ABnp3zfUvzF30TApIAgesaliM8X0J3hV5sdc9mXNnnkTk8gc
vb1uy0Xep/nepK8HC0xVTUi+N0evmS1E/XOW2PnP2dtaM+t4w651lH74p/XmdmYBd4Aw9qrKGQ+y
HIBraTjawvxJH0BfFtEjGO6c6JrECtKwP7qOqBeIl/tnXcXVIgn9/tlF0N4C7GpZztl1hX6dAjHt
B6bmiixEZArJKkjoiE0Sop8wQOnLpgT33VavnqcW5Vjmm9ZrwlXScH8L7k+58TrHf24n72ICwbGZ
eBQA8PyY9p63rRNSbpImZc/o1XERoEptE7QH2dKh3JNayXe0OiBL9DewTy6VzoGjCRVaW/jdS1H7
LybL/cu0qOVPU9bF9tU0CIdX1WtrCcYkO7kBaMlLOwd3KlXtoQk5fLp2TIKTgxLsiTZ98OEU08XH
Q/lBaPmd8cF/p7poo7CIp1ew1kCJ9P3ueWAgYRSh0z7mqRyXZYskBbGabhWU3D1LaXVrAIP5XVxp
shlatzn6vcu2jjWE+zBgxZ5aatixvieHoCzVdvRBBkQ3F7FpB83udOpZKz8Yp3sHsGCUAPv2IlOV
L1MRNE9zf5aFdGT/go2LRm0x2G+CWTlQE731hU3TG36S6iscgBObSvbd64u12yq+T1C02ZY9fpzO
lfl5VGP5IHX5MaTUfrcTlyzrxC73WQ0ipJ33kdEXQ8M2FbBta3TsIO/oCbXlecCf+vY84OHeTeGY
bjWo0mBK1WKBolb21S1btJrK2u9jGaD5kd/qZxHnydrxLHpo0KLqFCRescpJmbxmvf/Sh1P73crS
ddt67hotptBdCDHNQtGsvRQqpmvaku7AgGbFhpjodVtx/VgXKbZLTosPr5zWNrp5HTIl8gXLdHBA
4Z9dByP6qMbBB/H40kzgddB9FZlLdC7BpTG6XobzctpM8pCJ325jjAPR9AtGVL5zrBDtMHo0SomJ
cPatL511AtTiEwCPEgeOK79T/t5PfPoqcTAvhkqSB6dEjwsrdYOtayXOvcUDPHolKz/qpFqYNTII
frQOUc+6cLN1i6/ewaNgZlu2ZIDw8gHp6IrgWEyLPXbDR2G8j3mgs5di9FU7PSa/VDc9qpKPRupj
B6SIHO2ezD3+nzpzE/M/DF3+VlDABHwReEuQhZKntivru6YI7h0r5U9G5XvNvkYx+UxmVRBWBQiU
aEZmJlM0owGcDMUAI4bOiHycv3EZSdGjbOhWoNfd0Xxqzn5jNY8NF4ckz5DGsrt8W9oeXXVzVgvU
6TTqnLA+l5S2j06b/GbWjkBaFuErzdi41UjTFWEPFK9TBtVx8IBdM4MRi2zE38/z5BLpI3of2yq5
T8Ue1FzkK40KfWK+4M2UzU/d5ONBBwygXJlZeBkavaT/rbyKPMOfDnoAwkgAlCdKq3g4bZt8AuCU
VBaTSqXzjPonijFr7LV630/Bxkfe7aGcD/IpDDegbf6U5rmbNM8Zy2Y+1oc/LP++zljW8z1//Q+/
1onMqjZ9Jaco7mKUU+K2R3klPJK6A2Yy8Mc7ozHDCLDUxkpztCL4c6JGo7zdNVEcBAVZhpVEEyAP
TIa55IYHXN15Vbw1khncWngbbBTVAr3Y0Fmma4J20YXBuOHSXkzALYED2IZnNop4L2j6IGQano3K
XFkC5Zo2QWOv2wSyW9VaFsl4l4b1yi0m5z6ZvdaxKPXSz6wSsBPpPXI7JQf4D1k0Fs5HhTzvk7CD
7xP6VT1XdtevRxnbezvOvDvXpRyI4aTeadWHK2SjwN5qvAvThX7MtEQPKV+9ojVOevRa5AaNOACv
iF3La9bVIPUrOiiJhWXvfaXbOyuXxRI5KQf4e+XjMe89dZdUq8muARmtLWsHV6JZdQVIsJtxmv7y
HNVHY9Y1K2Smg+dWOxeKYuvXokMJZVCghAAa5G9zikr6P1ggu6mWTWw7GxB57PWkGxQ1nKI4IQbW
qwKd115wln0DUST+7jjvbdPW9zmYxe42ZlWC0El7yN7k3n2fK3ufIlOyAunCeyNo9scHr/hqW/lP
C3x6sp9JZyvmo3xVa7de8CKDCz5DfpFSbxd5hVjZ0QC5AHMqrKA/XCFyMW8TtAcajgNJygQpAhE1
Vg0+aJ166NzROz8S271Dmjn7qMALjjpAYV8DXcoFnNLsaeyEvYzxw9znImzWEtDxk8eLcTs0gLKM
ouOHePDUVgUqOCHdmK9T9Cd+wF8MTRkoCspjUvj1Gj74dKLlCG6Eo+guIdb4lg04A/QQImceV6cB
/IPI6F20LFxSPsBs3riGEo2UfpmRDD33mnkHs0aJuzXeT7MsA8U7C3/gaM9eXfwK0UShek/Q7mCV
+wE/NmlZ3eV2hkZIIOh92Og8khD/qyBELSb0AQQyKnT2dVMJfFinfM1UcVf4mf+1yPPv0uqrJ1aW
+r9c37mr9e9IEGxV6OzpOjbSacRzQXf7M/fYDJnN8laNz0DrhJfKfQloi40X7TL2XheCMZBn5Xsh
Uh35VtOeu76kD4Njo7UG9BlaBXZjv+TgYSyoHrKdCUSMKGrvd9HM+qo5lEI/hFOQH2Nb9GteDfqS
V1m1GJDteKfF9CAMLjcMdtpj5Y/a13/RMQ9eLVA8F0VvFzsUf37g1dPkYJEaxZtWj184k5caHYMe
q1nPAcZfJi4dv3THMo3VuUcXymvkr7KJrPtJJQsT75u8AApcw0k46Pnm58xtNp4iMio9mm5Y3sGz
BHEctcpAVj+T6ay3l0BLd0eWygQOEhn6o5HjRPXHZPBaVCWG9POEMfG1jyXGsAmrYVUEw3Pj+vcG
SWiwh2C558dZZYE08MA1y9FiIuiXIF+SU8CacoX3lCMYIgT9I0MxfGsEmKtO4v1gQXlJ48B6Q0MB
D226Kvt+Alkd+7+NXNyv5SIGZswsx2/uutz3EvdHJbrLRMfk3Lpxv2VikOcatIJIJb58qyr08kLP
umJjVbV848x/b2O0exTlJB5D0GaNegxlsEXzBLT4mRfJEdGf61Tx0eWkeUWTQ5fGxVuI1qsHVImr
hREHa3wE/+aczg2BZBXfsdQrnxK0MD30Nu2WRp/I5AxQXflEm3Epw8mOSK7XbtPABYcnfwR4/Pfh
piOs6VeuqmhkTG4TRgRStF+Bs4S+fX09LgenyB/CUoYruBsEB6XoNiItymNSjmqXwS3cF0AuHCge
0C1N2xY9Qgp7TZIuAHx5KlZjkQ6XPA/jhQ5k/Zw1Ko4G227fCK8zdGAd6V9OPNeAtfpe6Xo9ZjFa
Tk7eJvCARY3oGKPlZiKSiCgUYWLWfG0T8Ui7SaY/OoApdqZiNtSoC8Rt9kDmapoKxD7G/vZg5lDR
uc7RmRT/a87U5P6+LswqvuzQj/PKHghd4QNUGvKtQWCCG0v3Ct1uI0M1aBKGZoh9rgF1xTeyfQxJ
soMbj568uOCxEu/IhdjYKIbsLg9zuidobbMuUoc9BhWq2AKtWb6n/gJPP/uGNp4kmhxpXQJ7UpsG
zsB+SNAuKSnhb5ZOPr6rMjmIMG9ONcnohiGTFyHxmfwA5LSQLv1h6eZdobj8ytpML8ugnc6UoQ3k
RB29o3HrrjMr5wd0ShHrnNf2gVa2OJGmzFcAfWWvtM9f0Aeg/Q6Uy7rNXP7XmKFvh/ZHfg9iBHaa
UvJtUnX0gfGMIyx2vA/Wf4HLDLpBLml/Eoam4A+6P8z1yX7mK5gJIIJ+Xrn2OKC/gZoiMnr+fdc3
75UOh7cuGMc1ky5yjTMuq7FddAS2wqcx78sjeE1iQRpXvLUqBVwNX4+tEcOpOrV10l+quGkeepU9
OrNVqGi+LZoRTWlmEck7ZD4t/lV6fXuHegJ+FRpkpBtIahIjQ6VZIJf/C2w1tt3SQsups1ExycS2
yvkGtQJ6yLMBhIuEhRtX19gZSG4ta7ttnzJ/QI/Equu/NIl+SPHtSCK0u8yyTPFIpvow0i75aCYb
xP5EuM9kurs6Blb2FRv1S9y49FU39rRtC8lXRgzDrl1YFp606yx+rF4mPt72+m9+uv+3s8+nFAli
vPWM2SH5G8Pb7idQpP3SeupDaQPbRNFXuJy6M+mLbF/3VbwGXVI9xWh8jG2sYN80cIFJg4f4ZjuC
17gbszu4BTAXWj7pkueRVtS/mRd4O8711jkIrvur7Xxrb2aT1HHjLK5EbTm1gNTn+aFBxvd71dj7
oVXZl6bu3IVoUnnvZpWzVYg7tgn6wd4nYI0ufEslXwowshM45WZR17MMWVDgNCbgJpx5J9BeIZ5Y
kkbOXJ3naHj1lPUo/s47iJn7JY3Z9HluXgeUC/uPtjKAzH32PsA4oehhQHyKf0Cg/+l9IH0Tu4AT
sieK0u7y/2g7r+XGcW0NPxGrmMOtqGzJudvtuWF1ZM4BJJ/+fIQ8LW/vPXNm16lzwyKABZCWJRJY
+EPaT2n1klnBCohZugMo1t64KhKPK3na9GxHdsvh0lKYk+fLSpG17ETOk+uHuQWS1J7PEuci4TDy
7AMm5kNRCNSAa6QfzT1kKbSB+mFgAj64T46mM+l0h/5GUxAV7pCq3LRIa3xCqiRcLaugn3l1QozB
+iE75UpMJwcFXdVgzS87tWnIzzJyjU8O4qChld3pehX96IXYuHrLr6QOSzRNAcPA7vvqdPb8xdO6
1ofLYj2qUwotNo3tc5eYyh7+oXpI1TQ6W8AFEPEVytGLzM9RQEItA2RzIkXn3YAPTbaIqIrnAk4c
70ox/QyAN3cmXxDweOA9huSTSD1rE3vNWycS4fGlE8vW+nenSSIFGqS6mkyPL52S5UrLsulypUBX
xLMa2GyRAADaDaaXbwqAnfHnuQu/aparnYSRJse5Sjwmu2QZ24C5bDuO4d5ccpC1oZYrq568Sw4S
eanVAkz6VGXWWqjgNxVFs79Uw692wbl3fTduG/Ipe9dKnKUaid/yPjTTL7mTB8ijwdVtW/0FGUOk
wZcqeZBFL8+2JN6T04d6s9V1v0cDfVNMj2lvTDfRIoDIDghk4uXsepB1aThU+7Q48YRyB9Zt6lOR
LoDjLLBO2kJBdWzwtLpb2Cd9sPVPsnXqVevUeE9hM7YHPU+Nl3T2tmzS2U/q6EQPTSSesoUEVpqt
t9dyZJuVWTdQlEUPqKyaYi/Iv6/lr1Zzp2LvTS565HIasLTmdnUItGlnVd0va1majQD1t6RxbKoo
Kol2rsF/PgblD2NylFPrTc5ZTnAjbRs7an2+zHl11+5msvP6sCY5zXQmRd1NqAnqaW0EupqpGqvM
cI1cQXSqkih/subkff3Mqm8srPxpibf63Hs19VM2gfDPOzi2aR9tEDbnjuK8OjD1d9fCGNS9PVv8
A/JoXqHW6567NCo/KR0C2kvsVPTVISc/7ItU75+mMap2lWskW7lRGKS5scpT0zulfGQvRXJfqdr0
GfTZ8wUEA9bLWM+Gom6ZGzvHPOiVszsgERskXf3F6tL7cMl1Dkl1tPPCehXpmAAU9+K7OoiDg6eg
qB+HnvmYFZm+csGq/Oh01KHbXwVch9eifCQZXEIi/PNEUT7WvG8qQC8kq/cxRd05ryrkPrnlAPZl
2SNySLcuX6eiZctIj7VwK1sHaJJ1OX1znVUxsVYP+Hf6UAm62yx20lNvlTHaa63z2ufNps067Xte
9urK09L5IWOSBBDQdrdZLLxPeTc8ywg07lmwxtmnrsrqXe8W8UHL+vqxX5JvMsJBeKKyhulc8Uxb
d4veSLMchAqZRo1ybe1q0cS63k6odGzDz3on+ZSP8a2hZ/W9fPmUlOhQ3cvv7dJ2LXVG+K70u18Q
8EX8+7e/pzr//v5f4Dbs/Ghs1P27FpJhKa0SquP0PHvHRtFEf4hzMEmY3A/roUzsG0mMkGdhH7AA
MuE4rZM2UMCSDcG2R+wbsLuAh09u4qY2R5fdc/U5dVJvY/Oo2k1ml6BSXpAVXqDFEmScLBo3HZr2
RQ1hLUbU6MbmyfrZMb3PhZvqd7KkhlK0+znF3eFes4vgyHO7WYeFY73CuP7hAJR7qLxWuU3nYVzl
MMxuJ0+pyUGMD1E3tJD/+h8WSrWvDZk1sAvD9JIYfezHTXafTqG4LRNY6LHrlreN5wT7RBPtAV3j
Vc4acjP19fA06up8yuL+D23Wh6epLnQ/6YZwa3vsKlS86354drsy+Oz2qZYo+zrovk0NOnC5mVd8
HqGxFprXfNX4tRd65byYkxnsoAMXO7uu+ofIrs4ZUN7XLEffegEYqh26RJMoo3snqR8w10gO4xjb
N0EBF0UeeH2CUESsnXkmPKGFVzX8QvNZReIJ3o/3JSoDhDYNtblxnam7Y0uMV2kfTxvDGuttkwYm
Cvp96IugdrdYKLD5AGsb1aY+dR7dQL0zgMF91QDMrMqqLFaBU1UseKZtqbovkVUM31w3LnHNaNrN
Iky+sxtV83kCiBfPtuMV4unD9xA6fBPWIlr1xvNQmN4va1AeWBTvO3bn1xMS2GT+dL/rtG4l8sjd
pWbn3ZRjO+5tVzkGc1lstAkWe9ailA+6+mUu+nE7gIvblkHPCrzo7vQK/F4L6PBbn4p7l83Wn2w5
kbNxPD8MIneLXFB3zIDFSLYfAX/SAotpHqAtZKcxjJIHeahrVbtRUiB8S1WqKI0f5661qaxSOwtn
gn8gqi+jW93XdlE9g8p91hovu0NESf1UKtrnMtScWz2p2vNkNfcQAYD050nCEu5novbFCSXuRw9e
9yF08tiEiF2aJ4UEtLeZIzt/FTZZ46pXm60sKpN951YsDzGdELe93Y2rUCmKV1NBob5Buv9G9/oz
ME0X/DMqYpJBE3mc1Wg2pVUU7vJJvNXLxpQkJumaJUSWURv7Q3HKYo0lyyd2Roq7Oks+MTtpb6cx
4Zc0C+0oRDt8Vl2e1EDD8x1Jkh+8d8VD7g7GeRydvZWZqNYjqEVCzwSCvjSqUyAehtFxjtWcfmOP
kQiBQsLBi9Elu5RjFHFXE6zJVTAWw6Yis/yZaUy/AXrPa20pLq6OPo46/aFAn3kbe9Xki65VkH+x
jeLmcuqYPcskZlyuL5baNOQF5eqKH4nbSkTesWin+3pKrDtMBHasPjc4B/0oBUY4atJ9E6Y13M9d
Xvl66TbbJn6dG36HCSudqU/aX8J8Eq4jPrVp5J3qYIY7XGfQKvC2WPUJj3Qk/IK9KjCCqfg53+dK
X90Xy5ljavc5D/0bWSUbh7LNd0IYoS+LgJvyW0VrvqVsCZetYz03qTocRGs3viw6cTiTeUu/Jkph
P6MtLB7zvvSzpVSVMDbjcOg3ozoqp3k5gCZ7O8tSA5+LyP56rbqGXWM9GMVsbXD13z0du0X7PvtV
B5V7HOs2Obh94EEJHfN9bGrhWcRxu4saI71lK3HaGpVR381u42y8HGkPIcJ7jzfzvszL/AY94u4Y
8fPf93HpngyUUrf4ycx3GAxhNgH44xG7FaSnTaE+V9lD01igDtw5f0DXOtkPZtMcktDr7qa4x5fB
y5pXPSjOas0vPc3AFmhF+0fS9IYPUi+/N9h23QOkUvdD1ad+XerQ7ciiHjSb0YSlLK8MsZhPGNpX
m4WFrjb2T7fKnzTmEH5LVvBeGNgHWUn1y4RUFvEsfA0H7lBEaXlvFXG/b6bu1uWntEt1V+xGC6yM
6rjkFuxIf1Gt9ptu58mvwj6D0kRggR/zvc3e86sTGZVfD1qLdwfrozrrypM7Njdewp5gECrtPQyj
3i9adgLqcvSjssl+qhHLLK9gTmK7ZrGFXljezLNhnXVwJOvIE9oXU0xnciAuG5WexiN726p2/TWO
rHkjXLU+kqZ0HotW/IRbwYOSXXtWxK39kGObcWPEIUp++TDhILQsXyzrW6JVIbSMbtprUdfv7JAp
EpJFDz0o3e8eMLmVVuTT45SbAoR5o+KVMvQvpCfYICEiXibObl3mD7poS3AA7V51sFBxZs8+aHNS
nvhfprtJ7ew7z6y9dSwWuaox8fYTTiynogKOP8Ze8GyZZnvvNOMxhZkqDLEyarZ7Q8x0zjECfDt2
kLuNBHeFfJZrW8T1QUK/eoTNQYq4HaJWQL/a3l31aJo+q+pQPKpBScq0s26sZsh8wxzEoce0A58d
rXiFiPGTXZfxvvagdpRG9CNenrlW6q2qQal8PLLCuwmPscMQD9NuHNLiMdSFR76yb7/bXoOYZ6/9
VNiyqNXY+VSr5rzRtPTVnZpqXRaGd58vBwj2YqUnfFEDW9GVFYkgbT03TrWJgsa7l4F4QZs7F9+F
1bUOZTf4LRYPlmUUGZZZo33vXsa+DJbZ2i4E1TCI+WVSwmjjllVxVkISgPADmT8PRnbyEu8PJzW8
c2ywvo7ap9kwYl+fdQRrPVjuTXB0PFc7VxBU/Bl9baAniOJ7WasfiiGb7qrlEO+LKS+2LI7jfcVK
YW3avf6C3OlXoxnHX+zP4aJE2jJktd0oWb5qO6/cCHLfPC6zcD4qGQ9qU7EeRp4je3XCmAyrIO2T
nYTOPkiVApHGgt+rln0BM5OtZ7dlwqVW02kOQI/keLptE9sY0QNKy62rTs6prPt+QEmpf7JKJ9/L
uutBa90/Q1pXJ6+GHxUEnEWRsG1f3Fa0q8Ix488Dou7rIbeM+9SLWKKChQDPvcMWDIoAhATwPQhB
Cr0WqznuzqIxWAKSoXrK2WdaQcoeD7JOyw17NcwdpGLFvU+M2PnJXhQuCH4XhO5jaDBLjnX1q6oo
0xHk6Xw0FSaCqwDt5HhaUhO1IpgIpl+UNs5ehRoBWAcOtACXXRLg0RFU+oDMmWH76eg2GxsMvRXF
bEiGOf471Vgc4rng91Cpyrp2Zp2tPS94nBzxGNrhGW50GCEOpJBgSftdoDXlA/k0KMlKXcBj66CN
28yaoNQ2n+xySs4jeQ1SIV3zKa1K99ZLzWe+P/bzPMHmgQ7+J0PcWdRirlSwmlXcuh7YAJYEcdmQ
1G1w21XfZcGOsHIpHZGuHaeZ71OksVYGVkcwE4z5/lKH2sdOz1ywF0uIbGC1gEaKggYMNZVIUl+1
CibAi4Da6Dn1qe+zt7PMqNINspEWMl+i7diHJeZyypOI71WmDlsk89FFtJCcVFSo3bnmBWd54Gvg
HXqYVgbaImersXkB5MlDVyspP38ei8xgnQdtHhFH4ZM5WHjrPci6zi2PetrO+zJxdQSmYHb1mc0u
/IganFqgqVJPt+w6GffqNFm+EUThQ8Rd7yZnyvYKS8taD2fYaNOSQrgDwboeLNXkNQ1y06t0uDiJ
+TpA6jtHw4/JKNlo7acK5z4St1WcOsc2aJmLLWdainzOpVKW5aFzbtnlnbZDH3cb0qZsUVQwIYWS
vQZplP6BmcCiiKJ0n3nea36XBOETWJR4YyZNcGerfCni9CuLKzbg+wbwfm/xalmK8iA8HVSt5ZEd
gNdGkz7iSFaItSIy/d5oH2Ozhdio2kivBHzASCKgnKx6TXYIbB1zpFlTMEaayQeYqZWt41kxHuSh
jqAEMtvqtzj1vNU1Xd+zYaPXhzFrzEuc0LRbNvTsU1pa3rbC0mvdO5p57GIyLR4a1s9aZLePohUr
FRHcZ9MZNl6qKg/LRD3oW+3FALF6IkGA+85StKo895NJJNtcr5IGrV0cMCrk/3dIMGXsxZbf3SAp
cQ4Q4shvDcOgzhwfLJQ0/MnL5h32P+5N2iifo6RMHwUMSbNv2udwmhoscVxIT512W4VK8+wZwvIH
NKp5wlLEhSXYaQOpmaALbq0SUBXUreC2SOwf2jwnL2GeNIdYjdgR8sL0xYYtszEFrmuyFUYE2p2R
WYFeoRWbCVRuU+VJdU31kfcHMBaqR2eAtxiV9spmoXnjKDOAwcEy9pbRZmtURGwYU2mLYBPoMXjg
9qecVAL+Fa66Jq9PK6aBu6rk9a6kjkWKJUK/E5goTnn01T3MoCqtwjNM9u0BnfG2J8+3BDPDa7fl
DDJetqYDuT9zmutLEZgWL6xpVLcyuBAZ+5sjLlsyWA3TYtP0JMYufccxWDtsaO9ksDHgN9ZEbnBp
zey2R98ir/eXvjFmefXAlpD8E9I5Unx2WNMdZjx7y/GGuwHp+20ez9XJTW9An8TPSusPmiqeFc0Z
nvNm/AyLyjuXZjHuaxw9V4oxiru+Q4IuHjzoRUpsX+o67Ws9o6d2qRoQK8BmDzEEtULnNmHFDNA8
OrrCFXdyjKLBB4v1c7xzi9HPnUIwxYudNfDp7CYMIX7DevtekJz6WlURdhClYd3lgZXs49E9dt2c
3/dW+qlX0/AFPvLiBamheO2N4UuTdt2WXPu0la2AB1qfPULvKFtLs3nK23K4D2PX+Nx/bes83OtR
qa4rYWEymtvNuoW3umsTNjnxtEAGycMd0NokeIu+nWbLqalhJeW/C3h3auZatU0n0geh9RhAwvxs
8+c9eSYw3tELPxt82x6CrDzKkmIJ8y4Jp0dZSuYCCdRCfJelhj8a+nZcs91aR5/nBu0gd2SPTo6a
dLOxDUCmrBNbMe6mQH07mMrBUUR4d61mwl8dsyD8JIOu9ZmJH1o0sVP8oaEME3VVB7AFrsEyhHwE
ax10zMTvywUDC0ar0bRP8OG3seimV3e2g/XcAWqetEI9qzrpLrDTaxetF/jvDa6eiwuKPNSLKYo8
ywzL5edd8A538D+Rddrvs6zMvc04QCj50CCDZavolfBdK2Qf7Fds0ZKVIPd6GbVt3VXW4ueX9JCK
SbBMc3FELuztkDBVOGbLQZ5dG65x14YPcf8g5Do8jmUg2+T4136yeI25XukfhHwY6tr3L+/yL692
vYNryIfh23AB5n1o/nCl6zDXm/kwzDXkv/s8/nKYv7+S7CbvUhumettH8eP1T5D11+JfXuIvQ64N
Hz6I/36o65/xYajrB/ZfXe3DHfxXff/+c/nLof7+TpF3aJgdGqWPQAhTu3j5GcrD35TfNbEVRa8i
c996Xcq9mZaXUS7lS4d33f7jFWSlHOp9r7++o+tVrzEq+87z5tryfqT/6/VZzLD0FmbC7Px6xcuo
l+tcr/u+9v963csV3/8l8uodHAirFsP2etXrXX2ouxY/3uhfdpEN7279OoRsyZZ/+Yc62fAP6v5B
yH8/FJj6fj3h8LMyk6m9xTfc2TQg4n1ZjIZFMsAsWpA7tILRsny1doO14ralvstaTP3axmNGuTTL
wHEKwcQBXjlBUm+Oeoln01o2h8MGJ1bvDOYXBp2sGmYvu6k9ZoGVXuFJjl3r2mRTCQvQGldlMurS
ru1i5iZ93aSlG5w9JD3lqTXOqeJfjd50563jtepqBRcEBr6gTZt9DeJWOZhIPvtFnqc79qTIR6l5
+Qgqc2/WRXeL2FLxqJB9OVledy/bZFTNL3fr2c24hhZePMowPcVKLCLZcpQhOh7YD0HB1JRRZUBW
lWC4zERbXQf6h1fX3eHesfSAJOp/uLKHxzVqHN/CwiADV7jYhoLEmlY22h9nWcZsMvLHzHtrvjaY
v0NsUyGkxOe6KcVbN9lXHmSc93sUq06jbWlC3tUqGC1Gk7ALIE/lgSwhIqXX8rug1HXPoC+n3bs+
IE//DH9Xi7hi5vqjoQpk+tDwx/rNvh202LmVZxneFcNQ9OcP9UyI4jXzU75DHzqMXXQa0hC1hj/H
kBHyULG8RQXKHnbXOnkWZc6whwb580O9HKRq3Zummu2jbJRVTia2uTqJQw3eHswk+4QYOVl8RI5f
2I13qZeNsl6eXQ/A6+wbWZylAJ48ddlMCZrkra/s1ppxsI6NpsPzLB+3QADw601mHZ9ry2vvV7VG
kgRTI4VvLRBq0nb2uE28srsXodrdN1rlHJ3BfZZV13rkt56tvHNZaxAqDzlw5K1thoM/LT1l3eUa
cqRrpbyO64R4+i6dZQMm21/ysml3kqYrz9CBenjj636g7iLC51WrS9vlXHJ2JXsXWVjQDt3aQ5cz
Yg/3qHaGkaFrXuftUakVHM1XgaI2/3LeaUaj+jI86JphvOk03V6F7ZCvW9ybL9zpVOk9l+wG7Ojr
wahaxDrJ5suqdyEfmdeyPUxc6NjvQg0lELK7JGIjX7CK0fnHOI2ctWlAlG4z176JFlAEDpHqH3mJ
OtDipHGNiGxNQzRY5L5++AD6SXPA51tZ6SxuofBfLRIg6/I3NghNo5vCDtk5WjKA/FIeY3ZREa5E
Fk8eEGTP8ZXrhotoXiX1pJe4jt2wSxxQC7FB9aRFOq5qHxaFgm3cNck6Quo98kEKFsBB8mQtAq95
qMTUPMg6banrIXVjOUSOdivLsvnDOKOa3LV9EB4GuxWnAe7zyRPsEK9kOUGF/sbVb8u+HIv1pYHk
E3iA0em/RZjbsHGvD+gvh9X6OkJfJG9jfaiLlvEC/fZDta3Gyk7Rx4f+t0vou/fKm4toE8w+OQTt
3Rvm8tphC/DmEiPL73peXjIiiFU/BPTkw/BDH1dhxzTP4hcBL2xXLGZz8pD9Ppukqdy1LJsHkV56
fKiXRVbQww7k/5dW9O68IvEJa8qDxJybsXK+HoqgfSuaYbfqgYmcZKOsv/QdYOP44dzMm2s3surB
eqhqzb+o3ZoQDqFBCcQATSOOAQFr9UZx2ldj6vPw2BWOOBVJwcI0butDMmf1ITUyV30UFrkDdXQL
X8Y0S2AqqQqTBzK6Z9eNPOStrHIjvfSZjArkQVpNzX1Pt9ErHp15z2tOu4PMqt/JsxwfUH2O+/O1
Xse67ZTrFtpFhHoqoNqVNlbWzuG2ofhReT2Q1uMvAfW9jhVErC/NsekhVfn7ajK6XS45lgpbMlzt
egNRU7SnoTUvV3tXX2R4sxf44olZP8xZXO/IU6tPXp8jVKkE9g8dO4+oz8U3tyuE30Dqvw9+x8aG
M3+IFc6XhstkNXrKocYWQN8ijpZ5LemkItwb6DWJS3Ntx2QkQTq81ZUQq8qxxmFn6XHpLMcR0ZLU
qyN31S4tDTpm2lqOaI/RXoZ87LKMDbU2RvWdHrK1tOp1pjvOaN+BWS82bovQMP86+4cdwRPR0vpr
ZCfoelhtdlc3Kd6/mBluLXguzzJWyrX8a6w6zBbbNEAfFL1RVo7GK0lyBlpcDyDDpBQXGLFqoKsm
WyXbQLY6LkAH2Sr7lj37kKpnmF7jB4zjm+yTr5rFT4p8PRn4GvzUtShb68WJSrbmJa4yjQmgqdVQ
+fX6lRlk7R1CJTB4lrNrw7UuWlpBcGg7O4GtIOPkQaDGfGmAu/FjZodvFoJN1GsHeYkPI8lLTKid
oAjNwDL4eu1suSnQV+25BtZkOGa1sSfgeLE9Jq/woLCDUV9DPgA2C2OkhkWvvdaWBsiqmp6mUsDP
U9KMnfBQe3UK1WHzUw3OYTarGCDyhV26y1GLrmgOI/nefzZqMOpoYygK/j5MHg+WcK2dFgwws8Fn
rdAPG06xHocvUTUfwppsf+cm83NZl/64CKPBnytv9R7bqHCJgrTI3NnGY0a2eqle86cwpGyVQ8LK
EyfZGpvquyGLqWCjmDHcrvzBlkLGDoNXgqB3+kcVwfFD70b2FrMr+7Myx7fyPXyNyAB+HqrYsbZR
ayG6bKJOJVbNbNU7OU+ek9i4MZ3C/zBXhlTJDHxWVePGSt5a3+pkS9w271qmkdfP6jJVZ8Nnb5Tt
U7rYNxpZhoqO2R47VSji9neRTdHwLA9z4RwgR1dnW8HPjoHKfau58aM8eAA8qhQsniyhbaGfa7O7
MQYTA5h8ysdd3ouBhywdZn7/j06edf7iv7UrkaLDJKZTj1XXO2cZMumBuLXdeXftoNtzuucJCqte
doDKbPkd8umXmMt15/SuKsvoMoiBvONdNLHxKe/CAYaPbXtgrWSsPACRztZgm8TWXIafFbfyR1wR
npRsrSb4qJR9K56msNH9WGB8K+tGELcnUFE/vEXvVVbVpYlUUK6enaVKgE7fpo3NLHIpViz6Hg3r
i2yT4WYCj9TLoex0amAepzx4RTtE3HhhKG6mYASFLk/lgce7ouBr8TvgY1T9u0XGyGJQdmG9kmWk
zuKNbs3DZcxrTF4mU+Bfe8txrWZ6u4/LELJc5c6zKppw9yHEblXeqKH3KbIanFR6zzy6gxKDHZxV
TuXhWpbtMlI2O0hlvUXKsn2NvDTJUDYkJl8L0RmRQXIMeXa9JN4EiuH/x6vJSNaoEaqDIBNVvR3v
HAQG18mopRtZHLyIusEY7wZ3dlYCDYrth4ZAZD8i9lsOH+vL8RhVuXbTFE1mY6fCIKP7pE+VuA31
sAOclDtbj5XlA6L2zSpoZnGQRXlIe/dRNYfkJEt1kmgPvTWuCwyE7sql5Jlh+AAx89qlRoXj3PfW
PpjaOfa9vkNlwMu/atC/Yx+Nl5mfiI7Yn+y+XHg0I7Ft4xycUt34wHvEQ+Oo0RNEAHCVwZM8GInd
gSCygmO21LktQNV5VjB3WYrs1vd3Ragfa9N766APQBgsjARlFVS0fOPMA7KxSzzY2+I0lM6vazzU
QOBdNu52S0A91JMfDtG0l8W5q3rAaHbsy6LiZsZjUX3O0+ztaqgi1aQvbedgZF0K6qY0SNq4i28Z
WqIJf1kSrpFYx7FsqYtLCxDxtWweDIhyaPUTECwBMkoW5cGI7QQcTRmuPzRci3i3mNvIssEIfjY0
F5+cyQixSnHZbBrRsbcAPq470c5bduGRrnfj6EGN3VUyVfm/tcq+JpY8MjYz3PBJ9ofc/7G/jIgQ
p71EXK/w+/qy8ToGoGC0fAGhe0j9b60IDa+0wUJvZUPeObtKt4GZESIkYInvTZeEx2TBWK9kdG/H
jj9FxngvDx2qqecqaJG176b7wobkkSdBvpP3hMQ0lgxWc7qUXLbRWsUaV6n8OH63yrvL/0NrRkrs
Xd9+6SuWj65QU2vPXnUIwymDepNWzRG4INpSAGAfx8jP4mXDf6kp1cQ72mPxSzZdgpqg32S1G2+u
fUJRZqtpCN/GkQ2IGf8/jnO99vi/308/zKpvWCiU1ZllnMpW3w2Jbh26wGC+lQ2DcZpqhmHqlRmn
zDaS4wgFGFtI4ySrhGy9xMjwGlLORus8uCRLFxkpx5ZFZcQ9Yl2HCD51aT1tZKVsvlxRho+QkDaQ
r5pV7Mbp21O6msD5rCrTmPZ4Ymxwv4tNn6SGeYzr3AK6zTO/C3nlYTFB2ZPPd9lOnmZyN1Xddfu3
eU0wxgeyfMotP5Dwzu0zdzuWnYHW8Z916tKA/x3MnEa/1Bco72CWvITgYP5l0K3qIPvLKtlB4+uz
5puCLMrSXzaIIXdPtj4p2yQf4XOI6gRWoj7NmlWd/lNRNsiQCVVru5mh1v7vsXKkLA6/OjaKaI39
VCmG4sszE9DK5axY6qpMwfzvd+vfx+EHq4AKJpnpZpsP2liyqAPjVYoYwOwyj5NV8tBEQ/jOhjsD
WpAFBrJteXjWnBDyGfvLppmDcR5NAwBz8mQs1UHep8eJtbQvi1YN9R6NJAUA81y+6BpJeLJACI4u
wczoL2PMzGnuEyd6CiErvXBI+dmazGNwuLBz/N52ZeU8toGNm+S1CDnkMIQImuyU1ru0hoiVPSS2
aZ2QCB/vZ2RSrMnobxBBm+4Dk0MbK6hg17G+doaKh9eY2Olpdt86yF7y4BrZpassyf6jlSYbByjN
unLrjFxnP+1KLTYeKohWm74iT2ZaFpZ6S12gmJ1flXZ7CZENEwOsUGYrjpU+/exDSzuSGjYe1KY4
qkmknrW+c2O/fJngij10S9PUd8pZs8d9ZzhejJF2Ph1TRf91iTQha4FON0tfXvN6M1mI1ncCLKYC
w34j67PO6/wai4/dZajrzchmeYOJk11u5Dpc+aJ5qXMoEj1EMIGFnbGsJ91YGfZA/eFtKSzpV9dK
bZrB3cr1ogwH800kovWXmOsQ14Zr3XUY3H6S1czvFK/78TMptBcIlcpzV07WruzNat/lTfaMkt83
HeDj938NGGMML5qQtIyUAppUeDIGQl5SDFCNbGNt1/n7orkUZbBslcHXomz90Le0gad3YKx90VvG
OU/BA42B+wV8qxYcQw25dEg8qHw1lTKRpknMM7ld4yyj27Fbp40hbsruV1Za5jFC4ukGJin/qlrB
pxJmaNkgIkYtPubjDSkh2TotIfJMHpoWktSl5WPZjjvjaA/fsTSz4UUvcXI4WSaJ1EOFro/JFCLX
HqZDDg2agzFrkbIfaxL2M+8Rf7Dqwv2VZWZ+Axq4IvUZ5/lNCyLKT51A82Wn1s28Tdz3MXOrwlHM
M17NsNbFBANwcUhfiqhGTXdeFPSYkHtvrZY6NA8z1gBnCHgvrDrLL32ezCutjIOXvgeOpA3l9BLU
sbXyurZ4CRxsB8sy9HBRaJWVYsHZ7Q0YTWwbeEcNd9oLT9tMkuBS1C4cT3TnZKssXlslr+6f9s2y
MPYdwZK8W9ifRg88xmhijbmC55ztRe2E7TNQ7BN7hjcirDeybgRyOa8vzUuXfCi1TbOMYELo2nia
3mzcRqn2yKe4mxTa7queJp9bKAYP6lDrdyKvs5WsL/LBXOcqMHJvAfVCf2Zqpn0J5ro78gG0OJXk
6SvstnbVhl5wCxZwfqyU7kHWh3peb7PAtEiMcZG47ba9CZyoQ2fzJf7DiJLxh5hD7Ap4rD0MVTfv
cT+p96qZh48sB8HQ24X9I/5D79A/kZHIm00PdoIszNvMGr1JmE94Oq6RsMjgQP22n5eVUA2yzTQ5
2Rk0nnNX1IriK6HF2+z3WViQKpV18e+za+vlLBnLc18gjhWH9kPE7PXAd9G4lQdI7OatlQS4NuIc
uPrQIItTEjxUVe4eZOw1Ap13MmEWmNMhCx8R9yuetCZLNoEK7L9sIY4lSlX51uBk37sx8WdzGv8I
cRfbzE36PqJdtkj+NkLqRGVJ7OdxhJtoqPwPa1/WJKfORPmLiACxv9ZeXVtXL267Xwj72hexLwKE
+PVzlLS72sv9JiZiXgiUmRLldhWgzJPnoOGjBNXmFuw2BX5Fhskvkd5wCB76K9cEJ9gsosxpc+Lr
bQj5oxj9DUbiHkJwhvarUDvIG+YBfjR5e1JG3aIpRO9pPkzTa6MGPB5Ee+q01C4bkPC1m7B+UAAm
7mVgsM041cYnZLDmCBtNP4tCgXjIS9ESVaI+bGm+daiAf0Xp2TqAWbd7AI+iOoP7fGeX+NhLs1LV
xlVMriiWDraZfwWFnXWgUdMnE3oqhx343MU9NpfLYWpRlowg5kZCuZ1AHq6ykR2ZRKeefVauqAUa
9KjYDkNOZUVdzgHzrUXgeeYJDYrLnFuD8ZhESq3Bul956JQBLS4duGead4arD8CaF7iL4BTYWoeh
paD/VuDeiEqB9lC47mn/r9Myhghki3ZY9L02arwm+n4Nsi8XNZzcxbYejQvljynqys1N0nMC7hbq
fg20ApW/I/vvqp8UUqb2eMgVdxYTWDhWFEiO21J0Fmdim74v9VtYFlyM0CpEsgXlCktXXeGuus4r
7906x0bTydJty7p8JViCnaaZo3G+N6Ez6rTfZF2EGzaYE6QIoE9N2tVk68JhWo7GKK7k+E+bqeei
ww+tqbcYmpK3Qi57NVorKjzeCKLnsuWHOiaHetEmkvKZqpaze+aO/vN8Lm86NiTpZs7pvuq9zVD1
z0GyAvnlwmVjfpJqGPg6M9Dq6Zd/DDPdZVxKZOjyodvS6D20073IrT6822lFGpGdIt7jye5ogaT3
eLokhYavXgMCplqzVtOhqiNvLYZ2WtxsdKb5M0+sCkFjSzFuAF5C9Ou/zesCiaYgipRZAyktmfnr
qsk+xtxW7EC8tkU16juUD7y7pnHP89+DhmC9Qls0/gC3fxGqbHMYmYLSRxXgfeo8JM9vNmR8v0Zx
2ywsJs216HBnI3aBWtjfAagfLjGgxcCwWgviIBBxUxwdBzyhFEWT/HgA+4KmMv9zUiey01upxEos
KH07Jdrd6kxBQwryzIus9sYTjWPI42wGhVIi2Qwd8zEQXddr3K38eTa5kRO2UFlE/g3YaxvEQ+kP
B5W3vVEq+54OUzf4K1+KeH2ztWivQwnRjBdFaTrYFkOqXWrhMDogWw2+1RY573KMwOCohcO4l9kQ
o36lgA/mfrA2oLMtlmS7rYGcHHBPwvfnNcjhlVZ4YjFeNfWl+vfrAQWUb6bJkb878M7xD0qvw/62
eBPiZ1A7Pb58IduBQQmUMFq0FaSG7dVmFfqsfeciSqjQQxyyveoAMlEAHVL/o4lC9USAld154q9r
3Zb/dS1VdZ/DJLXuAsYXvueKBzqkVgXFeyvq33RtugqkSGwKnX1v5t3DMBTh/VBwnaOCloyMoa8a
mYiex0hcoRZfWm/RPtpx7itsZX6Pvl2PZph6fbIpZwzvR6xPo762XpKCv4xZ4l9Hide9JrP5nobU
uhNO/gFdaOJEPTxFGsbX1DrQgII4mOnRy+g8Jbrvh+yIjrbZANRU66IZbNlDOm9lCfxyaAbFoAP5
7VK3pfSlfCRxIbuND2N1Fb9GLfr89BomOq+OEpcpQl3ZMqNyE5scIAvg9O95MZzbKVcHMtGhBqvT
FqLYDGSOCEPmEVzyKeJMF+CBzPCbu2Z0Uh9KwpDd3tFWIqNHHJ3SARyO0aqzLGtB2xSy0baEzm62
24zfbLSAg6rfwgyqfs3RAArIEPjCPpCGoVnU37dmfpjpxNDu+kYYVql27boMFJkDxAU3BvonN60u
kE5ZXWzQZpBtGl1NvXlVzP4ZLSBoUNJLluhT8te/weRpSN4aJcfZe4PJE5weVVo+z/3NMS+lvdmE
bzK0DZHdQhcRNI0+TTWYuiILjP7BYLmfop69QpCpvJCz79gCJHnsqSna8EExviUzLyDEZ0v04Y4s
8T6NlSn2pVlnK/K6sTDWcZiijqYvEEH7eL7AvOTo/3YBFBM/XCAJRLABlSlQr2hz6Y4uz5YYIu1C
w8IFoE9ZbJlnwx0IPINjH6lkJdwk+dagkWNi4D+FEJyzkazyQGpRZc+j0V4pAABKH2QXsX25zYQ8
IP/WWNgEh5HzOZ8KdwNxF3ytXLDW52MBfhiNWRk02OV2IFsJ4RXw3pbbmz1MWrlpAJREngviYL9N
paFBYEo9F3260It6X1g9pAm+TG4ft/Wi1/oUdPCqHokqOm1TQLA6fbi5yaammK8miUQQOX5fYl6n
blEoRhZ6ZbPWO94Osh/E3VADuvRuj4FGOtojiPZWP0/RcjhM4kNM1SXjNuvCb0M8VmdwJbNTa2xo
AGpoyDx7eB2f7U2xJTtZ6KzTc2Qm2AnvNjdzDEFJcNqhyPrLoh/Wu9l/WTSGINZQiiTwlwydU3pP
QRsQNwq87Thmr/MWhQon+vDb/gONwp8h+gU8rXYCX8Y2SToiW/xrrK9Xa3jyOu+AyDvvZ4ZGrgBo
Cg6pXTRI6ZTto8jRwGcaE5pRisYHj3DjPykPnekgrPkXEnbBs4X7J3J4VnSc0rY9MBtASOgX2Y/4
m8sFNzrzu9FdSOdLz3Eb9jYnsozoKOIE0txZpdaWVEtVVNgVI6P92uH+vBhA4nJpxQA6DzPG7osX
06vwwf0Avki1zAW4HH2pqhUqKukF0ONx7wXK2DJfVNfAChvsfNCHZYegW9bkYSqR9+Mg2OffJlld
a4Bt1amuXQveg0Axf+/IUBVQncALJPqDWn+TuaX9KWvHc66C/J/MztBJibe3B/BrtugxRQQ3TPtT
K4cz5c/+FvG+xn9GoIktWJboAl4FffYMXorinoAO/dpEdeuTq0SLBjD+RICKipve3QiOrRnmUNQ2
oJ5Qw9jYI9irevDtbmu7HJZV5UBtWyMh0jKZF6X53YoWVUBL0qKEoUBjpz8v2luqX6cQLQG0GK8p
pi/vY7Mpj9A2wA4E4mTzkETqiTfWggm5EzCs6NcdsmtTm5rlkZZ4X4dMEPRc+qlh4c8M+n4PoEc0
XoHkIz5OHssuQgvp9ZyX//QciKkuDF/VZEarHButOcLtzGHBAdIJgbTbeCJFA9V7PhV0AOJS1bkF
B2TkFOVPb0YXPNiQuTSwdaHZKNo0CwbOB/1Ajr1VNU5Ir6miuBQ1uERJ17xv0hGAqj8drWdgL6Ed
MTJq84xsCPEt1o44rZ0js8FDfBqRqioqYYrHt/yOtP1iM6JATXp3q2hQ5tcue4FSKDiIBm4uk1BN
Zwv4piMa2EER9hZQDsm6zQ3g+Yw02Kqu37hm5x88Fbn+CumSbFOCSBEoI2jMkzsxmH9I8O8B/RD0
KnO03u1zhiZ2+pcBZr22gf5/6Ucwfdzs4MZZO3nGX/4S72k7S8IKyEYBLrIK9B551uJXqnOSNDaD
uF2gbOxC0A65i7C2xoXjFR0kYxv7RaDy0nZIQiI5cOZtXy+IZRM8K6C0MsB3SEPHc/73pMZyAM4r
1QlJqgr0t/pggKcS8ELoZ3TTT5t2pJApgyKMBOzJ9NYK7Ma1FTTHVCh15fpQju5a1BXY3fWIDgD8
O4nAS6e2hEVvXnrUimkESkfwcQDZB0nk+HAzpWNbHORgfiETHbw+rPaBybp5pkhavi9b9wckevoD
uD8hY9SP2QBx0KpfggjdRY1J1si3ayN5KJLO5nAaO3Hxo8xNE3iZbDxiy2Stm2mQC8JaWhLdN3gv
h4fGFENndABLGngLsuPNDPpeADjrvn+b0ApIbDeTecmYDykjowt93JMNhr9c30Zr1cTBKs1s9SQG
jjyqG16ZCSwXH2uwh3qWcSDnJE0TDZUQWidvAPqnHUSroyV5AzxqTp7yv6KzWD25PcBpkAOo2rbt
l1VrXBoJbjGKrFx0ZzeqNPe0Dmvx0xGuVGvyMtHLOwv9rmDDxCcCjiO9T1l9R8tSBJCQIOwzmgca
JSWIKLHlbI60GnJWPUjsGwUaLQ96ow708FxrwDZs4uw5QjMrCh4JaKKgRLqT+CLvbdDontCVjVtz
G9dPDcgxFqaEMluFP1qEhE8MuSCxMuN03PVxCcCFzqliO20tk4Q3YMXDsGAVtxdAM2QnPJTA11I7
aLYxHH+Vdqm1zKPil0DuQwQgaoqNWTZQAdYlOEOX4CJdmsuRAwqHsTuTiZyeAIGNGTpyQxHk8HoQ
OdF8st0WsdweGN2iP5PdFIaEJA00s9Cvbx3bvil3NY+u0WQ4oP4iSqu4YCCyssCROkXpPwWe5SBX
0R4uQpxCCybbeNAOXpARalgIp9M5FNSV5brvUZaCPPUqDF941anLLQWgDAdtAVFi7ChxQI5EOCOE
sEW7wg3WvidHzgRq3pX1AoKM/M6vqhI3vpBtnaIPz3UHXYPCTSCoEE3T0mz99KWTQbXwpyL62gTN
WUok5Bfj9Fpjw4e/atWhg2RofmRO8cmVWfnaG/ivRf+yesZ+oFjxMhfXfqiQEHBc6xTwcdqp2O/v
GjOUUOVlf1y5Gp2PV3b1lQ1en2tVIc9S5a8o2n+88tBnn9K6MJdp6QyXKSk3IDEDG/fkGFunUsZX
W+J7HvYZewQdSLAGxX94RM//cIc6urW1ZWreZyA0W/qiqT+7on/RoG3M/xfURqh0TtlXwzLMl3jw
sxXDj/4+ziNji/7t9C7JUnEau3Rau+FUPfk8AmE0d6xvENJ4+xgWPoYRxfG33kYS8LePoabwj4+R
OEH1y8do8WJzsvGevOxH/J4bCfkKFCGKJ1DBVle7w21Fj5zQxAFYvtJX5ZlMeNsSq1DY/ZaGNJ1P
wCrRsLPHeTr6un2x1FPRGIAec5Ai+5OTrAabu49RZRVXbLUATOjcR+gJuI9DrJMwEEE6kK2NY436
1VxXIDl+BMKouHrR23RIgqGemLjIJji9eew75+0g9FkG+LtnDECX6pGXDBNyK7mNxKn2gJwHqj2W
uTfBUrkiXQfHQnYBJZDpCDZYaOqZ/5AZ6qKQitFRpFNDUeWk1LFuzCveW6JlUtfgw1TSaY+DZlCh
A+uGAe/HIINOQP+4vzkgjYBo8z1aje266qId5Dr7pY382Z6Kd3kG7iswTAQgQwXOmrzgvA73VOkr
2AQ53gD0sl4UrWfgwCQ5X0SRDLZVYrX2ivTeLW2EpkKwJWF3EounM/IysLgtOu1tOmBnetlBdR0k
YZeJ20+MWGr1SHnmE1HYkk+Pbj4dab5H/joPAsNzZG23NhrJAAuLpKvWWQcOJXoFnN8GyTgmNXRC
9MsilcrpMEc7nY0uX5Tmb4dQGWqtarz9Su7tUsewAVJI1CuAXas6D7MXlbQ1Wv1gJ27aLAnBZNHk
sz1QmmEsiNSrtt/iLeb8wOubxD0MuZdRM7bTocsYukVknyDdBtvNG+u4wu8mgB1ot1jmBT/HFh5c
XSfRaaH88XMYRvFqtAt2R9Udv7qfJiVefouSfqpri3c5dvBXA/9pve2hcBEkvrMKSo4CpxZmlbYY
r43CfymVNQaGPRuV10bb8K+5Y9qPYNlZG3jeQDPF7Y9Gjv0aKdWw3MLrHONoItI6NpB9KQFN5+JA
3i537xRoKx7imDu0BpkHSIseeYE1aEkbeTDgkbJiUfAqg4JVzx9r1TSg3wFQqbET/liBuB9kLcFy
GsE+u2zsAZqGUeRvGsd782bYVtNUMv1tvo4gp48Gu7ULTRr0DrR+V+t/ipgJzP3KaY74p4iZs9x0
eXsk76Qr4+StR7Bq0q/p5qVfEw25zz7O/Vsw/dZwV8uO8lAm/rgsvdB4MmL1x5ka2ZtNvp/9Fmek
0HIfRTtuRZnZBz4GIN3RX1rgIB5UPapHd+jsQ92rHKqG+HK2oPu2sXv5YKcvc/QzXqbgAp2GSnrm
uvZ8JIhAYnKYBGcHxTpvBUl4e0G2m+NvQ+QSWLOgeTe3XU7equNQyP7NYen1czxxV11gQ+LLsPiF
DkWVP6F/1Qfi8aeJzsDrFi7BKZ+vK9LLJGOdCtCmeAEo0H6NTjjA7rn37Wa2VZzcrlD41dsVfBfY
Lc0aFy5ZzPM1zbgFe0bxGMtibxhg2UT3UrpoijHddFD5hJZcwPbdZDZnU1d6DV6EB7MHxEBXevGk
FQ8COSfILDTQbdUR5CiEs7fQQzZPQntxvxIQN1PWFJ0hR9otjDysv3Q1ypEuK/ihiIb6BXpks71V
UCmCIJGzbrK2+VLjXdWyqurBLiOwFRUKSGNtH/R0dEDFt+kNJFcfY6//BJGLagXtvexRmki30BnZ
pLYpbaOz/z9xRoX0QmmCa3ocubUM7Ql0+/qO5m6nQXWfHcbVQZnALJM1ywtrOUrcUWpuQ79i3U8g
wQ4hwmOAIG/TitTaktDF5Ntn16rMh6wYs/tEsO9kpqggCcxt6Tjqs44yQ39rF8DDVIbziHfN8mC5
uAmgHu8+kq3ifDWiyfFqu7b7mEKoeeUDdb2lCJrgKKQ7tQDsI9n0hMEDe+ucBwhYnADEl63B2s1f
AJdu99HQsjXXqS8fdrdzP9orbItedfzf7HLKoT7bRAs+8v6clTLYZGyo1lXJi2fQGNo76FKGSx51
xbPkLZqW/dhfGCGG6RQhKVGDHpOCLRt8PkMhz+TM6nR6yEBCFuPVSUJna1XEFXtivUyu0u/kbsi8
wEQazuvuajws84W04mjv2FvLFWL4Tg6jAt3VoWBjdzeHQ7YPejMQoQJ6qgELy1SPZyep+pdu5Y2O
fDEN0UFwaswXNIzrXjNMGpCB1V6oktYQV0ArCw2LEQpmsSsfUZkOr0HvnciMvy4YimKA3OusxZIB
VNAKCMHsyOtb6jVyVLfJcuzvbo9bZEdytUiQIYEWwIfHMD1tbw/faFzrpt4PAeTjpMAC5wSZl/lZ
TRMZctAJyJCODtjdsYe05GbQVbaiH7uHZIo2Xc/jC5l6M4DeMW+/k49Mt0k326+TunFqDlYvv1P8
/+ukpAdaDGwP+Gi9CJAn9cdLmMaAetRC2s031cYHI8Xb5mMZddVTmUX/Wvqtq/HbZBHgZfIEOkF7
Hnq/Dsl7C0bGSpxuQ5mh48zK42YVGvvI0Z3Fox1M9xjF1Gc8/HVk+2W5kLnXPAASwpZuwdk1YJba
QFa6PYIIbriTAmI5oR+IC/LL9soAYOJ5aiCkoaqm/RY0fC8s4G0XFeDc4CeAUGhhf4PyDv/sMZ8t
M5Tb5iUHQ9M++uXbknICYKmX7tuSaCk/xvjuJp2Qn42KDaBmxJlCD94COgfycylwTTqT2vbXuMqe
QBMbgrB0OXYF35Dad4S0ysnzQXHRgDh5TcO2byEUDkVOUgojzbC6YP7p3U7SYh4SGHgYZyneBU9B
CdngBU6cCM+fBaQ65pOPrv8RYwLwczdMib2Je7tf8cmP9kkYqs8+5Kx7WdWfhFWlpxwM0YsRuh6f
KSxJMmMPjmDobDr+omZDuEszFm05mhVXaEx21oms8X9d51O/sqscuh80Vp3Tg1bEcdYjRIWgC+pN
a9v0t8AyfY9cFe+Jtx6gq+5CZ+/2m4nsk2vN8URxTyZXA0ZG2PFUjfdkJxM5/6/239bHd/zD5/l1
ffqcISE63teWzN2E6GrbWIbn4Av58zCAyFax/tKXGXjfGxmgdFGm31rbj7I1sO3I/7Q9SEb0hDnG
nlIIvaQ+VGFS3KX/XOpmeV9unp6C0tcbCyiEazUEp3L1t0jUy9AK8g3ZSDuhB/PpWebmwh4YeLHx
KLWd2NqjNGrOuDEZ5M7CFUF/8sEy/5w09tsDOK3fwmYYmQ4Lu6o/gTXEe85+hk3d+Mdqv4bR9CqK
8V/s4dtvT9gYQ4Hp0tUuNOntxr8mInGuQHtK9A/ji16Zx7wDswVFCsfudp5nB+BKZNiU6Ph2SkB1
yFtw3VKMMlxv0Qqg6RhqLHOMvgLYl90PVzBXc3guo+kI2oh7iqZlxxD3LXsuDplivBt9oFacyCh2
OXQwP5k1ShKRH8UnGoLqb9sWXfJoQJHusVD2Suke1yy3GbqeRLWg4TRZ9g5kzObszUcOIMxYljvy
0pIcghsnGuolVQ5OPlqyBL1O3sfdyY0j0KIYIZIVfMkob6IPoi0AE4cc3JFyKX1cT9DES+INDa2M
ywMzoVk0NLx8ilE3enTyOZVCAW0DyufbdCEacxn6/drqbKgUxml4HRu0qjGtFlrLAbQTfgegcT+A
/eHPCBl0h3bEo/63CCCnkBbXJY+/rOFj/74aExv68HhnKdgaSBykVDzbwXHStPtDamyISH+2zX6Q
6oNkv2nBAuuWhrV1GwdVCQZWU9TBmqNPQ5RM5iEhbAhTw6U7m26YmvdJhNahqHcTjSj0fSJDO8KR
x2ilTll16fPsAPlB/xHQYP/RZ+wT2rjaE0hifUiWN8Ea+e1xTc7ON8KTQsqq004ylWV+rvycgZUW
s7PETddoqW83ND0whYWdaPttnq0nQUpjC3h/ck8mMxjwUgXi5y19gnEI+gOHHvCCvLQGQw2uNNlw
JZOsDXQQST/b0UeAunZz5zLPBADk5ycC6Q9Uv4wHsnRmAdWn6VuUJsOeEnACBLnbqenrOYEnE7s7
40F7JSd9yVCNheh7yq/0BeNZh7aPX6eLoq5X3GOgby6zYJ/gOQDsbrDvwqZ4cllaPhV4T7LHbLzE
jY3vuMucpcu42JETCOlpZ4MoYUkT3qfjflWAxFX568Cr0rNtPxJoguEhtAKkdwL7DvjuswZF5VaO
yTfQ4H71euj7gGgk3Bccaox+nluvmEh+mqhqI1i5KUAz5cowU7Z3NQTfMhq1Q1nc0tALcUVd2F1E
dZtvArAWSMggfe6zxAbbaY4KRq6VpLSUi7YDWcs+2H+NR83wxMKW93u0Lo+AsGZAKujM3285wNpP
6qWdoKBxc3xIFraUCfQlWDXLBPfwYajApSGjK1S8oqtnocqC1+NwO0DG9gqOAOT8PbR+ySA8UgSL
Uut+7L9OynXTZR5yT9OH/4h86aVLV7MDt3pJiqU1aEm3aaHZp6/QDAzJ2x7q3dGApje9s8N9yYOM
X9ztadgyc8XBCvucYOeB15Y/w+hRMbhQ0A6L7q9hjV6NgMzvYXofM69Gdrqo0TvidlFarR/AqDxk
EsAJCJNtuynLDtAFyw+FZThbBRTChcsKMPbKCh77CKnrhrnVF5bwLwmX9Y8mhd5d5o98YY+AQLe8
+tGHzRdl8PJL0ZQppHEy/1Ex/Jhrg+cXCFS8XaWxxo9X8ZwkXaMO1oL++LWxzTfWGChNywMwW8QR
88EMbciZVuZvNpqkKTiC2ILERhisc+TeHiESU925KNlAmMd1HskWi8+ddIYHaeFxELqQHW4ncGHd
4iF9BUijMPGW2lrtdT68DN0E0dLKuXfV6N3Z+mXVA3ZjY2UqRRl7EhcU20egXX81zuLxZLR1ZLp2
7kYRBN+rzDyaYDm5nfieNVvCnye/xFRpqD4lXfNK78j0tkwvymqA2LyIzD3ZZRhcuB0A+5BPX/oY
sgO39C6lgbXdYRA7d7x4Q50HSn6qYyhVQCrCWiWoM0JyLp3OdiTMJQW44aesa5wlL9Gs3oo4X4rJ
jDdT4jpnA4jb+WCFjB9D4ayHIkJ6ixwUIiG3tCzxI9uQbUD/38p0kxjCdL24DBJ0IZ2bjZuqFPj7
NZWBBKRQd3hpVJ/BnutDotI17no9ZGzThKP/UoO85uAGUO/jWjvaKiZ/2QtQ+E++UYIJq/5RK9t4
1SdBVr+dWODHzQQEQVwL1cXSyq1PTdB1K94L5yItaAtkbVLcoWAARodoCtc1gypCakXlMq9BvhNr
ebpSn/UB0N4A8mBsWij6paNprf87hgLpkKZgO+E6+rYYnfHia1l2IbZb9pG2nEPFp3tmTEeSIctS
pu61j3aY5GsZvi16c/ru+1/zwIcClvvReW0hy7AA8RF/5HYUbFQAjI0EjeGJpWGy7hthfaqM/mtR
jVAzT8CDh7e6f0D3bC9GPclgPycBfDue0NCTglnTMD9N4zhPgqzqPKmtkNAC3MSIhuyQNK6xzCeZ
LpFzyg5xNIKknTxdlKq3U3JNmYkEiltMd/aIAlqp2yorA43giQXhdWiBJccwAoOGUYj2wXDSelnV
gr+qQl58F71ei0F+HUTQ/UDL1L88cINPfm6DhzkYnUvmmxl0nwS/w1+2PmXKZmvhBP4jS8VLEsXb
SdeP6CArFQJbw9E3TuPcRrk4c8c7iypQH2Le3Tzg6o5GnQnF+U6F05YgQdUInfKhRUZvRghp+BAo
Wf5uEx4YKEiUmoIpbnyfS6gjWo/i/nM9t8U7epB1R/BvoD3F9I3VLcMyOOYTWNKBudFJmtIBKLBy
PVCVaXS0PtCkCNpO65ttSsOzZbw22HbfJUFYY5dsGiP+hvFqHo6y8C5KFik6d5MQ6QIQJyX6QA4w
2UUL2y359kM03pZXrcqH0y3Y9TWxd1Y/fgiDkHuyHt2iBRf4CwhiwpOoatdedMgH7EM7eqkZi85K
YN+yAvx+49lgIJtD0HM1LdIkMnB3UcUKeCKIGtzuTyPLa5BZr+nG1JHdUb1zLvOuWEkdTJ4oRwVu
YQoABFMxB/9286PVC2ZbIFtEW7pmO/Q0PWLMSvRl0qlJxIc3FxmllTpA9QGboaeQBt6HOD5YFV9R
oJtYaA+ya9/eM0fOtnkFW9W7FjJtDl8UdQG5Ccty7pNsanZu0uX70nbVZYIQJDTi0ubLCLlH34iN
H4Fsdl7F/NfOL8YlTSq8tNnJ3ALzSNiri40l50mF6Z3ojuCU3Q45Im+eFAHXdh+mas2g0LcodKeC
pzsV6FCPzRJJq/BkO9ICrkZv7cG1wUF/hdYDEDK+xWHXBOYSUTfAmyPls3ifbFaJ3EIfDfLGKOdc
gBkeL0UmmxPzoFAvWOFBfAcUKGbSqrsqNK808rSJzsBbku96T7cn6Km0CDlKI842Zg34nR+15dsq
YZ53K9Yjk5pYQZSsSwcbzTFjICS8XQq1JXwaIGh2tNqo0l2UpuIsQKqwDgKZrOkXVemflZmUj1By
Y0catVHYncqmB+8ffHQIG1OuPSAu1mkVvtnQuXqNKiOYf4voqi1P9WRfKJ5+iiCPF+uYy2Z9W0hG
4t6GbPGJ1kFyGPQbyk+RZAKlSq35r6ws+VfI1L93B4h3iwis9WQXnusvrdZihzYux2eW8m2nAutL
Li0oWZet2lJYhhJ6bmFj304Du/uvZSdm1AtPgoaLli0iWd7ZBAtsjd7eoWswWhfu1G2IhYyGKXLr
H4ZcD4myzGybaH3zRhJJCbP8N8Zj4XmAptCdyPCvpKHDkS2vvACNCNqbupojktfAJeqhmQJ7KDRN
Pw1RMkhOWd1l8zBW0jzFtfFjXgkVj3Mal19pFAvXPQ+d+cmfpum5K0V3MaAjRj5u2fy+zcMz+UYg
F+9bZYMzAFcEo0ZzxQvWLgLBynNiTAYwRWpDvmJg1oMHwkCa17t9+6i6ZEm+eoqTJ6/4t8Y3bytT
YN37qBweZVFmoOXKh4OnyZ0AG7Z3KXNqaOmAL2oOQTdNY7vulUZpmTNgABNrQ8PBAoa7zMIzjWhS
iRf0BRIEw4GGtKQf9Fc/S5+Upj3JhzZ7MHTWtqy5s8ULxgC5G17vR/TunykERRl+hgbF/jahK4S5
RSMAEBR6ETr0RSLmReKiGfY2oMsLMEyEKGXX3iJtQqCZa8cxFsxwOUS2RLhy+im6r/Mquke3ZL5L
IG+0MCmmYWizK+v+TF46ULC6K8PYu5+DshY3lxbfgXndLARTkulm8e426XatUl/GSkFhG2alu0LD
FTAkYWyyg4s/zvu7QCEToLVp/OHpPyYqX/c+kuB1Z27TPh92HrqFHmPufufpVPxTmiEqB371XIAu
7W8BWes/h6qq5wA8eIddrbDp0ivk2Cw9+OCRWSQeNO1LK65Pfm7YL0xspqhIXupmbM5jEgOnrc19
Kfk2A3B8g2KU/XKb9DbE23qKTNY0VYf5yTiyEL+RhFdo74M80odDHwHwxgcFlV84Wv1spTPIvPtn
bHgSewxXZAkZw3tOVlXbKC+hhuc6IWRdc7F2BUufRYFXwaSLu+8VclUGc5x/BcpYta/SL26HpEYO
fDZ22j22h3j9vrPqFs12enoEsZt5+hSY7TNKHsM6zfG232oshKfxEaJ18Lj0+zONfBNsClOXiaWl
LOA7tLcP5Js3jtEu37gVEFN66vv8MBjLjRmCwTQBhTVyAWiEH3SPSm6DVgU/kEfU7QNwRWEvMPjM
fO3lE/kjcLutmB1OB5qY64kdNbdM41OTJ+rO120VTReUZ1ef0TD2IvxOo+FoTdDaBgsH+BmbSh4p
jCImI662XQ+y2D3AR/0ycIsGFU9lzL0BUZ5Wi8Qy5b01BPUZ2BcDaFaUTj1ZV/h+1lqc9OcMO87C
KwgBwWGeO//4IhAHejj1bRKeIYO27Tie9MuWxcMGTHrt6vaqpyd4Mu8OZJKg6duYgQ2QNNKjIvXG
1yiv9yDeMX5YrnWEcOn0RYBZYOmj3/8C3ixj5/bmsEN7KVCbepLvom8xNZv9NPLqMkVOuchUyU+5
7krNEsCjJSSB5tG73RVuKVaFLO5KG1yKN5IZwEKh62P0PthVzfKOHDm+Xusqd1DjZxGUXHtTnRow
pL30/9bS6l9iNsbgyAUrWtiE9osA/9cmteS4oSCwtr7NYV7jvFj/OHG+k02ZXPvG5o+ssAGMz03Q
V7Vp8piLqj3ijvOFnBPn9QkU1ady9PKjrbJ8BWVcCCzqYdjjCbigUzpERopbmPaoMYPHh3CnFurx
1mQc3G+AxOVXR/nNOQd+dNENofmZt6OxqhpW7mmYoWIBdUz5nFl6Cwac7YL/H9a+rEduHtnyrzT6
eYTRRkoazJ2H3PfK2l1+EapctnZqpbZfP4eh+qyyP3c3LnABQxCDQSornZLIiBPngBnmix+XPbAV
urt3Qjc+ouqUL7EcWsikrp/GLAjPujZ4INAFDABCss1Ky93gkKumcquVmx6U4RnxSmiiBRWSYUBh
rUBlEx6o+dPNULMBLAZuNAIVjNUbKjvAsFXkrx5HTF1FzGO96oC0ku6l90R+QkUcX/30QEoCJQBx
1y258vAbUMqTBzSJ8teg/JiDPDQozoGLCBzJeCDpdw2SaeuxRA1In5fGHUrpjbu09jYVopQ35JFF
sQXEgdcvEJ0Cz64T83GBp82wJ2fbQk12PVTAXGEojajUnAhHVms778ZsWXBt07fsxYSm1j4BHdOi
UcwwbPSLIzUhUmM9Mll/NIN+iDYRSpVXfVnzXSEgGEZ7dY6/elfnXbSijTz1UpN267Oz3XT+EUGd
eEFZrcZuQBUci3YTVa4GkHImD7VtuUcdqK0pO5b4oOTqkWGlAWSn1Fk19NF2AAZommke8PuciBRB
lXCVhFj2mCmAbmHWJlcvwRutH53b0hcwAUNw7E3362xqYw5JBDvrlkGTynjphFm9irUm2UztIhgV
Z3lk7ae24ePlW+biQlPkGU+uQy+xP1SDgbeb5k9RYguSuv6QRscs6JITVjsfh9GNAfb5vR3mRXvM
qiPZaUTjexZoVHWimrEujgKbj60PwWAHtZSWr5kLsjHVgf/+fCkAilrPNCB0hjA60qhA2oVRdj+y
gT30NWAyQ3Qja409kMXSxj3oI+S1VqbW0stFXEjnSB4CGYlVVUMJrdIqjhUVSiXrEhxSNDSElOwB
xVjegpooiTUu/+FKjlXKawSIS4UsvCdThkrpscyOjTpEvYW2HMIMmKExO9IZdee27EFObPXgbfw5
JiB36ifPYizA5/P7KfVrVVuuIaUVbe00SFakG77PVHVYgd/Jyqz07iwBwD+zNE1WqW5ax57n32s/
kSejkx+HILbliWzcBb8es9MjdY7KQ4KtAXG0ny7U06OCDpTO4FXLtNs5TTW2TnjUh/Kl/llZbiPN
QCZKU9FBa0BRqbyoRa40cAybaeCU0fprrnn6X+ci+88rznOZf12RZjaFsI6oxcbjEw+jMkHlLSF4
3Z9NbHfMx7jBY2XuxXLic5N6kRAPU7M620zrzr1Z+3u82g6NGQOxQ7bp1AVAZR8bxoFsdBC8QD2z
OqDMACSlz2GDHQR4u2pneNQAv3dj7bloyvxNWO6zix/CG6igpxPgSaeTX7p0v3eeIJVxUN1CjfwP
U/yP+0ACDFVe4O9eM8nYqey5vSCihyxMw00FndqJHcJyoOxSFDq7NPiTn0z3IRpN6/lPg3zXrCZ2
iL8P6uPCeg4sOzp1AsWXMtP6Kx2ayEmhlbmcLSMCcVceqQV5EirRV12xWYrC2BoR9qi8M4ZPQ1O5
1Pwy96cpWwNcHXqvghLqCiqmdy390NgmPohgyWYjQ7moGkeAGlQU6xY19XvfqdOnQRu3ojQBalV2
3Uq82d4F+YfdAWPbvgS+7onl2EP+tM/+v9rzEvVrlL2aEl8qewXKS2gyD1OyrARt7Ul61cOcP0tb
s9y2zO2Xc/6sQwoTUdjI3cxJMWkHL2lg90cyTfZwmfuoKKOc26j5ySm0iof50hIPnG1ZhsNynqby
289TU8dgpNPUNJEOKuer5OZyNFAhWPMRgcEUkJRLWnC+1Ko6Qx1A71+mHjyhhj3qWh4zZSO/yvSh
oAgEyZZmmMbSBD9n6cDug4ImNenPA5an00yzaZ6zjJIt3jfOkTqBA7uLWSpPLcr4V33mYMWtFjLT
ygMvvmKwkZpVJhc807s8HUDVpZq0XGEiQK6t85Mj2bgLggOAwm+oc3JT83KkwjezTZg/5mm1wf08
LQ3yNASz4q5OsI/CMoimbcFoTZ10aH5O69fYKgwFVlV9o7F90WBlR+sZNwAOgpq0nqEmd9sOhUhI
TcxN6kUtG+6X5OQG2PW0qCDe+v346jXYEgWO3p5AKI41HrUdZaQzOkS+gERsUm1pqA+Wdbw21BBq
zzP4OQj+rba6+80+zfzpIkPqRQvHFd0GIY523zvBvWm3+lcHQqyez6JvmYzbZdXH7gWCv80JNB4o
Jxxy79Uoz+TAoEq8zB1wypd9UZwFdERW1MG3FjSm3qDsXK542UVnLwyySzgCe4DUVvSNmw9tYYyv
ForSV9CxFWrZ7G+RIkbsoYZwJ965w9dMt+tFlFjBVQhuX6gDWwDUVqgODSV2U0ehgX/ZN1FH0ZcH
xwhBrcgUBKqvuzuydQ0Dym5oh7sSkcGNFWjdjZ+G5o1R6be1WtTGSCVRq2u0cKOBMR+KwBB5DBzH
PCCqsqeilrnQhZpQd2YHkJ9PneRPdjoMSC0dWMR3v9vVtGCH1g650ew++Ss7XSAZtfCIgpyp87fh
qN5F/ljvpo8319uQGyCR4jgW6Xae1gSm/hy73bLU6v7MORI6PTD5N62P1zUKzaK7OvEA+82h2NBX
nlgatlE8O3WFMr6uSr+6LlAAXSe+eQnIkwSXP6QtVkmSOdAPvUMyKMYuJa2XhWf5P5A6A4w7Td76
6B01euWjLeWwDvFoPJW6yI8Gsqub0bWxqAT5wCLI3OabZQZLbUyzH+DgfpJssJ89rUdwH5H3C9d0
fZ/bKN13sCe7jYXbLrtGN74OdrvvuJH+0J3xIAev/ArQJgS6wH7oyHoRdu14r5si3vp2mRxKp05u
bDcMVobXdl+BpN8ORZJ+14fwi0zj4ant+gG7T0OcPEPaJ9zZ+dppnfzZkQgHKlerGfeR44bHsorY
sghiCQpsVh8j1xjvm9q4B08H+wqNZqg5+XZzgn5YcQeatjey449BVKYtu7MAbd1tVYcAUkfuSvNQ
XAcCzOCiZSI6l0aIzb5ltW8VW/M4Et8AroFMlnIwaz5sUUMZrmMzEVcUv4hr7qPACwGHAvF6ll0N
aK+5iyLDJx7TGzKhhktDZrrzrHDRa/ku0Jp40ynQB/6rtVvTTaMFwsbdwVLvvanDR7XA6OdXaoXc
z8+ZGZ7nQWmOt/4QRiDx/DmRQMJ4hZsp3mgEEcGC+mNi8nFCo15kbvWNyN5GxcdZJHI4NtlCMEX5
NhG/TUfyocOndtEH47EG1lUa7gESNgvGweKRp9ZlwiyMkMZAcCDeEMYhEGZ9RoHGE3WSiYfG2bTa
D/8aCHekyQJ21CqXLYmOws6rL3lkG3cmgmanP9jbUny2x2bzhaX1h38JANCS2Cvwu/ni+bF51weo
ppoiWcJv6w9+VyRBTg4HNyhhEqhULQP/QlM14J7w7Su+mPyxhSTTrkEJ96YZLOPLiAdvIJ3wDa8w
0KfUiXYaJBtvoFLtgigDBclqJHK6+WOvRtY5AkMBL6aR5MB8FIHRSAuIihsZQ3Tc+WskXVN3AFGk
kSx09S81wEfkgJUeai+CdRZU9h0Q4vEG/xneqUsi8A1DvHpn1VaBvEBoQS1c6tCjtkCvapnJN0gX
bYbCGQPUJIZrcHQZ32IblYVAzMZPbNS7lWd25k3eBdq2HdvmwMtmOCHPDvFxJy/vSjzmUZ7Xihcs
Ix78BODeRXg3ygqMYYVTKFUR+6XWdLH802cbpfW3zxYU+qfPFmkaRHZV7ReVboV9nS1rK2wOU3GW
agI13xyo7Ks2tTvUkdT7okuSboHIKijkKFznVk65tiIwBkxGjrTt2u1DbYE0tsCutXE2PcTMlmHv
41snY51HeEcH7DQqFa9eHYTUnU0dQOzcKfqt1TvioAEScu647M90RgcZ52Ao8zlfzR1l6b9Fte4v
ssrpN1YcWHvXKcI7d1AlbQOofoE8OaHEs3gmj8G2TOQ3rUdU/3RL6LEHhx6PEmtO63+K8U+n5DTC
iVIAThyxTdeH2PaDjW5AcJc5LmpQ/HRdKlhxbdXNwmiADGwBC3rgDBBpOxm/kJuvg+aUFQUicC32
GlHUNJdGubUBavnU8D+59bjztwJQRMhYOfKxyrItSrmR18OdtzFZOG4z1ezSYhlDN+Q5EaV+SEwO
2XFt1F901n8fYs+9ItHc34BNGxXryt8yPL6spYPMlZo2k2JL/kPsfEybI268GzNUtoNaGwy7GxeY
sSWyi9GetrbULPQ43k8bX9WLio3oUxOxzGgflzoy0SWqS10CrgYRaxeG0bK1Jzz9xAjtipdEyzco
z7h+XBHqNMegQZwmHc3mhCIT0EtkIKo+QaDTNzdBgaLy3Om7DfXTQXOi15gX5rYXpkQNCw6RCNpz
Xpc5SvlTBgYZl/cLMkZ5/eFjcSmXRV0j+6u8qUM6QQ/+SygtJAWSt9Bal2fZ+QATQl9q2eSQaOwS
oPmRuscpVl7NBoxvzcJFaLJfkLFSPXTmAimzz0vnZrYXhgnqj6lXWiujANCwx8qA4TV+rOlGwy0U
npvExj1Hp6F7X1hpDIUzxM3pgBxV2iGk+1e7Ab+QAK8/WT6NpPaYRAY0y5c01zwGQkIIxauDmTnW
2u5Tnl5AD9ZsdHCBXwrDt866fDQU3IsOZKazMeysJY8HsY6wUnGwB/Hd0xhkS3JJyDZ4ooJ+T2iv
5xmqSH/E7iQETZ8rxUKDKtnBUwc6CxLWCDApcBixn/PWZG3GygZ8V3kxx4bSeT3syIdMNsv/Gk1T
zm3yoWaeZ8xezj3ccPKVwSEoWXVIGHUi+jjEiEZWqJdHO+3dEoRDwffJllIPubPKyTdtpv2gCOSn
IGUSRVD5CUGe3gDNfsLe8XM087fgJg12WfCoRdoTUNDW2dTAD9hZ4QCl+CE+l0MqwL0ktVsUoZnL
sglNxHjSYAHGSPHeB8kaIEUB7EcE4Rrmh99lXL7lAW++VAPy9hoP9TsseFxwT9Y6/h/zZI+XVgsW
nArV/E6y5ni54n5gAt9F3A2n6VSzpHYwKqypRFKikkj10IF3QGYNoMXrsRtsIhNFe6DDeAHw8hZi
ndW9OxbeCcWC1ZLsmgT5Yl6F5U3iW+PVYz3WL2pACK4AZIxydrRRX/zg5pDT7XTxGORjtejByHei
w9Bp2UlXh9lGTdnJeslSc5OPAIR3oj7XPMgfPaBg72rXX+pmFQLXsqq4SB9Z3+SPiLwC3ljIO3IM
8vQClJR7Q60qrt57UQ7TJNCrA61qGuI+VHPmakOLB1G3p2Y6snEFLJC9pWbjFkgPIsC9oeYQ+TV2
Y5W7stRFwRUa7ZHdsJbUi0y8dihz0FtQr8vb6Nw0WKFSr96b1Q1CBrfUiaVrtCjYoO8yTbNGsC0n
FQoyqkODxQFCSVnin/Hb8s90pnXFF/BldzvTyNm4MEu/RQB+ABO8kWFjmEGZWZ3RIYAqwMGPcJib
f/Kbh9EIcqFhc/O/P9V8yd+m+u0TzNf4zY86nLqT+9a490OILGtQCckXdDofQPzBVrlV9AsIJaTH
ucOJQElf5tlfQ6g9d7tqxrlJZ79fIG2QkTQcsBz++2nC8ucHo6vQJ5mM81XJyKvSzhfcNm5HGWHv
pj7EPISakwud0pCiiJ+hvFnuNSvKrw2kIRlSQSehGDvpUAwMKBDNL5aDaX3YOjqLk40GUaPzoO4A
YKNlvalkglqJn2NpRB4DLdc75nm2jzpqt8cUTyK66twxgF6n411yEW6IlbkMW75OishbTlf8OTGi
VCjcBod3R9dOpcAuuTTi1TQVDQ7lS+p04c00VSqNYh1GWjm5eJp3sUBCtAXDhDxwqcvDdOak7cfZ
H2zk0ru2k+LGxjg6iJ9ns42raeZZqWO2lWAJXcY27njQu3l3ReuAmyoEkzo1fZZ4d9KEhHaXmDeh
8ighr7YLG9YuqbO0Xe8uR7wlKzv9PA3qJJQCUcSDyBcgokLW4sa1rAtoUsr3YmQXjevFuy2dS+jg
RMDi+nF9cqIU3Eye7u+dqn8kQDrB0AOFRUckYLLPJvIge1aON6gyX+gDNgQpi68g0LNv4yh2Lngg
ralFB20Em3NqNe/tECTI9DVA5BVeWS9d7oPFwMmCY5Xaaj9f8pfm51kSGx82OmtTm7+E4ZAu9Dxz
XqbeYKsb3n0iZXLLGEtuwXvNT3UzHskEcYjktgEQ/8bHswyqeX2wJLe2vQ1BxnQlLzo0Vb1LrLw7
U6uP4uS2Evlz7ggwaaiZydTX4KzgmhnsZ1ubW9XSjfVkSy7UkcoMRRc5injIRnOGJeREg8ZOVvNV
A0da26QHA/U8X2Cl5t4xeuC1DBcfOM5H92jz5paG0Z8EXEQJpdLi0+xGCRreePoI85+QYEfZgf3r
MpuEX117zwlP8yeTjh8tDNAkoiYVXxj51rzyF5rGnU9/VWn6gJGaoKsiFzp4IzhAaqM2pr+KJnVa
D6J7WSaX82X1Rrg7rQRuff5L26rVDrrbfZm/OARIwfsv0/386XrBvJs8eKG5pv9Dry9U1HW4mZpj
YR/AsNGpYppu75gQSdDyrH+N6+bBTLPkIYZk48HRdSB0lR16dpaWN5cR63CAP91604DKaO9mhf0o
QXRHTjo3jWXD9eocWUxbaSzPFhICfPdtbzx1zSDOnWrxwhs3wIqAObn0jPuK99XVBelV4ybGPZla
A9ReQRZER7L1bVDssijXl9MAZgb3vbHxpTTAxAmIHtbVbbynycGJmxwQFTEW1KQBHn4sGjf6WzK1
I0KJad9WW5oc1SbZKbbEd+qkj6tFxhEp3OBmunpjdUCbRXxNk7lO0l10u7iQPx28OH7NE8c4UavH
8nDrO2YLOhH8QaPWB7dAqqyok0w5JDIXduX3B2omY2HtnAjBOnKhj9ChMk4f78mgOdB48cpR39EH
AK2Hfghkj60k9lRd9KxHVns72o68FmP37nee9wXS7sMaioDDLujRDKW2AukWMJqx552KKoMCHyqo
v4Cn0AYlbtYcizYCdM28ncwtFPhkWYIvBDGa5ceOGxRquwmnN2PzE6Q+jq0oFp+AelZcQ0zcsO40
fOwi8J8pfx3o4k3WMn8okGTbyRoSP4jSeg/KgVLbWAO+2fVXDUHOt5gBAJl09o/ESm+adDBfZNwM
0AM1xS23onbrlmZ/8EueIE6R6GANtPuHZIAyroBA5zc1HBql9o8Iw50MwWD8RP2Nb6X4aaQ6ShJU
HXnkamC2MBIUn6Vh/wSNCnA5wz67dar6PPUcpBERUJvcOGrvyQ3VER+zDcptni2Kv/lEdADJ4wE0
3yjv0BbZ8J45IdClnvkM2eESoEQj29V9kzyVrX1yCiN8Qz1PuiwAj75Ix9TPuTEgtWYN0dvPkV0K
MQoamfMAsG3L0ldaHCNBFIj0ic5EwJPprPuD7U9+gW7oeG4W6ac8m8at4QhmsN2nrN6UY2PDvcZG
vqf02tTrIEu2ZlqJMpOfOTpyplnSst6RvY/ThRiR2L0UbVFsOegHns2smPiseOoa68Ryqz1QSBDn
TfOJzwpradjjBgTapqc9KX8XcTJUqQGmwIYcPMpm0ZlrhZ1fhtwDD3YZJv+i3S1jufAj6R+9BLIj
gMok+SUbGRIuRreiDuQJ80sEDUFrFY/9Chgq/zi7+QMLN0OQOsveRjVnB6DGUWZt+xB2pliDpazf
TM0RRGw2r/CRTKd9kJ0xgsA1PVEnHToHhGEo6rqlFs3WJ8bHbLbRfcwWWFqwaaVoEPFyzWRBnFmQ
Hzp1rlFdqFXrab2LvaxaUpMOCPKCmDOoL3bpAbCpPGoQiC1tJSVCtj/MMXmoAb/O8aerWCW0X4sW
3JPhYBf3WmIciZvBhzrpLkGt1bpXNwU0+iIVi+5uSoh239vdeNQh/rrGw9E5hnUQLht3tE91kltP
OujSJ9o6KfIDWCiLVQDU3Bdy89PSPhl6sHXNvEVRPX+jO6auIVxRImZx2+h6c2yC1l3pQRK9yeyc
l5b3tU1Auzo2Y3TQs1Tcq4HUXyU5NHRMwIWsKOH7JMU8vDb5e4CATxg23Ruypd2ytb3wmriGATHX
ESyjVj5CRDn58GVQZJGQYxQrA8nTFgy94P6w9VVPZxa2qp2QLsIFOJt61ZkVvrKmh4q7izIhdQAp
pgy2NQC9W9bYSMpKPIkaLCPA7++MWw/PmdvSQWpd8aVN/xlhM6xqjqAr/V+mYRvfQllOaXBdmaez
rym4diGm2H01x15fyiTuoKUXdLuGt9pOR6bzpkNJ+BJ5ufGl7PsTcWh7AuydUd591csUcpCov9C6
OHsQKL1H6TbOgqqAbCgeyQ9aLD9scy+dCV2v152owAxk40GJEo3sQB/Z52l64mX1On1i9afwAmRf
5JGFcgfFgvjRy4pTnmveQwzCpwOeKOou7Iavyp7qeFuYYWgfuAOqlF/tIxIZi9yoyx0ef/0ZC/7+
PDLeQR/azreJWUSLUu/jYUE9ThiNi6Zk4TbvBuiaadBBcD0V1FLN2eYk6bADtq26bdWhBrE+shew
UZM6ZlteO/Wm9M12SSg3wrthD3zr2NzfE75ttmtOPG51YIcXKdG0zspWnlXdIrdWr4XE0yPQDPNG
JExbR+os4MPHGdn+1AtgKehzgJXcxvj1HFykDjb16BSPVSXeLUQZ36Oy3iAQ1301Mj9ZAT81XKTr
IrJn5PVGpA5fmmLUFr6bGSeXGBEoUExthogc1jnBgUx0cFQUmc6QpoCWazFCiBbg1U3sSFQrq4I7
AnGRDQQA0L+x+BmBnPziqcevkOaLOTb6LrYZHsmF1id7W9fwligTaKC3dWBDTMeI333cFa7J2Wvh
hfHKYCy7eInuHsMxr9e9FBK13qgXh5rnu11nP4a8bR7cMGq2vp9n+yBjUEpTk5HHaEFxParZK0L7
8cp3RrFydHfYgUKQMOp08IQo177DzDU1OxTv3fEPB9tiW55lgIsPzf0ofJT2J1G2R04DBYZQeLiF
MsiHrXTOmh/vRcjXf9Ks8C28alXnqFLxjgj1FSCLnXaP6Bq+hS4KihXV/idIXe2Q6zXxCoPKE4gU
q9sQwZjJRk3qALq92VlLzQEBQmu35iPKwNuDbRaKm9pF+LCCNMTc5CBQxPdqnWMrAELa5d4yUQzj
kGp94nUV3DusSU/tkPhLYvTmf9llbqWn3FLyTIjAr8Hlm0KUsFjgtjXewLchgfk306sj+QCuF/xH
pCxq73W3AuGQetQO4YdvG4LR2DJleBcaIK+WPhJZ2BuOX20dyjy9HJ4hF/NhJyAGODInO/mPIvbX
gTaixqBpkp3dReEGSQ7k9dwRz0XkysFug6KQJE13RpI1X8gjbCJ7G0Ocb4HFVracqOcbTe+3f2wT
8TzyZaiSYa63Mzmo4UJeQ/2MvlJZfW5SLyL+3Z6+/zLq/tb729jZuVVTla4mt2MwHroBSVdIoZfH
HhGAjagM614AEgaZYzG+5/5N0Xf+d2ssf1jMdR9lamBnGfT+CSjwahojs0JbiwGVSnS/6YNdbWMt
zBF7UmsgqRY8nTqk3mgtdf11rpme66oLkEnssxLiPjYqrzue1RAoHuRHJfbsB00GrM3b7NHWax2/
064CN01mbVIGcHGUlMUZRfBiDdhT+VQ5xjcqbdT4Nzy2kvd5jB6N4Urz2Yvk+M+kqjUgjMvN3PTq
vtxAHjncpE4QnNiA0ivWPxP6Pc9bSNOF/nBxbbc7mRIbmaj0jdc6mRys/l7vjQWyBSUQIrglcqww
ERa2ixPJ0GSqyVSTeq0WtZ3Ui72i+Ui9fxqb8BCZi0yAQFUTFywTsK6EAK1Z9u6xlDqWmsreVRyE
AUPzUko3t37IxHHvoEe7AsNtkN2GgSpgkNEJTN3M/iZQQ7wCrYZ9oxVQ/Rs0J3kM0rxaQ0lqPKPk
Kz3wIuHbscitqxUXbNkyHr60prjL0tz+gcJ+4Bs9+R6Wfw13Qgn4RpuYIPLHuwL8CB5CMV52Yk3r
Az3QP9HtT3bTFnzrFNWkPuQNZnZFbfdRCAgjzYJEWRE2WyZDkOGOECSaO4zChuCHdgWDDZioCqD2
EVxZlCzqjtRshvyjSaWHeDt87h1+bVJvrKM87F+OzUdgdEqRrUBte2K1I/aeWmABjQhFNrfMwjO1
6aBc/HwU+zhxopOBxSfxGcSy++6zPLzyrrfv9DG5EBmCJTprC9hovCGvIRu/o0ovuGJtO3mR2Rws
ePUpvNTK9edc4K+YvERd8I10a2uNCCUAwn2lP0cWuOFwX/u3IqzBx42H/xk1MshB+W2IoEtnnUdA
xSGOWFt3TV43y9wQ/ZfYs15bz0m+m2WD4SoPxdISWyU9eecehFb7gOkQZAtwTwc1uFG6AWmS1ojO
vqG9pppvTwvKNjGyUx6Hr7RMow2CiyrXhWu1yYEWa56N3yCK4Ys1sXkRr5fs/fSsVXhVKOYvsje9
RGmHstudu5xdyQ6ZzhQvBq9cgLB33KJoJnt2IC8uDDd8y3yUQTvgYrvEadhdXBRQA2rQhG8xpAGY
Du4N04n87a8jEyMaryKzngVWNmdQMIkzVr3ijB1IvGO99uRaUXS04mgTmFl5n6Zxe+WJA0BLB2XQ
HjGXZeXr+o56tZY1pyBwv069+sDfaxR/HLE4wq6F2xokLxEhI186gLhuwzqh3VArKj2++uc//vf/
+7/f+v8TfM+vgJEGufiHkNk1j0RT/9c/uf7PfxSTef/+X/+0PddyGbPBYcE8sI9w7qL/2+sdkuDw
Nv5X2IBvDGpE5r1d5/V9Y64gQJC9x8IPUJsWlAjdevbO8hSrAirp75pkQBmulM47UudIn4tvrbaa
9rFBFyZHVKxsE1phdYy1O0DNWHrhY5htXeKVg1yqvQiHMtpOKoNJ1PzSRh3xJQQQZl5mxAmLV8jG
ZBAIATMRHYLE/2wj5zJLVzp+4wfIEwM9qw5MZP3ZUoc+bqpNjoceGJn+6k0r+QVk+tmOtTpW7Czj
FfBIbju50FhypgmgpqAv/v1Xb5t//+o5tzl+WYwhB83tX7960OPlWlc7/L7pomGHJHAA1JQxrjNb
K1+qBEkTtZzoRtRBl65dXcmDo+YJpdo6YGJ/9qqErx2y0P00T6crmg2rlxAr1g6M1eFLGlXmKraS
7uxAEvNYFuDJGJCbehp18xFfL39XruCfBsZbueo+lEaCdDjRbWZUw40MY+tg2yaeuShpcP7D79Kz
fv9ybB1RX3w7NqAhnHH265fTuUnpAjov7qdFOi8Y6vJz+wkZivwWirLtLUr1H+lxGNVC29Ajj5rK
C3AtcTsU0Co2Q+8VMWC55iwTYE3DgykUNcQaGGu+mLI6O2qNiJfinYj1/JlpBSSDig6uQ24fa+ca
anl1BdB+g4Q9u88Vm34JblvQHST+kWygDEu2TQH+R+qlAVXUb5ji5UfUDKq1VWSjbs/KlghOxfvR
EWDt9wVKHnsfnBlWl1TL2kcVYdjcQ7ue3f/maxvXmpt7F8odvy3tSWHOlMw7qE6SnxvbANVJHYIe
WP7qJ8OOvledlz006oBIYVGxGARgaGQRbxctSg8PmVeIB1Ma1UYzxnxNvTS669JpdA7y3psp3mgX
pr427Sb5RC7fNo56KhvNhjpKUw//wy/C9n75RTBddw38Y1DMdlCG7Fjqdvr0pMKTxRxAJRPcM7yi
IB+n95fOAL0y1RlG5ZPh1eYrLcJsre1PAfP7ixZ6WKJpFaQg4+RMqrKTSiyJx07ysHRaeUVRLBql
9hYBBAjtnTKGuExSHmkQdVDzX9qmyQI98bd17QJlM1huunO60Tjqtmsc6czuE6tciGgA2gqJIn1n
u/F+7v6bz2SwK7n9D8+eXx/76ssEARS3de56JojoPP7rl5mElW6kme7fOX09IBWbeQsD9QtXM9I8
gL4zY92mnnjJdbamtS55VFWIKr3O7sBwC+JZpBELF7XHbbGrkWdQz9lKPV0/HVBkdG4ltNzgQGZo
fCDoZIQIpwWjWFaJAXpXU89uDS+JFhRsoQ490z46kJ2JECUArbtmS7GMiwJcNr6X3nLgXP79t+I5
f/uJWbajM8cwQbmr29Zv3wpWVHYgmpTf6ZDLPVtKMAPUJgkgbErlljhRAx7Hq764jfiYrj5RL+cQ
NCC6ZLKBPw+FsS6o5Ila2XcG4OB63qzqKtbAxZ3VS4IC5gz0HJBCDo5MIQbjYOvIwnmevWoOdJqj
Q7qxU6Ghwo9BihFpwY6aUtk6FxVK4WD9zUZ+hQo1Tc7Kj2xD7WKpbWsvlaL3XjjBaN/jMQxdETOI
wdTFyz31RCU0tvwKMlzU+8nbs+saArm2dwqlqX4Cw1f8nIpNbNbjTjAAVZRdz3uOZwSCimBNwY4f
hP0uwPjMXbS119+bqoCkQCEyUrfYKamW6usGKCilDcJykAgLAwF6587w9xD3Li6yiUAzPzb+0c2c
L6mQzR2Zcry6VilyGBtqUoeRooRKN17//W/EZH+7dTzobXgGxAU8ZmMXrvo/PYcGT8frbrDKuzA0
VNRZPMd1Fb2JDqBDv+f6FZmfCPA8AIDBrxe+FWDEQH7ffymQVtpANxUsGQ6PHn4d6VWtjg3McPIy
LUKNK7hYeBdXiEmBrpaabjSuw0KO923ogFUkEJtIKeIVuZafQRP7/yk7ryW3kSxMPxEi4M0tCdqi
KatS6QYhdbfgbcI//X5I1jQ1mo7eXV0gkBYQiwQyz/kNUNOlyA6j3bvOonKzFPMG8dHatca9LEI0
+pxSFrFC3sRAzTauwbdcMoLiQBebeLbbX6jXsMVZGTXNjThEoGo+ZCZUtxv12soRksAJTLtRr3Gb
K6+BYf1Cva7CUWy6Ie9ul5DXmSDmgPvWU+dD153uyda98Jr28F9HSDwfRqfjFK6q+QmEgvOqhfUh
iCrtA1WRdsszNdjJbkmC/nlFrmtoXfBOPTsIWW+b7ff7tEY4EwFehstpq64MCcVXJ9GZM7hRrBun
uo9e0Vw3wecQrWsccZgEGQFoBc4a9Yv4T5ZPxSqf6+At7WfdD5QxuxZgQ/dd2esHOZPVkgG8zzSo
efjsVSPkZHyy+mBc65jGEZyGm+wuB1lvNe20EZbRrTV7/qyTDbLfyChDVY3bHG68w8RKXN2QCEph
dvk3BOCP0hmyTdoHa5y9D0CM9jpxpgj+BPapTtto+zEmYK/phsEduPk3NxZHERRvkBnSq8rj8Gli
Y4TnBQbXVtm/kucKsbMLy9cynwU2AVW/k0W7zrqD6AGOyyImzMajEOo26YzyiQi75pdq5jzrdZld
1drZadPoPMuqMQ5aP9CDeWssdbpZC5w7bt2DISsuelUcZLAW0yDUDTP7IANGkcyQLXXt6ICN7lUI
4SyWXKTbPpRCe4obi6BeKQ5G0NQ/ez39biSzC+dVBGu26eZjrRliZ2ZCAQ80I9cAi3NbxV35/E/z
ZOlhzKt6R8Ci39Q9lnhFXD1XCxsFGCQuyQsRpVBKTBtFVvCTok4eLIwDZF975inlxjU5+XH66pal
P0/l9JakEDTc2tbItbBjZ3VrQtAoeZEu4oZWVvkQi8bj0LQNGbihH9KzSMp6LTTVe0KfNNoZbhXj
OFNOp1QnOg8k0XmxdRIFdhm5P+BUbbI8NH+GnffQt2Rk5HDgAN6TGUbxDkDTvP33J6Hx+9uSVYOp
GiovBlvTNJ4p//0gJAxVt/qo9BjGa4RYh4D0kqQMIDf16EWdtkcqjIiIrOvxjora/nVu7RrDG1Ty
bafSnpK+YD0w1PkfJd9KwGXm+70HGP6QRHUQ751FYkXqrHSIrLL/6b2NFFXpFgNbeYaFI8a461CI
/LaOMEAfrztzSi9d1OqPskElA/L47x+D9vu6dPkYLJV1w/LPtuUO+5f3gTOO4Lxdtbt8Ytodb2GS
8pNXcT5GxIswgKHP6GXef/RZaPjmaNS/PwzkiCoD5C9//VGFnh2ZsmT977dsar+tcxzN1VyXv5zL
w8P8n50nTFMNo8E4udwW9HPgNCihh/E3YsLZEpRHbSfd1V6g7v5TLd/xjQaU6n+rQ3Qbb9Wq0cXf
sNq49xZJ6/hWXBdoNG1kmDN3vPhNt9ByKbPNFAmEg0l5+EWqRc9KWH+eYYRg+kMHzaMINdOflrN7
vwKLvP/LdlzuH+6REIt3Ottgk42FYXumSvm/v87DNI9xM1vpfgqgellrA1OWfsZq22GhSQDJeR7m
AUPdhXAydOkjoLfmy71HoJgz+SF9XA1hgGujDpUhHkesnCIEpjPeObBAy+jFUvP6OCytsigPIYng
yR7DU2SqeFX9Pb4YrBSesKb9UIeHf/8O6Et04b//u/x4XQeVEFN3HDhZ//3fhWqRT2Sywv2Nw2VU
61tEhti+d9bDgsQlGirNckjnUKADTn0/FXDaEKhepTYqjmHXI8ynOoStQ93YTWg5R+wXoO7+Ur63
S06Y2/xfvs38kYwlGvDLf8ZSdf4nnmfoRHhM1/09iqXi6ls6cSR2WZeaxw678DVIIRBsgxV+jXMP
CTyA567TwJQ0x3gl60EAOVu0GElAx0X01VPLDLMjy75o5BzecvKisltRWsVDGBF2kcXSQpZaJIOK
qGPManlsqyMZsx+ArZKfeXVh0cgbqQgNMlKB+7FIDa+JDHbPZpC121yt61Ob9c6RJPKwaxtzfoSb
Hfo8yvX3ZZ6+DeKf8/w5j66g9GiTTKyqixZGvEBQkOwvAO3PbpiWR51ft7aEhzoUqMLuPCtvDbob
F9lLVsvi1NXzHvbzd1kvq2SjPEx9Hfgay/717QqyUixTCm3sV11RhDtZ98vFXKfddVMiHn6py/si
P7Vq7VtDjd+kHCIvZUH+2ulZk/9aJ/soVlMuHmg9AYv/vWusqNkTuqq3Y6VVH0IVFcQM5hgujhr8
TDcrfNh+unVKKp1wfaoFyOR1Sv8gy6Vbhus21GJWt9MmC4SNq9qcTmsElHmj2G3+4nSRc57N4Gqb
EaWlqssCbSVa1cIrxMrJ34Tmg2LmP+89Bkv9iQi2w6PdTFkvMpJEnHNoHWyW5RzeMhHC6YgWdNZZ
9jCzOt0TGycAvTTKOiM1N4SuosfblXJv2ubTNPu3OWJWvMmcXJ1mF4sUpbhlnC7cYqN5mrO5zVAG
9ZOBv+V9UkebYx+iZ7WTs5pzFVziLDy6lmqVa+iAOFJUwbTP1Nt12jAwT1i3vMvucp6RtP6qRUjz
KItB5JoLawdc53IL8lCH6Glktn6So0I3VPZNxd9E3pWsM3ToCOS6L7J/bMaIcwRa5MvPZhqDb0Yp
4pOLNhzPmH6rR6b5jNCj+WzMSGHhJ+FtWtuKivWopCscW/In2QWMgQGFDTfSWNfLjZ6Y7c7rURMW
2fdsyLLtOJvxwVT06ks2ByxAnOw7CEjh222pP+A6Oj4rff9Dq4P0O7golhJFq13c0EuvrE7tlWwo
7PFnXzvKUxyU6WkWbebLCxAZf3AXOGPZTxek+pCxH/lTyItkwWtZeQbqq2O2y6rB2wlTqb5ivb2e
1CbY6pmAWuqRxlHahyGpyT10BAPXPF2Sg5Y6KhxrPjIij+qqGmO1Xgc8xAItLJ5kq2bHvW+z89/J
YqR44JkwXr1N1fAdronRXFyvU18wxIi3gU4gTxbrolGvUBr3t77tCD8bq4ByGwjjDzmbUznKDpNd
a80uXHvRldF8zo0H2XarKWBC5CDebrfqKm1xZM+C1cpy50bG/goREWhDgpcm8djPe15iognJup28
j65UzZNhFp/3PNjuFThxcbvn5euwRdug3MirZhYI9tlxyKQvF1gO8r6JNw+3+/q3e5aDRqH8zz2H
aYNgP3m3a1uM20FJrV3XeIeK3BwctK4C2KH0LC3k6ZR1DbBVciJV7Fh7T7a4Sglbsciwdbv1bCF1
JJYb4tq24EKWOQYQ1dsgdt9TI8JIWtapyItGJ3l6q616XV0BtQsKJfWjmBeAkb4koobP0aDyxhIk
e4F3mb3UOY6Ug/ckOwAaMDYqVKqNLFZqqj8zWHaUQ3AAc/0hGoqtrBMuyeIuXmOFOh3KPlt/DmNe
EbXgcroa3W29z17U0Gqvk2bv7j3yeur4b3blXs7Vza135hMp+nVdVQ+ynxzahCN2bOooDrKuGNXh
NJnJx1zP3cE16swnspvszHa0jmpa5OdwbFipj35QVAc3LbG3Uot8lUXV9Fc0b7PCET+nbP6DHbT+
xS1JLiRNUIAJR/huFiYbS70Nn8YAHZmi1/NvuuaSK2YQgFl2Oq3+PbEMhPjbOX+WVx6n0jomyWgf
kAbcVa6NvJA+Ow9tEv1lDHpNmlRB3NJ2rXPMW2NrVqEGmw7L7CmtvbUagHlQxKY2EebIQFl8d0P1
goT2kv4kauOOfMgJQIEo1ss/lS78o8bZ9as9qunaHKbgRaBP6WPDoEL7mD+vDYu/Ov523bgL3Sf4
ENDmomj4AkoYgrMGouC/rodFN3y+UlRbb6pQMEf9fNugAeIHGRY6Ra+x4J567TvEvFXQ6+LDE1Dt
I1Tj9iqxjC+eaR/rfJm18bS1O2N0ZIy9di3ilFyOHEksMojq6SXwtOroYCa9kQPyYjfrifsNakmG
Qc4gDsD03dfZsx9l+2wnxHS1erhEFeF52I34nS9Xyr0QoS/TeeVn1x5GNUq3td4E34JmextouP1G
7+byqKlEuDD5+3q7EVCzK6Xgg0vZEJx18jfrcpkQ4NKxjLviy+xG016HCr7N2677SKtpJTsoBvw8
vPvyB8SX6mfPxXxKXkpYkLcFq4bHEAzEyUYB05cNiiW2Hk/N9841zJ2LVOkuSkflvTT5yy/XROKu
9ufIzUjhgvjBI7m+fVwlxuor8C7hs63gUBMsJsJyRJOA+CGQ9NHOdrgb56rZ40IyfZlLfFaWDzrN
0VVAADM/27PiAcFL9NXMK+mNZNVbPeHgEYMn2Jdhim3YLfFN9ttCO4F4lk3qchGCkQ1a6LwoI+ac
y9u0URLruVoObsbarjYSZSNfn7HX0+D+EdmjuL1QqzyedyW6P2s5SPbqQe9OLCfPsmSPnYfrxsBr
uCz1Hctc7QiDauWAinnLTEV5SsPqQQv68H10Sj4cyJ63WGTTaMCc1HzcyFY7DzNfIXV3kMFHkKQ/
s8pVL7K0zKiDongrlhmRp0NYnfilVXPd/5DFswi/SUghJ7Cn7qmzelanfT3q+8HprvrSANcNEtkv
zcpY7Xno24e5SvCwA5flngJL/8/pFNm47Mzjn6H2bTBDxL67PicI5hnpOnKidu3yjtzVhmqma+wY
d3rvGhcB3+R5btTobOTq9bNzoZDwG7vcv5V14oUwNOsWp5tlMlHgQ6omT1nsZc+kxgn4R95fnZ3R
pnduvtFbwddMXkiY5R9d1WobkOjqBryzgRKXnbxnoWJvcsUrMbahWA9IsgdRWp1kcTT0PRg0VlFl
YL0Uc7UppyJ9D6OGTMZi6sVCOn3HLcHdNWrw2ZpkY+qj2DQdZGuvOt/NMmqucqgSbmZDhbGQ1dUj
wZc3eZ28MOujvKl8mR/K+D/flGzNiT7Km1JQ+GSxkNa7YJrVk0R53vCeS7EgAb4K2MncxAJkl5uM
wC/I0FAJCLAvnRwpJnCf6NZJzhkvnaw8n/26DTds6dfAkpIXcCDzmwHaPW1hB8uSOpQs0VBjlyVX
Mw7GrKa3UlZNJyMsh0fZFrTeFb0u9ypLeqi+1EhL3kqgKt+70dEusq0I8x9aZMU31XAVh3lyI+Zw
vl1CbbIVv43gJLXBEVhtVoU3AQhZbi7oSjQLtMx9kK0F7/mVlpvkaWQr/u/8pjKQtl2ovtmOl61z
9dzaTXogNVa+zraT7FJF1XxZDDO1PbtN8NVR7ZhvMT6l4YTamGxUWy5VGsI7FkIpX8e0L7dFQohe
tg6BkZ/ExBPtNrZFJ8XNXmXXvECqnEA9C/flolE39BscHzKy70zkocBwBP2fNYO4ZAbWAlmaaz75
dXGxanx+AeVwmkRgLCYcG7a3yjryaKqF9pjkvXkg9DBhCbfMoQIEyY38azNEh3EGo444YvGieUN+
qePooiqaUgIWndmwaQZ2QkurFYv2IZhAnAV5Xb7IOoyuvlm5DhBrqYq9AdP4ZSM0yQkmDdaCXgqe
vowfNaBTQYS5oyzKEXq1jdJefZY1WsRab7KydCvboikdHgmD3LrLHsOI4XVXEUmSRZewJ8L9/fPs
jN+QymlPsrpVgDXyBe2PshiK2oRpBF1AFuVhaPRXo82ys7ySN0OviHl7QVniRuVBtXy8N3y+KNnj
YI7qxlC7fsOTpt4Wben4cmBfasrz8Nftfytqb/YnyObA8phlTgz9mmbJTo+m4kV2twoSs7o665+3
74YmeyDr3Uvxm1rDF4WPH65xdkLZ2zGMx9RZkNmKe7xXybN0dLYg+cazLN2qMNwgbTiOOwi1n8PR
+TeAjk/9GqWDQ1SNziYz4TlMoGAf+8TNb4dAuIvhQnD0uhKZmVwgdzeOxWc/w+uGbedg7OdFVewP
aaidyWe3Z5CAuZ+OWfRHcJBh5nu7avb/2i7H82rO2fxl5ZYsl+PXpIgeuhZuvnRHvxeliM69CHUI
+ZmlMzRFOrP8fru3yrECWKbfeOp4cMlgXYWh/ZQpYduNkGhrGnsnU8Ks2s4TRgTPLatQ2StInLdp
QK84zAdve/NQ0rW3vovbJ8/06qfMyL5IJEyVhO7WqSpv2/HqJCW7mmxolZCMy91dZytTmvwUsW1J
0ziqQAH9p4vU2ErHqPaRwhk301Cm08rxikd0D5ODBEjd6iRMyh5b4d/M3fD8BiBSjSig26rLh4aQ
cjSbQHYLiDPo/hlvshWLMQyO8XXI0iHcjiFxukoZUNPU9FI9R6m30ciOPRrLYUL94jHMqx+T3qRH
WZL1bqd/DpV18qDayuhPbNquloHWcYw49cPkiP7VSjuxaetIbIelaCqac7CTMF7L1tJMvGvdmEfZ
KKuqvvc9Q9WeZAm/HOR5p7x8wIP919lUbRuHjf2EU3b7rKTnTi+GJ22xPx9yUuhe0Kor2Sbr7FDB
xioeCAgt/WWdl57bptNPfZJf7gPtaVRXsvjbQKOwSIszCD7YQJhi/rySHJDkRbAvddfNLgXrBEQX
NEJYobNXlEJ/KILB/p8zVvhbzQlAf7VEj4ikEaVYWAjAA4a6t06y1I2K9YAxxndZkgcg/9M6wel8
Z+QDQt29Gz73xFOXwXKaIG6V5dcd+71IUd1eZmwjyzoNgxI92xEgqazAA3L+osv/UoKstW9GtosE
Kh+fPCRN85AZhnKWpWmARzsO2hdZapyhPzWlO+8yMmenOIxwlFwO6d9nVux1uzatP2SPTKs/e8ji
lGVry6wSbAnNFglaSEAzlrUrD7Xsy1Bn3lVdGvKloTQBsyIIC02/HLwrZOPPEbBdf86VDl3Hyg79
AlEwtNl8MlG/nHXxnC8wBYdH+15UhFFkB1k3LGJACljY2yBRKuaT420L52xb49pO9RiwdGFe5GHw
RmzY8NDd9hgqsaGnIXIXoPO0tJjwF0eDkJrsJ1sBF772uLLtpbJW4dlYotjugxTW8jQ09leyQZaX
ViUI/wDzCf8+wkuo8Ab95X4WKlPkV0udEtJqpt6vrfd+Y2mdMLv5EQ1D/UFwlnQIf/4LeVf9uSYb
KesbPOgJm4lqr45x/RGxTcrHyv7Sdyx4kOBky73U34cXuNQ8NECzH1sdxZoZH6d3NhIIoC9nzVIn
z2SdbJX9hr6Jfm91veFzbNkEzdobIn2nzAYkuTZCJAkl/iMAlI2sutfLs9Juw3PnmmLnWen8ambB
WcGk48/lBMjkIE8whb/VOA1Ovjcr8oC/RJd00VFptMcsYA8Ry7+cPBXejFmPOw0ESPib2stBNhiz
Hh29/4xw+Z9eblQgB+MWMB7G7Ovl2O4Gt9Ze+VMquyELC18WMwHS2CJss5JFMaZs01gphE2sd2tD
0bfDkCRghxjqgXBc1fzyHpTW0F7lxE1SE1hdipHNxF5BrD0gwotO8OQ+IjC2qSJ9vHgLOSgdsQhV
rdDvYT2Ryg5a03hHMQxJwzSv1pqXme+KXRCtVYoanlttvDeV+JgsI3sMiX++/sMgRZtUvyh1+1xg
q60oScpayQ9DUJf8YvxYngyzzxvL3tuGbW1zRS92Exhv4uO8fGXRECY7q+XlK4stfqrrOY/qp2nK
zKOeecoaGajpq4po0rrvrPxEyKV/B5NWmHgmyF5RZSrQzbzxq+ci2ovgU34yekX2koP/qZehwAUp
NDsiGpL276ZyljNUbfd5WVn87bL0EtlQbmtl0Hzyh/nlfkgM9OAq9XyvyTXe4yswWeumsaqTbMBd
pLhAfu9OKsK+X4uc3zLvmTdcwux9PtXWNiXz+bVvhJ8tmKXEwcQgrFr3lKAEex17LM9vYCZGBk2S
vmV1+zlSC/LbSNkh+3tkrefGbaREO2Ex+TSV7T7Gq+K7KHYjglU/G5woV3XV228WKh2bsh/ic1Mr
6UOjjPrWs+zyhUgLuS2nN//o5m4lR6Xl9NFFc/zeEoz3QZVFl8gktapZxO8gwabPiQiidZhn9Y94
cFF5IHOWBrxRlUp8nWOvRrNFRFfkIvuD25QfLPpzvx5NYlEYL6H3NLnfWHCCqe3in4vRSQrr7aPI
NWcdlFb8qLWBvnfd1N6XhkaSCPw9Nr3D+GHaJTY2vFs1JfjoeCF0muVdglorX3soBOsKj5C95pXl
q0qqCrqnN68rM6peh2lQry1uifzuylfZwxrdfThP2aOsshtPrBPXjQ6y/xz21q7OtcyXrQTx2wvy
aE/yUrLKjUYfq53uSZbayPDgG+FjIueO40bZ2ngqIw3LzdihUQKCrb7JvmOZN5c8tmB8x4qBmU6c
vxK6uvRZUX4zYjDSJpI+x8Z1wdbOkDqEVn6bggk1z87kS4GXx9dK/SG7KxrYpNFlYS+L6DI4ZTt8
lEZX73HWE1tZjY+p35pJDpci1w+lHtUbOWmvWMeSH+OrXbRQ8gzzAIYsfU5LE98eE3C3cHr8qco+
4FVY864mmvxctaCMoqmH5FUM6doOm26PipdCgnQp/z8Ovk21XO0fJ9BCXECTtkR9ZVFsaGH2o2fx
lmiIkXVaZa1kfaGNs1+Fg3Hr1hTjL91aN/u1m81i6aCyTj5PsbQEJ4n4Z5y23ko4Gn4J7Wy+qzjv
FuhBf1FVL7radh2t5uUhyvqg33lwMzayaNcWeXgCBSdZDIy3PrTbL5HRmJcxD1PSmEzW2xZk4g6J
w6Rf2eT8/4DN7qt6QXACYNNDonneN9PATQ7rRPUZsZZ+O6at8hB4dfcAudvdGnGlPCUTgm8RHO9v
Vt9ddDl+TpGBGuLmz6rAomJ02gGFVryHq8ArLk41dQdkrKd9Eoj2mk8KqsJYkXwhQfRXnvTRz1Dd
W7rBfdSa/uZm7ogbDb89ZSGZJUmt7WAGdMc2mnFr7QtrE6P9+aouDwp27+MPxRZoWRMTwy+y36eG
GuwnpQn9VujGWxG37r6qCULI4gSkbJ8qaXIrYnJq7HVPpLfiEPIrzbE+89UyMd8ydSRbbhQF71eK
rZWMFO3y1tkhXb2vMVK8tdpN2O4dIkK3sVHpsM7LIqwGl7GVTfZETBr2j8tdQe/JsY1T+ltrbkEk
7VwVFcql1fOqeB9qynRrzbxA2YW9pt5a5ywJdqTYIWMsMzcOiRAswY1bq6Xh9GzpCI7LqaJYNXZq
i46qLPJu03ZzJ5AtWMYW4zDvdCvANGW5rtbr4w77NqhakzgIt2r3wVS84T00jitYluIsD/x5P88S
4+qIeTz93kN2i6C8rkjkZTtZFBUmw0VkYZq02Efmpu6evbkFZ1QFV16+hoM4ih1v6xDxU1kp+8lD
WCY/nBhkqSzJRltBf7LLh22yjL93TTJiUVlCLuxeJ89aXX3VCyxN73MLnFkf3Mg6ijjgjSe7BQmc
2xqtHF9OrOU8fFYx7PEclvXD/WJBif1IrZSPKRvyX64PhUMgclQkG9n3fjFHTw+WK6rTvb4LlfyI
dvUXeeX73HGhu2sCY9ptDuclcDSooovdijwoMU4rkYdL9rSwyv5TnWWR1a5kWccq4+9Ti1Qa+i1I
DhhK7qsALE63U9m1rTJlFbX48cmWf5muzeKdHoSkFpZLTss8dtixK5Jlc1JcJEY8faMlLmszdHC9
QfMOdci3XBZtK3XYN0XlWbW88EuDh5us10bXONSNyjIW8NVXTUAFswVwZ1DO5ltONEDWp7k3HuZo
hBwoJ8eWhxwJuEJiICxoNVIB8lC1iXdqloMstq1Vb9UAorisG+qaJDU5/mql6qpJZCpxzonTOuc0
E37nGfMDL2GT2NjSYAdOvyHwxXslLVhny46yRYuxbVx6R8vYe7088wLtc5gs3sY2oXU0SzRXf9SZ
2E2TrpyANGSumZ/lYTJjBKuWgzyTdTEJIx8cdLP+rQGpcQiIy1jZOVH63aRW5fG3etlDDiVNHmwb
lsu3K/7TxeRYrfF+EEBcInOEfrMhmLbqYo84LQdwXZ+HShooZtBKDnaobhpZvPcZjFBdq54y7HTh
JCtLs2IMpZvw4FR5thuiMPsSB+mTpJTMIkj4WrS/9vAAo/97j0CpW3+aW+RhPRREva4leNWGxUlX
nY1p4LV7r3KyBHGEe/k+otHTbm+U9Rl6TH6S9bfOzqQ6fp/jaGd1XfuI1jzMFhPHjpHYiUe6r3H2
2FKVq3qy2sdbZVWIHYC+RciVunI5iCaLN+yxVV9Oc2vQHPxjUtS0Z3WxcVq8nUZlUtdZFnTre13i
Ro5zK5fSu+nepGnIqa7kSFn5S7ssC4EWxm/T/WPHcbkD2SIPckZbcz/r7kV+dbzYZR+3qHGE2aYQ
0HyPjMu4qsKpOo+4MZLZKWv1oYabohoRRdnSBULv/LBt4FbyV97KSruxF1OQyUj8tEH71BjEcx2r
PEv02Dm4Xkq4ZGjSJ939KttkDYjTZO8QeVzf62wLH4+4gE2npVbzHIEVeC6fZXd5yAyPZbvqOrdr
yDozUhNEQyKx10t32Gu5CgYmz7MzwbjsLIh97CNUIOqg1Aa+uy5H2SL7gOVswWP36DgvvWUD3Elt
W/YGkmF5ph9LK+3Fa5Bj+GvVWOF5bviSW/H4oeVg1hsrb8lD15jSZSEAiUJMx6mGVM/CMXxESBOD
RgUGZsrWeTXk5vQnRPs1JJQhXGXdANbI8MAsmQgKZHH3qgQk8XqjQbrDQXpbzdLkoCzrLrhL5cYY
p/G1EoDJYxtlfc1ND7eZMDoluBIg+Njx88vy4hLMOSKqbfVgWDp5XGfKKrJD/ynLM3kQsSj3pjAQ
ewrDs/33gdAa3PeRx1oeu/pOdcWHbLzX/9Z3Hutowbb94xz3oVHq9kc8+TZy7nu9PLvXzZUbn2Jk
s5c7+O1K9zp5M+mM9LKLC+HfXd3CjHe1XSC0FVrijDAsRvVOaGxHNxebJpnB7+dPngORUylb97Uq
9McK+6WrSiL1VXTavJqdNnvoh9x7nYNO+MRdHD4DWk0x2FuD5f9GX4re4qU7K0Bw5ExJ32j4xkTf
ZaOFVNBzwM+FNfepSa0KG7aQnzre6xyDRc6WDBRYBlmWp8ikD0cQrQvvY/Te8gCf72wcLrIElfMl
L9TheitFJoEtd3y8lWxnn8+l+iRLXkqExEY3oDCcd/Dn0IaHdr7Kgw4QdlMEhgpEgbqiNj8bGhCV
WK647qZVrc6G4b+0IKqyCnlC7e8z1OgEXJMw2hVZjBn93zNDjvc2hQH60sOEE7pTbm7QHrMfW0A3
j2bpJPvJdGCW9RXQkuVgEBU551jP6wG7EVal1HVGuDOaeWR5Skn2TWJTXzV2DF0de5/HDtOkRBlP
ajwNfk5k6wcqPLVm/2hQ2vPVNNdPhlI5l6knrSYbatjm+HaqH/1gweGc278gZLm7SbTlMcesARHA
+2kCPPtIWlfM6yTUy2Or2Xh3jUpwwNKBmDOESttqqteoBwbOG745ENyrXnMWOLsGK2xftuaQC8/N
kH8hGJ21626YV24Xi+dqSaqiMjOvLAcXxz70MAWAIYWtSFeoR6EF8+2QFsOvxR/KbOcI/SrhA1Eh
eCnLWTCX0S9F2fBbXbb0q9wCC1o5RJvbDc8Wa98ABxqjiIzHlEcbJ1IbWLFx8qRZDUyYWtQ/RG+/
eqNqvKbdaO5Txwy2WdUH7wo0ghEozY96RnK06Kf2kqi5cR7Jdq7rZiyuYxypYheGMNEKUF7oYQzB
QRMpXpFCDx715cCuqb4MC5EtIdy/AQPLIl0MuMbQKLvxiv6L8HVylHPIQ2THgMDDLbRUcGmROeNt
jpShaUzfjKpCaZNEOq5QXbKLexDhQW9FlwQdh0tZR2i+isAmEkHx3hAtxdxsgT4ZmDDdGxTbqs8K
wE2nLlDOLYTz1QgDtJajxnmwIRa/D90Pe6kO8IA6dEtwkCxBvQLBHO41uK4oYA0K7qi2coI8bG6G
MCfxszTIOtlqaWxzEWunD3DYeo0G4UrJZ+fqtSDEXceMf6hT9izqWnmtgHbtxWzq26wulK+Fpaxl
hwmHbb+rU/MkRwYFUB1pvYLNyHOuqeR3P60gWivjbZca18S29CsRyWEb5goOIn/XybMmier1Es7Y
Tt7UwyFkZ9RPo8sXk7HyYDWZfvHKV1kwSh4QqxzQ32EsnT+dZurSDevubGPC4PPvo+plfGhU/UpM
gbOTDfJWArAPWPiEiMwvrtgOVHylE9GXCc/3a19p4YqEPgHnZp52Ti2cjezmBqQIbNPjvbu0/n+P
svq4fuswX1IMvX9EnKh/hI2A1IeBTzKZpNO9vosLEsXz7LIdpJtsSDNVPRFiPchBsp7/L6IP7bCE
uBzjSrabCPvg2u+qpX6VojqJt0N3wPlLCQXy/ZpbfXGEYvu9B77OCKP2IHCM2oPMMq5WJT5H84l+
BT380wi7v5guPN90/qQCoLNI00QWLk5xgKHnXRpQNrT9eC2yVPX1TAMMLNzzpKGqJhWpkl7fhWrs
nmVJ1i9Vspc3R8HulvjVixLAn2lHL9WkB09K/gxIGMrLcpixZPKTeoy3sghcdLFRrqddncwIW7rd
SWjtdLXmHCFLsu5rKFXzQTbGzjj9H7bOa7lVJl3DV0QVOZyCULQl27K9vP4TakWaDE3m6vcDnhlP
Te0TSt0gWZZEh/d7w54U5jLczpJ3O12Kkhye7awscPSa4XFtJ7culBZQbc35trWsCIwhah8itjel
vlvzpvM1TmOAULrLIaQHW/Mrr/oz6GZrT+s1baN0wZZprTruhDZam++ui22nrhBkypJ3uSuoethM
TG/z2tq6VF1/xyY2f9yub/nJHoiJZ9ZZr3ChET0PwgTA58U8xBSYbMAU04nR0ZMr8VgsASdGnzp/
nlWb1aOZPFKXUne8ofEZWzudha3PuPk8yaGGXKlnwVzM5O0pAykB/UfcWd5TdrYZbJ4dtN35PFNt
zQvnYIKu713Hs/dmlX/Uaa1A0reVQFCePFKOPWEEnDx7EYO7hkbxHxeg2+xwaNZ008Djwpyu2yPF
gm7U1Bg46jZfa6qMBfHt9Wp67AXgT8zSQLEgZ0zJoxqRdtxG5s6tdFDcbGWSH53pefbWFZGHtW/M
38cCY67Ohi6X4E1PUHljn3Hm/p98aGy/Kiz2XmrViE+xW3z3hviHSGPvECWad8wiBWyL7TCzZMKv
aHmzkjk/2CubwW2nUypr/lf8c9yEmGLT8mfspJ5qlIh7ge1BFsE+b7TX3tD+8TTd9VUYYTuzj0A7
FceXBgUidYb4M8Z9MIzcPaAEJZlTHbFdeIaoT56nYn9OndDXF4EAiEJECOnZQXhaT+2OSkc4jj3z
spqnlwnaoi+q7rEHjo9B7H9nVonFbGN0YVxpzb7ulMIfTQimej4E+EpCdEq+a3a//Oia/kB+4ald
rJtRS/XitXBbmZyG0Etk6WvJ/Dfqf8gS92X2vn+wwuazaL/jMnhIvfLbUEAm0eseKW71osNW80dJ
uLyufIvLLLBkw7TSdMSPCfNHXn7g+7U3+GRKj9C8yWn/qCwTdpb5jhqgOUM5ZndC2ItvpgOQgaKM
gb6UOQQr6x890RcI36wpvaQSARd8R0wa1iUT7FwQNtXU2TWxYVYvMXU7KyOjYKr6A2zRH8pYlq99
9LfBQveACO1NAR1lnbBc6wkAqUhWw6kpZ/JYnJ2q6Vf4mPwnS4MrE/ACFMnxT57G8qrNBmFo+Ws/
DNqb4ZwHGJSBEolXDV3IrsLZYDcxBoB4mifixa/mMp0roZLElRXXsSPzSUMiEy4ZXwaF3uGQwCc9
J/HJa7rQ0QlPjCpJRI45PvdaIll8ds0hsTEdHIb+CerHzpTzCAvZPGuVq/hqkhQw7fq7s1QULOdq
2fVRKc8iHU+yh5uL1RKlWejrSq8exxGNWWWWEF/hdWFbT7U/cYhQqSkTdT1pcQOpDElkX10HmjOp
OaJv7EPXJ3hnJmpgw4AUWC8clwUdg0kEkK9FpXZmW+4GY6+wdI/kCQzbN5tuhsWhnlNPoA9vmkQP
m7lpz32Gcfpte9ige8v9/zq36CodZWUPh1btT1UN0AU7kmdtr6Jtpz9fICYjKI10v5iW8YDYo0Tt
bEqfqPcJH42lPQsv0fdWr95UvW7OEMkX7rDEJS6F/fGunSGZ9Pr8h7nKRiazeM+tWN3kWRn4zH7x
2dYxVyjjIKodMqhy9/cLeU7fU5cN3Ow0iV/qP3XbuYuo93VqeqcYrWropMOvuuXrEd7yVJs2Br41
3s1U4KtyNckevJvMswT/YIJXbfFaJksT5j1EZNn/KRw8SyDqOtim1nW4KIl7G2R0KhZXuUcY/EZz
ctGM/q20umqPc8n3rsyV0IlavjyMHXH/GR5VWwyU8ClUa211b5Phn1iaHU6GiX3IbAoq9djvo0GW
Ae83uxTFdPASPpCixrNFL6zhsan4sLRcvBYjdX29YesSiUOWFvsFQPloi/ahKCqsfbLqbazVQKzZ
MORUEhNFZhoVzWzfVdGDrHGVyLgZVW14qiPtI9EdoJpWXlT2G0G/DEOIctE6K7oiwOwz85QLTC5k
1/wVWlX5ZFIbqvyLS0/qT2ZKNHmbE5gaP3eloR1x6JVxb+1wQK6c9q7m4r0x1cT3jImtr1tcE8eO
99IY8ReO4aZKrzjpGouEzM0+Ouktfp+5c+C0D3WX+649277wSgLfi9rdV5R7rj2URRm33bW0etBc
7EgwU0OH1QkVT8q2fwPTT30xWB9GFaPIAnK6CdU7jjmeJ257rpT5j+fgf2V5362xIP7TGE8llSc/
EZSLmZynYLag81W65wbA0NORnVdOdQ03m7xoLunYMQa7k7knPEP3+zXp08i1dwTdE9xV+WDOrrdL
64HsjAxxqhjTy3YYhJVeqI5e8kLaSIftAhrvcHczBBYgS35hK37fyb+pYb1b4/xL6h01sMR8gIx9
qVEhOjM4omm7zQ4fhG8tYaOhU+av2Ipb14np3u9kLo913BZPxQwPT0n6Z9EvvtkXeViwqNvpCLMw
xUpJ+NJGuLSFHfQaycqNLgwMgdzsKAs3fiCWJsLtx0gui1dYp4iV2lkkmXZORwOFZlIulyrNxmOJ
CfID1HDjoAkxPw5JEbOYRdYKPabZDyPBiNSatLBOM+ep6OIkjOVj0yPrMYVNMZUASLwzWBKXDTmH
Cea/wcqCDLpMpW5uQom3hLBebcMjLnARzVvbHgfFJm+gTN23jqJ9IB2rx20/wWO4hwZkzEQyYZGv
flsadk5aM1QfSkNN1Mu66VRbprVD8tr6HcPlx2Sh9EnQtXwgK+4gJ8N9gKdK6l8vjA8mMJIVkWp9
THbfk+ErVLI1LfIzwEU+YgxRfIb18QM8nQ1b1gwfmhcNfgFL6sOzsEKyFld+xBVDBD6GzQcSsglT
bSzeYsU4EzioX/Gf9AAknGi3NVOx6NdSQUU0JR9Ll9UBuiQTTnfc7RtzYpI1zXNisyeOYnO4dpi4
Xlv+18vkyj2EM/bKTEC72iuQWuaO9chaG0TJe1IWqbx2GR/ZaAaDzbvEYijDynsa8UjGFKaPjRUF
xc0HahS035gEPXsytcCGMr5XVaUlOKX94Q45JWa8QdD4V3dqOvN+wE9kB1PIDkjDMvxBM/JbY42O
P4vMCDMgYN+whoNeZR6Z5Om4X+rrkDXzsW/T6Lrwvyip/QBn8S1PIvEEkNr7eFIxZUlFvWGFjqNf
uTzZ5syEXck5AEiAXYdzN4UpdrLqkPYBYoZub6whqH2ZBijis5s99tXJW0haxdqRDJZ6+afqK3JG
quXQkMoXzrX3Djl418sxRfjC/R8tMH7nxhX8KzbcEAKHuwW2tmOHUZbEfpQDtLYSHxzBw32aIhkS
ER5f2pg/2Up21dehO84Bruyil7se71AFHzYmboHwAUAAL9bICnqvcHy1qChEMj10aWS/jLUHqG4V
+7Y3an+sADUqL3Z3GQFwfktlOWyT2t7NrhzOGHXYj6nQUn50C7yFFrhMMxlQS5bQN6dKH0qjgaRr
PMxY04WDNacXtB3NgYW/xTu74ZvWHDUcM4TSRpeOWxVzqPqX6Sw9QWzCOg5Y0SRJCoQ8O1rYdVF1
qGKRB2b61tpa8xTPk+6DqP3D6E2FeRTzubT8YR5qP2lj5WbXbX+d7EnxS8r1j60YRYBnM/+46p0T
ojfKCpgn6+QTaDfkhh7iTyVxoCwtArQdTcOZHs9LH1NaV9WyK/LGPT+J6dq1VBuJUfTOceSSmFq4
jxi5H4ZYyf3BVW8mgE5o2PPsa51y7rzqTQjbeSg75Y+c+KImSzMezbopw3bOfrcG/B2JqTjJOU9V
L9OHfBgnX0lnx59IGeiY93GFYFpR7eJMkHcUzhHpQWJAKd1HEaFrWHcIR/ljTuZ4MSPoW1OdBEk/
WUEr+J30tV6cFTEgATUARuepOrnzQDKIWzUPeI5dVcmWyoAqYhCJqBO5AVmWFZko7IucPBJdJhZP
mhzaAyLbMJkUJGuNWI6FlbdQK+vXrq2eFRXCGwbb7cFp2++ayPXAkJrJHZZz83nmbeknVHJLfHJj
UotWTLQfkizEDpoVfKzNO5XdR+0l4oxGSaV6tfzTtgZcOZYFO24KNBTkrAfLNJE+1Hvf86g0/c4Z
wDqwaZpyvKFb+0apdLpOkAzxLGr3uRu/O5jVhJOnk2Yq8nCZYpvN8MAHNAxib8eRGgonfycQaNo1
QGYhlqtqmCewCSslxmhFrx/KCT+sNmKKKmzT8B0s4fZKOjhBV6RdIKLkAAaXnzOsd21Vty+s8R8I
u+ywMU+fDE1TDjU3kh/NTzkEjrFIxXPLfja2KDQbLnUTga6ka1p2rKrUWemzs6uNeDoUta3tUgg2
vnCxk01vsZgsljftEBQwJHeWkz0nnrjYlivDDotc6taFuh+Q4x0XR/VQ/GJywhiOlGbIin2P8fvS
2xV2XilZDPip76NZDVvHlT5y5XwfeRYjSSTiEJen7xq+O2HTt+NdK4CFCtQ3ja4T9eV5ZJYaGH81
UTrtCH+881W5YCzuD+DPfC8Uki5mY+fkcGRiQDnY+o4k0URiaKdHBTSfSbwn4DPoXAMFbiCk9k4G
A0uKfWPhYN7gBAE7vOpemhwJl0Eh0KPmLycY9Plkzr7KStrsiQZj/PmJzcJ4EWn+rETNEgyqFj2K
1vhum9Thl6E+p30mTuXMcG0q0Lkqqhm1c3HYZSI9vZC9u9NIoQuaRsMRqYqQzkXwlLL23OklJK8p
x9MxbvwIg9WDqrBnGRpLfh6sBRaEWRVEI9nWc+Rlyx6NJmEYGYLUflHYqU9FChHAa05EXvbnaRTD
eXv0dYhtsz8XKdQpNDXM1A5wO/z2w1zm7oEvtz4buVqfbfCufbdU1xmz3zOWSMs5Ldi0eeiSgu3V
3I5iQJ9Ph4YCIzY0F9AL1wfqvwrNk+esKd+lWwCglOYoj0tSsEX2UDW7+YwtcT+fR6PHy9xpycK1
taLwLQt3Fr00T4OyBuLVh2leyjOzSMkmaIpCq6/e7QRWQDfEFa8P1NKSs1uYVaAkVcJeyo3O24Hl
K+vQJLtawO77SFHleeklflmjdZAMh2epZnAXE5alfiOr1zTrfrVd2X9+Vtuj7WNKFgvv8zlaXJxf
enGI1jTKbZ+xPXLX5hrNx/e9k3U58aY52FM0nu34DVFTzUAXalj9s7ugKus56btRxqUWtGqTnbpu
oeC+7LQxe9YULyXNnn+M4puFDSVOEKzg2zaKAgap9Q00t6Fqr5nCcIGFbpBkc1T4iRpFhyVvjmPb
YKxQkoqYJqexQ5eosFiDBjsZ5+0dYOZBXdhZ3ijb1eRVGO4SbA9bLanZ/kaGn3SQKLEKQf79WpUe
W6vRBK8hkOoM0UE/CzTmQe2gY2t+ukv+E9zF5ZON8JAbdMtld0ybDCxiUBNx2r6rWp+qs1wPW3M7
mJh58DNfv8r/73REEP1/XT06XrufRwG4WB60egwIW/7O5qQPWhNXuNBWTAxGyuw4NIVHUYcL4pr8
78pNMUuffelJ+JnCaaDccRhg/O3n34JMCSqAk6Z0D1HeJ6dcKbBzv/XEBO77ZHguo/ohYxw445JN
Qlpd/MBOLgYob5Fp9WTMLvqtxRseOFxxQyeTig8xmnJCnC4vUVOUjN1LsdfG+NmhKhYVd3LX36Tq
GodhhQlUyyrOU4xNpJT6ZdaItjkgRHDuveQe9gYXvmRRvXqbDJL4gTJGSDmMJ6WyM24dd76KGUM2
y1FaVk3gjB7mDc2QnyNV4MvdKSyrEGNd+GhOeMEolr9QdfaVCZKWa+h+5sXmHcejsq6zs1ctv/my
yaeBtHoyx5JsTT3tdgklMn3svOsoFuMAqFyjGgtSthA7S7bVTS0QNQ5sowKR16nf53F1s1IqzhhZ
YdpfHhDaLzuqMB5XYfhsTDjbknGju0v2AetfXqIyNQMikctdqyzNQ4ZxhqFVynvNMLt3JumecnKJ
nsnOpCZtLd2vKRMHZ+nInu/Mu+OI6sAtUB4jcPT3qoxwTEiVH31k1gH2tAOMUZFfFZV9T+sNYZ0n
4kdcJ28gSQEJ3Ob3IRbPGKI6fwoBnsa8oJeKfcsjli9lnDa+VIltM1v7J8i8CxbAGOWoXX8ELHmh
NIjGpW8QWoGW7Kq4zU46jvM7pzCXIy6my2GhdLCDpWnsFqVrQ5aPu6oe04ParHiHByJVgrR2orev
EP2JKxTDS4mexEir5Huk1DZKcIoJ+j2r1WoVryShatjLSzuq37tW+yjHrsGdHMEk1X7qMGS1pG7q
4QM0ljs8l7NnkWYF4tZsZpAKu7nIL01RjxdrRe9mqL6jIZujN0jljejrUHgGkCqKvV3U5+EUp/Eb
TMGfgqCpR1PqyquhWgrxGeoYun0Bs9Gqkn0uJ/e7BL+Wngu3vo3mC8BnvMtN7JQGKshHHPl3Lk7u
P1pvNAInc7QbOwDjJOukPbRoz+6J2aF6pxL+R2IfbHnpb0kgMetpzXj2qrxes0fMo2cM4tloIqAN
RZS/8voPtgIJNdKk9hdpe3fYxtE+ThwEw81CxtaSLTcght+z3p2WWXT3se3c5x5ji6SEz0zQtDzg
BM5wtNW/c97seat5Z9TScv+r/Xl6u3Lr3NrbYbv869lfff/vS2yn7SXaxnnMypRTDPKJ+mMNNf58
WI3EHW/t7dE23wyJykVb+78efp3/unzr2w7/07e9ztY3a125M9R68tnb5Xi/lWXNpLo+VB2WMMCp
/+41BpMFwXo+V6DshuSx/av9+dTPo5gpAyqWso8z0Zy3Q71Os6NZYT62tc12/ncb92pWkUP6UM16
/GJpKreDWxgBJKL4ZeurC5vRPTXHw9a3HVS06WoyRg+fXYWdPcUMY19P6khuPJm4+X/2bSfKdpHU
d1av4/XFP/tSpfU1bVBPX33sOAPM7I1bZeZamLh1fLBqrMYrpbGuam2q16jwEqa+qfshXe29gIh8
11VlOi+RKEKbAKLnal7YPsWzj8Vb9T2BcXFICYA8UhhBtYw6kZC9naZ7w26QOVhKVD7a1dA+mGl+
cJljLyR5skRasvyEcuyQseW/lFi2HjB3eStl7lyRH6qhwraLYSW2H8duSlnhq4/Z1J0xQykupPcK
InUgcsOiWkLD02xCTwr846rlh3CwneSD9u4A+o9lJ9Xv+K2VOzHaZagu2hPl5p4tZo9NY5VNQYu7
4cGUFZUeFUMmTUcox9J7lw2D+tY4I4TRLlvVFCBJOflQRFDFxkda/zbavmWnDKGxj633ZTTrXYF2
7iVPMCmop+onWP582bpkrPdXLy9OW2s7IBSO9y3S7912/dbX9fqbZw3yYWsNSbVQYZoeu2724Kl1
YlcV2fhSiqhEBpuMoRKP48vWl1QsdiFHXbeWRyrnJWmKP9jQ/OuCZcKqGlQSDsr6Gtuh0P8moyWe
t5fx6iU5qUQX+l8XDD1xD6Yi89PW13DfPnRKdPVaavhztcMvMX7SlkIlxDOb944br/AEw/bWF1vJ
c1FSQd26rGqAdZtXv7ZxfetKxmUO1FrTD1szndvqZQYV/3yFkghsHaLSxnndSK7QQZ/SOnWOacv4
imXLv0m3n5e0C+tzLfr21f+/1wHxl9AhDX2/vd7XhYOW3CeqcexsijHAwal6xDLQPBnT6p/TJJO/
9W2HoVKrx249xKkCnVOfl9XzCWnOf058Xaxli3OsdfXpq2t7NOdR9fjV56bFH9WTrH5k4vmubNPH
SqdkLAjr/Xz01WcrHSQC6Z23KxQqTJ+XlXGTHxUdMkyn4zqe1iZhKGrRvcUAQWHEmmG/NTVRFaQh
9OiuHat9E1G0knxWrHC9OBlFcUyFgFS9NkfR1yQGwzPBqom9l7DfDC+H31aZIMxr06SoftRbmPvd
2NtvUynHo1BYsW1n86nNjp2s511sopUfOts5R5JFiZ2BzqmKJjBJy+1XZyjZgnnifWtZhZbd1zrB
1krcyH41TAuXpK543rqqPmY1UdTLw9aEMWUGZDh+b/B52OlT471ayaBgCZYooeV57qvG0uiolizq
tmaF1Qv+ayxytosNhosnFAyX7WQEo+P1m87PegjG2eC+qusndX3RrGO523le+bBdSCwxa7q5JxmJ
4EJ/6xuZeULR4kLlsb/3knpARMOUN20T2zY3uboTAXeuZZxuQC4SGLa+HJ283QtnyOF+xsmhxC3k
NR6f61oWe08hGDofV9/L0b4DElgUf7U+rGBlvSnZADqVq9/6OGN2n8vizdKmmXU+oxyhMTlrccO5
LAlyZ3xE87dBmSi2eNE7dtBEcEyYP3u9edhaTT3KV8c4MTomoU2WpQMr6Ozouod8K8OKuozEWzuB
ZOUNJSlkNPpRK2MnENQEVpTPCQaYLmGSm/0eGGvFxlyW88V97o0yMPUiPnr6DvNR98le82C2g54f
DVO5GaX81usKUTxuM99409hwVBN4dc7eRTGQRaYUj4PYrpEa6ngI4ppV/ejK4SmKGvWVJMONceNL
04vuBbhW1rBWV5WGz2fWYBeth+2RWNcYdmU+xmWcf3ZpU5ScFWN4Sdv8V227xrElxuIqLPzhZpa4
l6IpPlh7t79cU1yHqdD+ELOxz7zWYrN0a+fFZ0FeUsPuOugSVuZ7mCt/i1f+tSilH5ON8Wam7SmB
yPtLKzCGU55yYkxedLu64Mxb7isNnLZU0jJ0x7Sm6J18Y9HXHAYXIYPoPIE/fdY9mUMlAQLs5JcU
P9R4sQ9eq63s/NLdzSoYYZmKiuBsF9BWhRlrL/rzko7l69inq7owF+etmTf4jUKaeEB5bz9F/Uwd
qh8btBrG9JRIc9WXpe0eVnB6bBs8QiylPBL3RIhDbssjoJ8MzVVWzs7ceGHpz59fqEFSoNhBggpT
hUI/Ra3cT/UuAbyxfVN/JnXwJV4YgQyG2n0c6RVp3yWsL0Wr33Snw7O2KJ8tdmtvw+Jqz12r77dz
WJ96l54MbX+yf/cMzm+mcLx7UWPPT0TG22AZMynahDCv5yaM4MCaSTVdWyp+iy/NAHK/tgaKxS8l
SbxbCz/g+qX1sr2IauutqxrCdsvisJ3rPUt9diJ5/GzVZvPcjcvJVDMVWwv9mDX5ci3WQ6eOlyXt
dOAaWnXfDvvBVWy8jHT7Oumaw553LnwQHTwDtk5jPZNazDHzXFwKXdpXddQ4G83dEppJMmBYu7a3
U9uBAiYxT8N1a3y+VNG0FkXVChi1GMVxHApgyVYQmOZaUiAYwjlsa1brH6AIYPPslfZM1QI6Ec2p
07l6cdXl1Iv59bO5ndFkPZwTK7sW+fBhVml1KkC8rsPQ/OuAA6YTkivXBP9zYlS96VHnrXxd2xmO
ZvjtpDU+BHKsRdZXSTrAoElPMQwwo/hmZO60FwNiSi1X4xt3EiIBe1jmhzXDaOvbrnOJBrptTbcx
n1DcgTKsz//qX5oW+yJpK/gyxpKlXKTtxBwJFKccyrQrIRgjsRzzmiLy2peYjJ4YAcXQOezutbDK
tzpqxHVred4crdRKEsnXk2OXKgdltFM20mX/qtql/miT+wFjpIP0whUNtFQ2x/etISQ1Jvzql4et
qXVQORDj5YetWc9leopGD+bw+kxsPIvbMiaff3jrsq05SGQev2wtqxiBWEc8UbZmQvZ7aJsrEL0+
XdhWfUaLYftbM9cd60kiwd1a2/vrYv2Y24V82t57sfK8JitVyNNc3/dKLJp1rQ63Zk24PD/NkrSb
7b3ZBTZIKUZQa2t7tSQanvIaiJfCMqU1SyvVQGlaebYpFgAkzw1jtVm1R9WmMhQT/vnmTNXsp3Hs
/IBAfJE8IpOO+6m1lr/gFu8zSOj3ukcuQlFe3Mn5ZqpnaeiT0VlfYXDkx7qyo3NnLOISRUpypA5Z
HitMPG96kb7n2LP97mbnxZzJa3fc+ndZVDaRy9l01mpCjd0U9g3YT/L7RCG+BcFnY6DFbnrNpzKF
iRPHF0qkh3RaXu2lNHzsOKFv1Ln92C19tfhFo/Hz5k4d8uK2HRTbzm+goVhkRz8cHB6DIUOB7o4N
9bS4GSBcQT1HQ6fisdmjYvG66QJZfjnJtvlJbKZysrRifrX6hp/d9KSRB/9O7tqvcnEDCvQ4d9fR
XtjiT9MX2S1JE3xrc0fZI9NX32sr1Vi0dnvN1e03YR8oieXfjGUZ94aSpKGr5JdY8X6xXFfPpkz+
mEn1s5+ESXmncY4ajFGqbC7BWRiNTTLNcWBC/OAJI/tnpEiUz5YLFamhWOlwY2fN5O10QXmpgQjw
UlUHEPmUkh+h512ZEv6COzFVAu1bs8Te0fKofEJ8z8NGYI9pOpCVRrjwbTtED9Y/Lqrv61hqL4ba
nhGiNz5VqHivViBiFnaXAC8TeK/K2lw6xm2a/tFJPDGeq852j3PRY384QVCWATijctQU6mpompo9
2nkde5DIOP+C6qFecxCwHf5K9q60yzVHdjkxPWKxacffm8KV90Vn0qZLvzkU7iF3OwLElINiTuJh
8tJfc0no4jTinUvU4t8FGUzd6R5pgHEbWIPonineagerscQ5tkpQ+aR2d3GpGu8wP3+OVlr/NXHB
pBb0J+n7BvG3AKyvaswhxq73VUzqTiT3jS9qpSVPDSyVrbUdGqvT9gjnAcfWK7ZDVOswXSbvEiFW
ecFGRYP2lx7hRoQpWQy3QTPV+0xpNfR0at1b08JI8VqkeMGvJwfYhffRQIw92cPD1mWgPjg4id3s
WjfT7t5gdLA8IRCtra1LMywM37o8O29PWGefk8HMzNolOVZatLp91v19jqC0mkn9vLXIpIrD3I2I
0FlPTuxsqFd3563l6Vp/T5QchoCDJf3Wp5MRchq80kZFwxO2A4uSPbcG8aLrE2JXmcOsyVTYCFzB
qjp96nWqD+tJZT1MI8CfgmjgtF0B1D2eowoXqK+XjN38jPlq9vmei2SsgsSb73MK3DFbmn5vI6LR
SinOeSGY6aou/Wt3Nr7SrJ1eHGG/5OPvmkzcVzDNYDasiWiS0nitp/qXyDCa2M4B0aoB5pTeEcao
+Wpr5BkqgzeG27WlocfnhpiaYDs7qlR6iF+3DpH5xHxfQ4aRc3H2BCsIpGjJy3bAHKUKmyyqwuw/
ffqcFH7ceJh323ryMscTLK/Iw/vbPOQiMe5u1Rv3bFEY9OG0nLZmqnj9SVugh2yXaKNt3JnAZqdI
Pq8vW8rIEy6tR3t9ehPLPXT3CEN0tG2N0jsv2yFLW0a7dpxOTpw6Lx3e6NcpVZCZ6xDQKjNGHU0i
zWG7GERQPOMlx54m6soA1m8b8gFNIcTmf72e7P9WhRKFKPshRhGb8oKWTifiru0/m1tfZ8qd1JjP
thYhptVhaSDYfTb1iGctxSGCuHHbuiZjoZzXpyqxHk183/rmJTprJTfG1pKdMhw7S1ZcwR/dDoM9
32rIIY+fXaggSbQaPd9wyuTJcbnNO7yz7Fk3fWq7VIqNMX7ZDp4qDmplLNetNUVue02ke6j0PMmC
pV1RYNk4/na2Spjlc0sHOmuzdP/VZ3jZH09VmfSGun3WElRlfxyyRadWfdkO/I5w8BioVn/1Reb4
JhN1esDRR30Z4ih9kJr98XVBxj4F5422PXz1ucSVddPni7bDiGEFNkKBNdnzg56kT93kFVfmwOJK
Cf08III4by2CMm3V3x56uXjROrM7/Vff9jSrrX7KLop3Wt0UkHxK53k7uBKU0EEQgEKdvlpVIOlS
i5HjLkOjepdpVN+jrAZe89LksPUVSQlWmUIxF2VVB3MTqT6//ei0XWwaZLRWuBQbJvSfWiUOK2eY
DeM+kXe51C8dQOEjfq/yXmWY3JpCiQIVOShZD+PF6c2BD4CTAvrUjkIqTCnNlnd1lumtTd3TdnLr
ImdMA7xvvZM2j/V1NqeLLcXA9zkab6051mdvkj2soDkuHmVch2UdKupY79rWkTvNiheIR1G7NxXD
eRwyJBrpEGVr/FhIjtu31ogq9PDDQ1QPj9YQ49guqEmhS/gZ9eneEhgeZBY7nYoVgFdrzXFK7N+L
W8Jgkyd1iFFOKAJOtzrou441SNCy+ig98oX0wl9gCQdToiAkjZjNt2of/BjU9SYcdFUZzzAm3jTp
JIeYCQGAW4WSDkl5GPSLuuA112mKQXEBdZKrHPL/Y+w8litF1nZ9RUTgzXR5Ly25UtWEKIv3nqv/
H5LujbZO94k9IdLBkiBJMr98Ta++se5isAG9sMk1+ZY08REzaulSNDn02Lazj0kLAU7TXsOqC1n+
2ayTQXsmrW8/j4mhnAZ2tIl31AQTtWyVpEMNZ2ol9zjpok7M9u2AG4CTt9GqHvlGshi+yu1d8Svn
cRLhGyAxmEOhw3v0tItehfJOwhhllQVv4zi+sCO0CWol32VmbZ/bBDcYAgEkl8PQoQBvasUZ0bIv
ICx6XOjqdpdbPj6uqure2vQXl/FPyK1oK3Sfu7Wla+zcZpJySZirJkYv37WYK3dFMp4NBGc9H5BI
ImG5GKlw8oboUCldeSobt9xiH9ltKsvyLrFdjhu5Vr94Pf4BIKaarTdC0ZDH/G4A/7gXqv4qhUFx
SFBrvCCTCK6Eb8o2rqz6kmcZURK1g781umuvGNoLQIJDUyLIWJfROi3zvZP0zjHVhmITM29gaaX7
Kw03rXXZNgejmBCBXqNs9c6MdgCEfyDV9H0yEz3o7JKvuVvtGjhcs0adjQge/casJOB6UV2fFY7o
JADXQkuCFXuj8bXXTNg28o8iUgd4dXp57gAaHKUp4KFVdzGjVqZpNVMUulHDPkjsI8ySRkhGBF0t
v6rJ99aUbnEMzxdxlHUc3kEv/xltrTix/ybzJYxKNNfk05AVypMOw0On27Pda5ZdBP7GKtZa6geX
Ji28k9czw0gU3t/Bx5cnbnLk9rqp9+YJISurRZPCCl4x6mWCGRFDNYuy3Pvm8MPWZfvS21G9JhRY
+4RCZ7AD3mrsLZnW0Wt9HCE8yDRKimlZVk6Rki8QAdJ1Fwa/qiTHJTvQD3zL2wjECvJW5Y4b+qeM
sYjpCcOz+4ApR10YjwRG1FUIumzjhtWzY1dwzOwK9zdZy45+yTgYSvp67NpqnTfEBMr0EU1T+dIG
gXKpp4OlY1hpQcKM05Wveu5Wb0Dq+YrKCkWyGsZeo9p6UWSvAWXtgsz7JbHzgBJDgKIQoYyfrdHl
bzWy5ny0D02KjZ1lw2lSPfZA5B56qsP0+OpVAHnGOyuSes2+Z5HrN2zNkxVuAK9xKPv8vGVMEOrN
ALn4oXcIsJdqM7Ar7D0hrMLnsy5AKLlyAw5fDy89yMsVtlnMKlgUNpEMh0evCV6PsbcznUl9tmh/
ebabIFCmAW+01RgQg54CPHT3/ohVowphftUoUJnq3x2kwQDY77ZygPOVpkXU2VrpaS2vEZrOtnLW
gFBuJAxYFFlCPhK9GM9z2VjI7eehGJ5636wuhBqT9dgMiKIl9QPs5ScizdXKQE/+6AwqKFDVNY6W
aZ8kt3VOUuTaJ2PC6RRh872ynUseMMzqlcQwFhfFYURhCQvVbx1A1H3RNN/wPtDgBJveVsqj4drh
VXSxCB5nE4HYi9Xn2LLP4B8GZtm9yx3svvWs2olueMCXwnCrao27qjJIFElYEKioPZ1dt9w4FHaR
rYzIrPdA1zNAcY4B6IaPwQ4y88lK2ZRSMzS3kI59zo3GJsqTKZsoDPf5UOv7tiyc99h5gcvUyLX7
czTLDZx3vqXOBJGRfgZau06NxDupvYc/YiFXG1bqzqEFeLY3wIGCO2FLSnJZvDUQ7i0jI+gh6xvm
jFenN7rHuEOjyCKHmEy0rXXvJU0k87wcii6z5qzJzP9ollDEsPm6GS5zR6czwDHaCUDPwnF2ruc6
a99BfU1h6FuzZF6psser6OraeSxDtk2ZffyKU3WbetFwkkfkmxCKuiuh99uYHKKg6lzQLRadkdUZ
H+LpMInn6GmvXGS9rO9dWw+3OpxGbnJO7tX3MmCqW5TxPvcs2V/HFo8RTNhRqll/NG3MzMMI3qJY
RedQzx4NrTd3fRqw/p4Orn0dnQYeWq2E26q5x1YVnXyWB6fYtYKNlkEAgI0dnA1Tv6ueBnvD6elR
2D12IK6I74XbTirvIwaVBPZYnDWTwJmSHAQGzJx2pKEKA0vUjcnrCgTmfw5Sw35Ri7Zp5mCXoflI
ark5SI0+cWrCLPg1WMieTxsB0qhuVRdbVwy34EhgBurAsfZa0FiD1w2sOF3OJTRyQVD6SEfNzpU+
PMr+2EPtcM1NjyrNepiyyBQM61bnYemxDdDM8mN4JQ3Sk6MCusjRszOIjEM3wEgBrnRr9OYu1fg/
pXoYbVRMNMe1wMz5E4HfAH+2tbohhVMw2rc+VhSmgk3y4LA1dwqr4m0EbvSK1wZow+y73wXxq5zi
EuPUv+zMpXOLKIE1hQrKUWWlE9OhLMdWruIw8AkDYOVIG1e0RgMce7VcHCXAni5IgaFM9ZO4DK6V
L0HppcckzBmy+8baYNgNPIQtBUBw2bjOUEwLrMzkvTDXOkPetVOg9JYABfBf63ZRxe8hOeJeQwKs
h2j033yk4BAf3Q1Yy20sq4fgPuGNAGhvIoWni/5vLK3jtvzDuqY+112yL/uSzySowMjC0lqOIAnV
8DjL8mj5X7M0174gIY8iZ/+kRp5xiDvpaSQIMNFb5X2hT8YD4Te50Q6h0/vs1m+ccHSOfmDcQrbS
1rGKrFItpwj/aSDGzbOtq8NFicOXXmaV6hceMoo+lOHJpKlw0bWJKn4PKNDbrADhJWWzM9nwBsuV
m7NwRDz8aTpLeQa2ayONLQ0sBHTGaWXC1adxW22y2HQeYQFYD/LwMoLge9QAI5ipV+2KMPqSMzFA
vjIAWpmzmSqyY6wmzPnyBICmJO2jxvaZP2kx8Bdjk3qNti7yrD3AjsheGr2sDj1skbXIqpFVgTcu
DfxCperKdJn/p27MjZp7vwZTGvZZGI9nhD8e2xGwt26b0YOHlMuDVyklO8NIYVqtFW+N0iz2OTRw
zYOdIUVIzCX8eRNTw+6QCrZ8Nhkzb2WNfbJlFf2gEedgFN8kyUPjAxb7npovmJbVx2TCzOQTrs4H
YXHUrYdgwo2W2iAfAUb4E5JUHAY1eJMkzd2G/ykS5aJ5Mr125Sn3uK9ODZ1ulWQxRwH0rFSQ00pZ
eBt3N+AIeTD8l7ACKeA+95UX7zzovGatwS3q+meEylE3xPNu1tUQGCGBG0p0Fgx2aKHkPQluiIrG
jSFJ9j8Gu/JO4LKMcctklb9EJMUbbRRwyQ4iGY1EkGBh8e91ZQba165VFIRyaT9MkELmsskpa4Fb
exVeD+4qkpQpjkCpBxZry67KV0tKN5Hs4ZD7S287UMzTjaumK4rUgk80lUgetwKqKAr7MRmSg2gZ
WDV3BllE76/z6+kiopXiy8PKtJJ4I/7KCK1pNmARPptc/fZeJe+FwojlrCG5d0cwnD+b6fn1emAd
UtSoxR6wOETi/otkyBKZLS2M70Q2SYq9n0sq/jPT35SC+/TwzjiInxR/Bs7LflB0iJO0xdbJ81/i
vLj34JhPj3F+wqJQ4KVSl10XYyKNLmV9rjZ7pFbwZAL0MWN/RW+AdssOdT/E/VZWy+8CDywOHTDq
poRfRzwVyZGk6EzMiAorZoy3q63Y9J5xXr7sfWthLm6dyueJmkiI7uqoehbP3ozsh464z24sNYZ1
owvQ22PqzvZWdootln+1j2bb8tDADqtAqCtvIx6XeBoilePxGa1EUvQCw1dd9pWblZO16QlfRwf0
mUhOB4gI9A1pX+D1ztjSRSNABGDOWA1jBPohKc62cKQAiWxr6WlOjnELGsoMDuL3+qoiRl1twjr6
MvbqSdy5+S5BLV1lRjxsxL0WdyWqM9b/tYL4yoQBEM9EnCFSomzuDiIvDlqMY0jV+EA0EX3smifx
4OeuKW7N0htETUnkc1WAYd+IWyH+SLUtuT+1l6lrIujMco3iRz3ZhiB3Od9fPbXaEeCVtkuYDdDr
npUirWHa+rt0hOhcq8OTOg0d4rOdhKa1H70RJDB2fCsZOidKuBV6QkaUZv/PD3/4G0QS2yvI7qqv
zi3np4eaDA6lraZuxBAgvu8NcuMHE0BW/xTD5Z1v7gyn+PDWfABVfL6DGtt4WQBrcqx2mp8q4za0
/W9Sk8jb5Q4zCJ5Uy4bSvQwucvuYYGK5E39L6xYPsTnKOzQa23FdJf6l7lQJmMc0Dk2vtThTpP61
zGnyEeEAP9qIntCG8Y4pDEuXqSOoPdJOOhzrpftMDcxipIGurjsk2A6iB/eN0R2G1GBZUmxTq8P4
yJ7Alf/6u2YWH10frLCTasAVJkDK0vfG8GqrE4BRy8xykrdheJuGZdGTRHYpy4j+TCOSoY7W1rWK
DsxK/Gh5EmOkaC8Oy9v6oYvOSVE/Fk53cCp9LXrCfAq2Anvpra7YIBBjIQv2ao9C93F5w5e+LMpE
1pt6ody2uwqQ3t63gp2o00VnFy2W8z93QZEXT02k5nNEfk5+qhfZT2Vzt80L0/xr6MFWjg3+WD96
cOVWMfCYLAbk1pognKcPh+pANPVUFqqDusOHgn165gXiiXemijGo9ZCO9d1ibsD68KISsRjlDI/t
6J4CSunK5mxMWNWxz+9pZzc7XR+ZSlSqvJG9jNhNi8DMig3eneAdDOlkF6mPXbnxgvzBwrx4efDi
V0V2fp2WvChcusmnU7Iurg8t9oOiM4pDOQ3XIqVG0Jf0EM6TuPviIhl4xgHMCt2udaHVr8VbAqud
UpH8UNrZ2ntqIKIk1i0DrsFbSHVfTcGl8LlhTSjFR+LgUEPCCd/QR+pr0AJ3R8ZkK+6xOIjHHk7T
E4RyWSMP8Y90UE9OqCU7eezPkZ4jUOY0BzHIKIzaNZzdHPXcjZ958xdAq39Byk+O4oLiyYsUI309
sWHMoPs1ds4jZnH2jFl2I/PZxfNsl4oesQwGsiJbR85b/j617pVNO0C8X+5inliMpNH0mUnsxNi4
BnQhQSqBF/AOLlljJu4gPyqasLcG5URDF6VXjO2sYyYmW+B1i/1gW8cBYA77uXvokWgUB+Y6wTFs
nl3Nq6hA8TL23FRlHoThUt9KLdJ24vri73LNoD/W6sOopfVO1rW7eKrLoxWptGl+htoQrPosQ+kf
CvlfC7Rl4JDEt1/k54kdy9McRxqWD2D8t0piprDz67S7IsiuH4CmFSfB2umCpjjRF/7kfpLMz1c8
iWWMWR4MH+jfMfRMfXDKjQFBGlkMS8PhJOMlsBnBNygEbnNumXgyolt7MrFHA3iwm+Eb8p/BXDRY
RvTlSc4dehrvl5uw1IqUaPL/vxRztR720nUZ6sUfI7LzXHzJi9RcOAbYfjChRZhBTHSlxjzIeCyK
JuJn5ymXSOKwyas2J9nX/gtWP38oxd/5YZYxn5un9hpYwIUNQewx+NCL+SubI4SuxWsyZsjBrL1B
/4bWCvFkv40OWeX78lY0n5Pu9AUNAIM0XjzP40RPFTO65bCUDWPCloOCUqQCTGyahIl/ZznMKEmR
/zCXnf/6fOxh4lz7DF23lnQFPH1nsks1rtHrzdiE+mGLP0QvT6qtykcxLROTOpESh/nS07RQZNkI
QvPagwCyNBZNlqxILYflMS5ly298OjdIXxuEOhjDGDPFwNkABEgPIi/ePO54xDJ+qp//+DFXslUg
dfKHaaR4hHPPG797EO2PorsGKOkCmp6egd80SG6InvLPSXH2PFQByqkOdh5vPlNBPJgiyxLuEydE
EDxE7VKxrAFFhTgs7US2c392Spke579+6skz2WN5Z+b5zNyZRamjpg37J/9570RqbiWSn/PipPmq
H1p9/oHPZ0kKGxu1+aKMSM2KcWWZPYhz/6lsaSJq53m2SC4H8TyWrEiJ8/71qh+WM6K1aPjpp/6p
7NNVP/2SNw34GM2VjQ+jb3rF8XBmr6IY57WqeOHFgVAK5ExoRCzepzDbcljKxgRPUOh3tClqjeTc
SAy34uJL0w81IunqHgghtuDnHi1eFvGeLC/L8lL9a9lymnjvRLt/KvtfL+WO6UTuz0LQfv3GxqGN
ae00FxYfruUwr2SX/IdYxT81/1Q2ryemy86/IK7zqc38C13kXBSp+yM3jr8WQ4NYg4rU8o0WY8iS
FallQrY0/lT2KSvauS2CAe1PpUQSIcpMiHy8nOy9M70VXXhOilKRHwlls6xOimSnOtnzMrwDpoI2
vuSlcaKRi7wY+ZkLeUSUjMSw59CR6xn1uBbDA9F/JFkrlIH/oqvNg4YpE0MQo0uWj5AwEX/b/NNw
u3QFSyz6lzZLN1jKPnUXkRW1vVfFhCxsmF6dPOqbxlLjcS3WvxEAA8JFUf/i1V2wm994cVOWwzys
Lnlxu/41KyqWV1dkPQIpfw3fIv/pCqJsTCKwE0rEa7QM9vPEeq4Xz2c5s8KrhMVbcjQIjGhThOTD
ynFpJs4VBzExWLIi9amdGESXsg//uKj5dErnFNJ21K6gAh9LqBS4BogWRMo1BSTH9OHKccSrn8XQ
5SZRkhzEncmjNk0Oo2ytqsQyDuJlX57o/O5/CGZ+mCosTUVKPN4ga4nozY3mIFdqIXqihQEyKSpa
2d3o5GzHoOaiDDfxis5xStED+lENq3fxIv8V1Splb4t1NlsnFZuDaZocIySCYYlDWhOHsmK3crXk
XcOT0D/zjVU+6Q5bo4EBGQPyEvkwVMXb66p7Fpxtgw2AQEa7RtxV8VzKBCqTWmQveQjPRPDJ1ekB
jzWiO/Ucz/x0+8VN/fCI5qXrfNfFmkUk59c8YHNydPRhK+6y+NnlIP6AJStu7KeyeVUnaj6TOZeW
onr5l1TfV9cm1norbAyxivNS963Jwn6vIQS4VWHMkoV6hgBpdsRnklpDZe9Ms5DpmWodB5inGkV4
N5Xec6Ake2W6hhyVyTX3ynolWo1N0h+kMdc3cpsA0uu6bFUFvOri4CS2vjYdAJ4KmKJLHNk7OfCN
dItkEIbLrOy3RCVBDQ/WsVK96gFOFnvNiMZCPE8s3ItC+RK7/cuEaH/ykIF9gn9TblCN61HlICvK
EgSPkojtibJHBSI0i/gpdCyUBfXmOoRoIVjAFnYqe/t7x3DHx7iofsJ3PLS6kr/1qY6rVux+S3Om
5CU+8CfXk0GKJ9VL64zGd4doPTu7rseGg1KjjtN1K68qyy/lCKaXJXn+qsqxuUZRB3hVgGyXnE22
ADqh5DE1CvSbZHlTIBGMMlQOjhsjxuLWTzWEkjAT6HAU8CNlX2VmfhuHqLiJlDgkWWahe5amCAsT
hDey0NvkBfJD7tB91dk829fyJOWXyIWGHQlKHJspALyyXVZuYRaiei1D+NRcjERlFAw3dZKBCXLq
jvVwldknkBpsrzkE22tUv4Z2CB676QDRJXh05egbsprSURTlCSbd6C6iypUhfKYZ7NZY3mOFGvaj
zE7oYywpynroe48VBBWh6QCtik3uZYqlKB6yq6HrmpsSNc7DOB3KBNieSd+CXU2LpcJXk3it5Bau
aB27M/qA2Vzfq+jCuL+HKBhvcw40B8q/Fn1uOb8IDOcBlZlgXfj1Ct1TbWsphr4ZhipF4w0wfaYp
+sm0gDoDa1U2qqlG9QoreGQwcADPHT+/FFDtLtV0WLL0z32UEUPtkDYy4abl6ikd9VhbK7qmnMQh
G7y/C7O2kNaDA8vd8WOCzYgavLQugFHb7NuvUZe+a2ylgwuH7s+7pcNnBpkIWiErUIlpx99sd37x
00j9OlQRaAUEcV68PgF2jQ7Ww6iwl2wMkXEu7LQ9qW1YH+I4zG48AgXKfy0/Vb1E50pi/Spr7UuJ
atDVDqKHziwqqK9S+RS2bBxZiD1uRVZUsBX6ivx6ui37VYtxx2qYmodKjClfCJZrOo8dbIosCdot
Y8bmw8lG+s2KR/0sLlVWunKzHP8AOQynzgRZtB0fnGKz/AW1F/3x/TGar1tqY/1QNfU2lZG1WbtY
LLde8oxR4UjQPqtYK5v6GaJF9QT3vL0ROj6KHEa79ROmdZChkh6xpqmFKLO0/PNJkf0i2+hx4RoI
UBvaDxGLKSnBoLugn9Zeyo6wch6jdiIqLJQsjshgRqDZuBWqLtV7xDaVtciK25PE8vSpssCETffH
7HuALsU00Qv3Zv9n/nfiKHX3ZlbCOZvuH6rTIPKSwcGfnj7TdzrKKSIpDoU3wnBf8qK39TUSkh8K
RbWoaSB3bLoHgDMg8LxuBa4LS4W8YFBSy/ey9PxDa3YeGu9+8S3Pd6I+7PxyF6uoNhWjZBGwlmzc
wokHHisv8C7NdOgidE9szd1/qGjbGDuZN881wy0UhvCc9wkehtNBpESZziobywYTRbVQCSr8Bv+l
oThlbr2c3fSYA/4vp8R2B75CVvafL1M3GSK39/6Wy0QD15/+OtFa/MiQ5Wp1ieuJR8G2o27UMGBR
pLwG0yFFYOIqsoProlgYuB3kdTkkuD5V5zLK5aulkUjhoHfmw9ewj8zJoU1Uxc8LB0+MQZJO1psB
FB9lKVH76VSRFT9cozp6sBACn08Vv/bhjETVt00OQONzxfRXDXkI2fE+ZuZ7jD0pyKXRjs/1UMRn
uw8AnCgobzYJ+4wyuxXbKPOVZzn3u4utlj9SX5GfOzOTn1W/vDUMsDf2pmG6IDrI16/V0P+yylo9
m0BL3uyES7GZk19j1AzegkL6Ah/ZexCVeu5d3Sw0H0UdSOFtDKHuKZ1a9uVb1Cn6i+IG2asSHUUT
vjnJs1xV0C9vfhkPl9ZT4ms/HRD3U7uVHpUkzWpcMWaDxpuyog1EUzZyXPu3HHW4l9rELmEuxW+J
U6KjrWj1WmS1tuoOGq6pm1w3UMRfmUbTPmFjhXSR0avbAELlW9ViiyDD19tP/Mo3oGD5xkxc/dBj
mfmYm/0LEJrmq5F/H+3K/mJIdn1K8gDpJFNtvlYjQArZMtJHRHTQ0vXbP55l1l+BbKmbMcRF3Kzc
FwXwGRq2dQfek1To19sRa1j4wn8XQYv8q/JTmWpYoGKT8ZJ3TrnFry1HYc7KXhLJME9V3AxobrfZ
iwpj+gnr95WolICxvYDA+AKTV76KItOt2F+wu3wvsj1qEkfFGaK1yJahrT+O7NKJnLhi08lXGa03
FUb02RtGcAmZ4WvnEq0YaNGliwqbmV4JuofNBiwesp5Iy24Lt7NOoqatXWerK51Bv8PtZHQZeRCM
Cd5auWjXcHyCk8hagWwCUwjas8iaGBHhA6m6F5EdpeG7zTf/JnJDmzwyXqePWgi+x+29gx900j1O
avkauNCIfRe7qi4tHgH6bJGdaO+5U79GYS2fASt0d1WteVVCVOWLyL6IBqIcXcRdLpXJTRSJg47K
UWBCYCgbFcPVDPfYxPTuonkIHe0x1e9Vle3sxi4wLCy3yJjnZ3OwsnPQQJabxILzsyRzqJrCRmZW
Hjah0yI6bgbVg69YWIEPxgsKYfFX2SicLbqZ+UFk4egAqVezt1zvkaTUWrAEUzOlHdwVmn6gatIe
d2W5BihexF9BUSd76PjWTmXv46tpaOfUloxn3U+sax4ZACymZvUg/x5ASx75tClXpnUKbkSk7Okw
KrG7JoJXgd/9u2xpIlKGVP8uWlXZ/9P5ag0ApjHDh7Ifq1svFcClMxvpO1BdOl+i36nsvup9Z75V
Vo8+UKpml8TXTJSNixhEXDd+aQv7Lpr2WnwpA815L6tU3thlaFzj3MGApSxRS0EX9hU60k8J8att
mK1tYEMXOeelsvvwe6MAEDM0u3pw9MY7SaYV7YPYl59RVSlX4vLW+C7nTvWzYd8IGJEeosM4aAdi
tjmqu7lxd0w0x3ndLYQtlXQVJWWGMi4aVZecMfVi5v6mddXwVCJO/lfF3EZU50spPBLAz8j4b+TR
k8ONqPfBPV7E1ULLptAsoBMWln6cs6JadZSo3/FqB3NLT1Hvhh4Ze9ns4G4vlzAs/WwCLz9ZviFt
YyVTsaXqrIMB3veI1011UTTd2plRMjwO+Lhs2lquXnkbZaA/tvWNufMdbR7pT+W82F3ElLTPjN39
2awz/SecRMQidcZ5eh8vbRJZkFS8cVsWRXkL1bo86FrRnQK7NnD3dXNsCRoLfSzAqgx8MDPVHFks
t3W/hl7/GgW69FsCaTn/UJIqSMVlxq8h7r77kmS9K2aVoHasjM++iTY4UxTvAQq1vU8mUXFZcuNz
G4fGnnBA/GBDBQLjXBnEzxjITHf0vzIAf4N8KP1SPXyQQScxw2YSHnm2/jtBGVlt2hcPa46qfmob
MMvoFFcvTs2asGkL5QHcRgM8B4cleFfWhuCa6x5UVcODqrcmSQM5xi1OaZKzSFlWyRYgEgjXJkLW
Bf+aJ8XqnJc0dt6VIZSueus43APke0s/Lk8i22goz6VW2BzVsEWYSmFedmxyoG5ZZTuvHoT0VdH5
8rUtcvc1KMevquGpN5EbJwS4pRoPoqmjWOdAMdxHkfNbb1/HefykZ6r76o7sJWZG9ZxrlvXq7ns3
sb6GfCr3dS/Xe6vuvG+Zui+70vyWg8jCMqcoD53XZe/Y3K1bI7CfWEdeMHnIbqUrIZ7vQd5oWl9Z
zWVTRZCx44yz7sRk6feIHQ28RAivaYH2W9gdGoip+ZbXvC4NKq3UNoXZGLsOS8FbMx3oGMOmwht5
I7Kigg3b7FaNuG1hWX0G7MQve00BugHD0RWxu+ymTQcTKd6zLWnX1CrGJ6IA700eDN+GYAJ61PA5
0IFCci9W38OxG771ZWCs+6k8mMr/u72N5NLS3rVdrgM8bV15NoJvf19/Kf+36/93e/G7atHB3Hb0
rZ4a4bpjwX7Pu6G8q5au7s2pDLmM8i4qUha/c5loglBkdc+nsk/n8uVEzkpy9qHKN1EcjIlt6RSV
vKNnJH+VydhHO6m+W5qJyj50nFVZwjfw8gcpqQ0Ik3C+eqXsvK3Fu75p0bHZJL2SPYhDr/O8svZN
XSlVsVX9SL54BUQ8BimRQaFdvtTTQWRNTYJ0P+eTYtOyXEPr8e9aUb5kxRmiDG27cxoAaFuK5ist
+ZhBb+zth5zb9b3F/gNFMudrBJ+JTpWnR8eFS6r21tNgts53DQE6ooVO92DYNoajEXorWSwH7L7C
JoZ4fKxyaaepzvgFRYZu33BVIXj6Bi3rKH7DT4DztUVtXHHCdm5uo7DRNV0b84oHlbv2Cm7EwHVA
03ZqVfcntfTR7J4Md4SjzmyuY/gZ5FwWX6JCHFq0urc2ICuY6K111GM9R1yndu+JFUl3BKKbjXpw
sBGLxhFNFw3tGETILX3FFAReTNiXe6lI2j2LP2TxtT+FXn9DYqT7EoQ4wUdN3T4EVasc5LBOjm4f
6zffU/HEkPLxLfbjP4AOkz+c7GMHf5J0HXUsrH/v+Mnstb7xbkVWVfdsOmgy00M/Qy5xaqCpExWp
ArJh1PlNieHFI5ksbzsna26ivWiGwdMW08gBAzTEaaLJkx3IPF6ybXT3EOvAV62KHxEdwiDCwBhN
a+R+hw9aeTO8JtoXUGuuUQKpQuv18WLZIIthx5tnK+mCY4aU8dnRA+NI2CM7OcPYnZKi74+SHOTn
RMsw9nHb4BJVLhJPnWVfonzA67UkSBI0kbsL61rGgUEud7aT9RBdEV1GAKp9ZH8i38ah1dxd1J7Q
DQY7yIgDGqho2+exweoHc+f+JTCQR270Vdv4BKW8TH6t2INe+72svfW2jZY3uqdf8J5pV0Uw9FcX
HyokqNN4Uwx+gBIW+nF8myB8uPH4I6rsrYsf2Tu71xW6NsHEtR+DZ7CkfwJTHn9IkfaDwC/0csMj
UO7Z6i6p+Ti7nb5vpyvYIf4d4MByLB56FlTmgEgnEJMfGbhEtdG/O2ANWAIm3Rlt1P6xxEh9UuMf
EV0rr44xNEgh8wawMsoPSaUgJIN4X38LUWthUt4fUl0KXlzJsW6WAptWGMH7egvlznC7Qxt3w7tu
snZSFO/FznhTlCHNkA2Q+/cAAODWy7v2IM5Sw+hYap1ySi2l2xBLzE4wgkKWqhMy2HAw5HDr1Vyk
DwgiiiYi9aHQnGpE4eeapXmfCH1CfmC5jigrChseGht46wTHwJuR11g51lLz1mBgeepdOUG+gluS
oLdN3LKD6TFlUbRztkOd4XM5ZVV9gLSkG9lRZN24VFawE8MVJg+Q5EyLRcF0UFMfv6dcH/Jz70QF
DhakxGFpI1KiDKdxWlcqEKUuBY31P5w3IhiVQ1D/r2uL7IeftvARODITWn0oW04Rv98H+XhK4vdq
8P0Xxlx3lYWWcVRduBVtqj3LjuXutc6X1mPKY7acLHw0i+wgcuIkXXOe6yZxroYhHZAuGm9OU0Ep
rNP6S9tbxUrrLO977UkvEIqcX7qi7FKb4QAd8LWnpGpAA0R5myT8QzDjAXWQ8EcRlCGfnap+n+zu
15HR5Ffi3GcZEfcrRIHimiqFv0POdFxFulxclwpRywTrr3Y6ljxZba3l5g2IDM7N0xXEKaLhkm3N
3lpZXcme5X9+5NOlpT6CL6S6bzEYVQQzpx9ZLiCycScf2PwKTxu7k6xL03sYEGEdiuOL1PpQSFTr
UUfJ8TE2p9FXyUAY6L49l8H0xVIptg8WoYKrJWNcEspI/c/ZqQyn7u4aTAdRBgRT2eKLxi7IVLtU
iHairCjlZKd3uAKIbG1q6TZAFmbThAPh/aL8EUBccDK5/Kp4A/S3Nh/erJxFezlU7nM6pu0GqFh7
V5sQNUyrTx5sDVGVEBG362C03SEDVYuCYwBmH9uqoxE7aIJMo3hnycEtjeVil7DWfZTR2iViQPQ6
NkqJwHqWvPLX+Wti3vaXyEQBxRh1/Rueou9uFZs/c8M9yQQyPZRw4DVFZcRU+jXLaxP5PoIMbGg0
f/rBubhpmv3UqvC7pBOlZrQEQA9qyDBa3LB0pBYMJD2TMele3bKr0DRnASFqe8vPz34CFVDUplh4
Xtx2rFaiNoz9BM9LNOVE7VCb8a2U9G/RdCV2PNKHuCyeRV2o28ScEFpiTh485LUs3UKchEh7xhg8
iJQ4yIn3dVTl4rgUiRRuqP4mxMdnPmupla3E2odsRK1EmVX5yE3aFbxTxEHXS7vld+QuuVZ6Zp7c
UaXtGOJKBRPpuY+cnC0il80TJVbOjt0oZxkeFZz1QNnHI1IxokIcehvVoLU0tSklaSh2yzmKK/0f
W2fS1DgTbdtfpAg1qZQ0teQOGwNFz0RBQaG+T7W//i257rv1De7EYWxjbKHm5Dl7r/1VLzVku/99
m/+8xHZSPGTXN//3bgMxHf7gzHXw932vT4d5yp/4zysXqWk+cVgisKSHEWx9e21ssQjiYP3PL16f
+Psnrx8wLvRw5wnx8vcx6/oJ/v3x2cvYBUOn149drIL/8zv9e/X/vK/xXURwG/5+hnUrXO/958Ou
H+7vZ7o+8/eP9nVxlwJ2xSq+t5Wrn6r1ZdcXhKKlzXO9e33mejNfN//1rnB70A3jb4+J0K3Wjzuq
DeLUpu62y5LGbwmwiBKsZlFXftpVN8PQQ9M46EcZh8ve8fo/yHLnIAesqCdfg5kRHSkkeRQefDBv
7I9xrr7bIvR21EwnF4Rp0phJYMh5Rdl6X1IjIjvtN1rLiRzQrACH73r0GDvSrdw2e2GdecCE9yy6
wdsMHHZwPeanNmwQF/fPRjTxZtj8IGJnl0Hvzk6K/7JB9URDZ5vT3aqE+RlX41lj6jlXRCLOIBjq
deBXaQwdMvy+B3zELFO97JRoxkOrMu1eT1ny1uQZ3TfhSVCLEC+3PjROAzapPLv9+5hBiMtmqcbi
+O+3Ijp5QdGCXCI3Vbu/PoEH7VMtOK4aNWDlXB675rHLxXg/Uggpp4WFXrIkHxckI8DLUj5I9KzV
hKyQkEPsQdM7kB3UtJmwmgoPvaGdXwZjIgFsvZnz8KEd8fEX1cmJRhvVPzcV3WIfj9m0MytYY9fH
SggM+4WUNRqm//+xfqGQAGlq7htS9CrXDu+K9QYchVc7zb2S4JpyBRdnooa5X9abJLfqgzs78+b6
I2cQ6z6FRoFhqPv70L/HOyleE1tZN9eHXK0x4ZJNC3GhXbW9Pna9sczQZEwEs/H6kv88ATHPmru/
f/j6sG1WzHfnqjxe//D1sTAeN9JTVqDmlon1+iGvTyaZXp5sCYBwfcimrX5xHC0Yozh9qOpthSH4
XhlG8sDM/GdKmvA4GtYtIPL8PBFWdX+9cRdY/2Ct7N2/x/J5KAlxg8yf6VqqYWkMLTKv+5vMzux7
mv3239/tE7ldqpD0o1h1pGi5LNrCnIyhxa7d/d+fSUhqdm2VCx+dL8/HtW2e1uI57dy7xaM6GJaG
WVHTi3vPy7Q7OzlF6w9Wkv7PzWS37z1dy5tZ5OuyEL8P6X8IM/69bsqgHOULp97rGzl6JcmuSO4J
vOsvdTUHf/eopU4itMZqAxW5u6vaInoQNMkezLR6rMNoOl1fdr2hJDM3xALVh+uP19caUNYDu0E5
fv2t62M4KnIsCdkta7jJ9/TIu89Ly7uHy73cWFb/EYUtlJD1cdMpBpKk0k2Yujj/ry+DgHlkch/f
Xl9B5XevJ4Z1Shb2v2pO1EGLPHmPWdS5J0Gs2RqxS5bBtDj31ycMBdxTrxnOXH+8PgEwRVyanIKR
5A0NcmysGCVblj8knH+zwT7/e21M75Qws87Z52aT7twZxQQ4y/ihxg0REM+SbS0HMprvqCbcWZ4F
ORx+ywOo5+RBqA5vqJXRP5joh7pWTqjQmmVyvaF2WUjLIs3TXCaqjToiDk8jLCRcSX0h4OH/ubf+
CF/vtVRk+ZGt4aG/W6NVQsKhb673iGsumF/fqNUl1K8Sxuu96814FUquNyxqEU5eHwRd2+89k4n3
lAJ8qean+K/watV565Td7ZtuLrRZFKvY1fjw74YaGavD9efi6noYRPEqVuNRvzpp2vUjkE2E80he
/Ud2A9gNGiRNAbi7N9cbs1HTQsBRu/I3/veumXtfSWbCwOhKsI/Xp4dhwSF6vZuCnQH5n6WMOQDn
M7SDsvd3i7kzESQZnJHUlYwQr1vx79PAXk5rV2YP+4S4Axxm2BfEVpstDYtd/2fuxXcILSKvmv1E
/FdgG48RuY43VT+8OWzWU0Ic2E4Z4iOehbedVlVtxttU3okzTrG9ft9/W/t67/ofYIYVb0XEttJI
STvpvRm0WSQOiqC2G2lV9VGySMiatN1oer8fhXzO+da2PeHQx9Sh8x9mFzBaanIXIP2i2UHaYmJe
TWnlqrh21n/W9V4BtGHbgAXhujsYNx1ki6iRDLqsGhJflk/n/2wYLMpsN+l1IBQdw9e0IqTfT8Ot
ie0vUcTa1rLP1dhON10sx783lkimm9Bct1wxfxSG2dxg+W1uvLIBOn69W7reYGyvd6/Rq9d715vM
CRvUTh40jFU7X61xLLXVYNCh6Pg/d6zac8pjUgACWD2i69e83ly/8L8f+8KCLGOQmxmuHqZl1She
N0d19Zxe76qFhldZOHPw7z9z3U///Xi95xkj8VYYeDl5V3ACubFW2d+/G7sX8b4X9ilbtffX/eB6
k6w/jow4dkvSna8P1aFNuEPkUo1cYw2Ga6KB1Ab+v0NV/cqNriV91CrxgK2usb93nd4cjxmQL0zy
bNOVD9EIYgyuN9cf0wQKsZFoPy0l5XgiGFJtls4ZSEXR0unkuFVgEdOlqmneRAXRujH51IHuNqxi
TD3c0/v59vLpyahXsC71CLmxFYFzWOlnRudbsxjwjWa3RdXEGxhlDEqXOj5LtDC3Udj7zNu7zTgX
l8LgElF6jR14UFZPeqN8Thk1I3Q6i3XTH8ENrEvbRX/AfW8elpEEIemSSeu8qlaVO8EQBhV7P5DF
0kW7RBFEKcqNNhTMR5AJBlxwOWmkd8I0pD8bs7YNNUUszGDuYP+Dp1ueLZEfy7qmf0ckUdKJ92Zs
yCyc8x34pWRrY/SrVH+Oo1bfcHHEmRxXVdBhyIj7M+BX9CQpI11NZ/QapTRV8FL5QNmS3disGdHK
QoVLi4LhtL/U5ki+sdsFNYiKzqXXOEw/ncOGcQePqBR+fxm8czRnqZ8QsBWWqQ7XlIjSxKBdPeiA
b60UOj6hmc3wk4Y4snWUVP602O4+hHWj1eqgzJiNAIcuEZItLWK84t0o0MWML567ti4JgqQe674d
Lt3rucUwYMc48lhme0ubMQJr6P37UdtTUSw+88cPiud4687492tNZrCJkOm4C7WnwJvjgkdDvskX
j0pvPmTuwwQC6cDEUz8jpiU9wyWBQS/5R9e4dPHM9xHAYDdydbK2egFzCtdTrP2okGyZdrpd9yAz
leo2j5c/Nk/6ZceFsmGRrTnhpTL7r6aAjmRyiPrGOBDWNI/MG2OHxBw9FQEN0XOVdSTgSnxiOLiD
nHaCJTCFL5me+1KtSBFYy5vJVK8h14sAyuuGXGbyQQtGOC5/SzZeAhNiGXxUOTNEL/u2b7RdEXXh
wwxxfWnc33VOql6kR5/zoO2Uy0JwNIZgLQAHacUntHI724u/NTism2oim9iYljevoWFBA9LQ/jhE
JMI1spKjZdDJ81L9AeKC61tzHoTx8DQb7o4gXOQjMVIsTehMW1khadlX1hj9bmmmPpjjvN5p7kus
leXGTotw2+Yl/Zmh3NlSq85LzBuOis5gYhh30ZQq0JTzsdc/WfnHvjc7w7ZvH7uMqNaWvC76+Vvp
1e+GGsCzAEhyLUKP1fCCItcCdpTGPimexYZq0PAX+Ksbj8DUjZqnYpM68cEWmr4ZQHbJVLwAEmsE
IkkwXzn1UaMHZUr6igsxVDf6g2FFNs/Nr5E3fIZR0wJ1qr7T5W0xM+BrefyFOLcIOvOZCMXnAb0k
UxdoqePJA5m6zjbU1LsBvbZp7h1aZoiAZWj+0L4BYSLf09G+VBND+9w7C5OXFcZ4a+lU/5zT0+1A
6rCqu3O49ATIlvOeeF5JumwZH+bfJGfTr37Kyv7D6AmU19V8L1Iq/35Zcb0VjUCi0Rn0Cc7QJZDJ
Hs0wYMOIfcJvqx4gWPo5sJE2bU0osGZpx3qiyIqF0fhqz7bXg9yh4U+kwMmqd21hhw9kG6oto53U
nxrnWU5FYJU9JwINDG2ev5FxnweGx8C7a1Wy6briFb0oJkfFGnrKEvKSUG/KliDhNScWZfS07bT8
BZj/A+g0d9O9DhICXZNk+O7Ho5uY35WWfReJ+dU1FmGBLWR+nTUUHe59Ofbzzi0YFiQGWnY3R0cU
z9GbQRd0KoD9jXP1qKfNpVkbVeW8DmL/WJ1D9MLIB46RynaD2MC9a7eTJle7c303xOkmqSTdklWo
20TTsTK4KBRohCTwPlgvnDVl5KfGsS2SOwchxqbOq0uRVT+F5RybRn52CQuvSdzHbl4EQs8PCFXo
B4WKvJYxxFfvjjeKNLMIVHXQoEDf9lYKkWccskBqpNGbmpo3ml1OQWhpXy5kozgcEKIn1lYQKmUq
R+7nqX0i5o0xdCH2dAH29kInMy6fy0nfCVK9d24s0Q+jWUlsdjOtevP0Kr0Z/Ch2V4bYr8GKoY3n
L/Oi8gD+zFPcLl/VJF/Nan4YpG8WstnJaLpdQHNmEvJcR/6kIeVtBcbarTo4g5XJRE10xywMkWnL
/ZhogZuQdf8+J/WHF+VPsu7Pk0TTqI8vscoPHRqcbGKfSFW3A8kGmmY4x4ADEbQBRmtzO8hqVuBa
G1gtxydUeTs/NF010sSdYcbBhwYaQHZFZH/Mavogm7rYOLn23LmAbFRivndF9jWC07Oa6R1/2R9k
u+hirf0yJMdeFE8zNnI/16tfdQ+8PIHDNGQoqtkej4IQsX3FGADNn0XvqFv2DCCBqXXHqO8fyDQi
Q9ClPz4q508nOtAUXGHJ2CbqvRQgfwEobzQxEnmpl2Cb8rOpyocMNM/GWEZ7KzxvP0nv+F50APqg
DR2ryVbw9jPE8jPyiJgcTdLYT4RiVBd8w0j4HLDpJkdkHdLZoSus7C+9UOdMH996PhRLv9cEEQak
z/zFa7UTZ75HxGX1pu8dNn10MUimr2xzr9LxMFXhrjt0Y7nr2CycJFj5MzucNsz2Eur/ERSwU18S
ulQHRZ6a3hEsNnnnrIL12VsZ85RyNyYcvaMb/slzIpQz9Gnl1L7KXp1NT933bu6T5/BQq+jDLlg3
YiEjumHM3x089fBJq8FnNEPKgyD6c2HfYCIANr6kbGiNkYpm2rqWjsC43wvWGUeP1XJVXIgebakD
Ep1eFYdL/yoVTeUld6cNHJ67PJ26TeNABNQFgiOriJ4qmf+p1dRuCpWPQeP1JEZiOmxj/Tjo3i/H
ooicY8jZZTScrI4qu+7Dj15x3C29uZPAvJ1uuLXo3kFOyQIQd1LLmYY2IShRtFMgd19hECJ0imih
WfQO28FiIztsRiJPFk7oRhH0puNh+HfdzZCORVA8dgWMqCHT9J1pwWzo2uQXAfAqhG3PBY5K8sH7
1qe+PxuAyFiN2Qc3VE+amMFuev2HUJDGZy1B99J/tJ23iwaQol1CRrGXeUFOi6BlwJEjjA9KXePg
oQhrROo3ER2BXtcLOtbZoVgG90jI5KuTAO/hCt4P9behqI3nkcOzgq+TJmehVSTMjTAUU3aXJvll
cPoJcCehaiK/Z0mac5RUP4SMxhth9IyVrOewcwkqKX8bkOvcpcUlYZAIFiYu+ZzlbR81J0mxGKny
MngMDckXAXV1i4HohVr7xWVo4dvRmhVhTl+zzQogc4fp4npcauQcZG6/JgxyNZcESKUdHNXmNTMb
jo7Rl+2i39lDMVGM59lGuNRgMke3ESU/A/1sdbKrlZBlT/DepvHZrsatYdoThRWhGYkD20H299o4
1cdEy+6tiIKcTNrStMu9RWeqaZaRgjYe9pi0rU4WAQ2hZxlHv+FbwU7N0OzFRsMRwE6j/dD0+0yq
7BhKayIZWDGtvBQ1GDMQ92KTo7Y9LHbUBh1ETG9M/XSxb9veQ5va/7G1G6KWzwnBrCVNaICPaO+y
eouV8T4dhNjpZfMOZOGmLxeIz9WKaP5oBMHVk2dg1q/i51o4VEJooFyaBJtGj6g7qwTMJBL00t0j
WrKJhnRGP5WYe+SMK8T+THsQkMM4k9kuzZ2w5idTl+cm5QiM2cKZIFSCqeQf2wmHIFcQh4ttbMh9
IqePZbpBOfOco0jdkAvSbAuD7USU+AUnBrKRhfW6xKuk5rUFb79qkPlWbZsPPeTN7E6asZMEHm08
W3sUldgNAG7Xk1S1gYOKFWpGQL1f6XKkf2Sc2DTrBDrwfYit36bU5l1oDsCSsZBCNGR5mufg7agI
bY+9v9LwDlCYEJsY41+hxldJDCMps34sqcqNnGj321CTOG/SQrTBC5r6Q+LqJlQ5J8hIOd1oHnuJ
Y5ufNFz+kKFcn4aMqbXJ4H4mqigzjV8A+4oAqQwGSssI9Kyy11/YJvSIA9NksO9me2HDpTWm6eAY
g0sdkNY+qLkOeop6S40GHLU6aQl7W9WKTZfXz2leYkeSN4Axg6Wifh6VR6ovTYqNzOP9SOI41M7l
IpGw1+J7NryvuljSACFbzW7aPzjl+O504xck0cMyz740jY9qSmxoySOIXswX4dTa8EnG0mcOotfi
ccich75zsWWkxe3g9gxQGp1Btvee2opE+8J6CtWvXuigumGIkiBG4o7uhMEUl7e5Lc7CkBy6kSLP
iTlGqzt3NauOoSrHIE70ewJHns2BVEyvL3dRPP+KQ3tAC+g8MFAhwCUNYTYvb673y5UaIhFzZfEV
avKVSimwKTDB10VBalbBDMWWmPPN0PbMG+K9Vpe3Zf4MNs9j2Bke2Cf9to6t7ZQarMQGg5eaSbnV
TGn57k0XAeyk6Yd2gWxwr0dzUjrbsdHftDxn1NKb+3CCuTeFhOHlYNAap/ejQX3FDdJ72zpSX3Rl
ToExOhubqpLV13inZ0cqaRvqcE5KVeL5RjVI/gx5CLmn+SHa3LKxDN910+/Zid9i5pTz3Be+NsAG
TD1zPjrzayWSfBua+1wwkC7xoeJBjbaSHJhK9G9ZGa0dalb+Ycp/zZOtzwWBWUlr0Gklr07bp5hI
Z5k9TxNXb5tU7109UnIMUjEm7BgPx4REe44HQ/m7DsnIyOL6oqJ4ZxEksvPm6VRn5u9cw7Abp5Df
V95Qo75QJD0zEK92GhqVTcMRv/U0h7Whx6E0jt2lnHceFOB5pt2OnqsJwiyCzlZhC2xwIuRMtdIO
718e0gtJku8qzM+6owE1T2uShUKb0VPSHWIAGxtES86mrczv0QI7lT8b0in3UWV8OIZ2cJaJ/omH
mseqv6sK1Cm87m94M59U1OOuMePLAnIYsm+W+aTBQiFY7tqYCNf7iasphyKGw/ITSQzS7+GHfMtL
6BGxnHCOMgg6LwbnxTOm09wCI4EzR5a81d4Nrfgs+WeBRHlIMs/ca2vkclzP59zWob4nZb9LEtZp
OrV/XY8vHKPIQBDVr6dDuW2jec/vMQXvI8C38ZFYoefMMLWABKz9C0bScDM2Ieqhb296bVzrld72
k1P0VJsIU+0FxRnR1VgnTnnmsUzlFBVaFLwcm4hs6fU2LfKad12aH42BlqpAM0HD9lfFxtuUo/Wg
5RktQ2G9DcwtjWgcAtJ/Vp6KF51jWzxFizwYOQW6iAjl4+xEBQBpjzWsa8JubXoLoTEkYRpW914c
PdR/OPGGTH5GnJVTPDzkgpWabPHTpCOxKEJ/i1uCGmazIg9qfAJAmu/QcN2nznBmrIDRT8svIo9U
wCLwPK7k1tl6ND6j0v10+u6l09kxM/uF7ItHU5aBiMgpJAIYCjhBsvNN13K0YOtCIX7oLP2tV/Zv
zRnoK6N06yyy61KdZkzK9d9ZEgvHxHBs+kvWwAHnBIAMboU3G+/hunh1tei8QCoEqX3OTLnQuOu+
6mbaNY72khNJvHFia/THisJbt1EzhOwtVDF9WXlYxYW+sUV+U4XqdymwUMT9ApQS+VPbPzq5OFmF
7HxT66mpSuT3OoDqKdW0QKz5vL1nbLGCE0WfVl9xER8AV9y0SbzTM/s7dlv6VC1TQJJUiVJM9uZc
XzJJoGjb5Md6IDK11+stqvDPzOiQi5okdNvJNs0YPKcK/VtYAg62t3yEUx/fOUmJSHg8l5oB30ka
8QbTYzhav0KFhSIMf5ZSezKJEppkFT9p2QfMxNJeTF+LdNRYo3mZYY8FljK+nF4dTS95rEYm6zgA
v1W4buw4/5iN4TUr8VWTtgD9quI7J+NlzsbbKkWeF0aflBCfBKvGG6cadnY9f/T16svTuZBrhYci
cKlgj5uo7ajN107ltGeKFwfWTGtWT0wC4E26CfGHZ5NIkXXluciJU6rsX4U7Cibo2vsSjWe9ASHt
lbcmp3DhuHtVVa5fjEDuSrVNxuQtyVvh/zR2/WVb+e+wrtFamtVDAa1ROQUnF9mStmQr8HinpRy3
IfnxqJzwahv1CZ/Ro6kNiNNx/uKyOMwjWMKYbNA01Wnq9eXA3ojmfBFWoDNThcEV4QUpR1/31TKl
JCUm2W6JnBMOyk8pmo98We4GOF+M1eQtR8irzKC1aX3glRUaTDfam23qO2OP4FgjLSpdLpiXbqDW
LvvGtrY2eAOuPwZ5lLnvmhxdw6IPBzIdoOgjA5/cHsg6X6q2vF+TQ/PGoZ+ysajo2IvLWyt/6UUW
EKB638bqLR4Yga+74DITMYWwRN9Fkh0F/8RlycM9HfG30FEXOrd3IaB8Vgn40PLG2JJCdMpF8ahi
872YpGChF1PW4qdyPShPQnFhLJPHq1Qg0mnK0DyuD6zGHgnVfqtV+sXq9wkXqDqCzSdTeQkDfC9v
dn1u6/Cd8gA9RkyJEtKoP2sMclqDsJV+trOtW5gHVEa09dLZomRoIvIhtXPl1NqFtebrVNDbXXpn
R152GVS2HFnTT96uWEDRLCLPDmV7W1YaAwLeYOtm2hfr3s2MF0IkoXuYFg3fZAGykpCsaHKjmyEZ
WTRCTmC2r/l1ahNbPNv7uSuMGy1ngtXgRGAS4bBQc2Mde4axn2evOWKPSzbtTAbTZFjFL23ugMY7
Wbe//vj3MTD0Kcdll4eBg4UDEH9tcq1ShI07RUWWwZr+NL25IgHGTYCFdKbZb7z5WDlY0jE5fUj6
yIZAf+pYvXbg++wWg0K1FyGdPiD2LG1elrzt9gMVejtyDRtaGpCJeiRf+LNX+ers4uqzaONRGIO3
d8Ifh8xOf86NT3RkXGs65G6pLiJyjvN3rQeoWlmU9nI0/oSly0FDhV2E4W8rFb1Pi8gNwAYIzwLi
rJd8J8lpyW1uknEt2WLtFDto+ELnK/bMr6FDvj1zEg778AiJGUA6HSvlma9eBvTb3tWzdtusfy5Z
JzCWRD41Qr733Bf4eWAPS5IlltIf5vS86PJXUd/VqRg2aT4+lhHT59x1j20taGk6d5mJm9xxv9vJ
BuIfNfeznT+k6+jA0wrahlN7Eno0+l1rcUR4pMDjKrshH6MMmqiZmOGrgOJ65LC2juUgCNSxWb0d
rCgWwCZQdugSIoHh1DBRM8uB0Bi129Su79p0eJuKNWhxSod9aBU/Y7J0twrSRkR7W7dZKVuRxwV2
tpgPWNbWi/W3ZHZuvejH7Cxmsi15aC4LzjpxS06P6WMxvoRWAl3IZY0WR1a0wWK9mRQsh6mafNdL
WTs79rhhprpPE914zTzO1rBjWd3SYpkK8qGM5CR6ui9yEBfW2E9SL167ws23WisShBbRG4wRLOyu
ucfNpPsIPTgNrqJDh9ghOoc0qXp/bXtuBxOzusn/2FynrYtGMKSdZXuCTPkt82QxC9vprvxccPIX
I63KcGC4AkIFizsT91FNrOE0cpfcMnf9TEoDR9PwZOQAAXUL5MtQ1ciqaFjZ9XeWNrBfyvGQz/SZ
jdz2jqY4qkL1mzliMNUtNJ8cJ/vsafJxtam0TYnoocur+Bilw1pAm+82FpcN3coI3MnU3utFwWDF
tH9X6+gp/GjosPhGplG7qnNHzxKZbHsTYQ3sKUYeQsleWVY0O3sd38lwGfDX+WhU6q1X2lDSZ8Ye
ck2s6Rs6fsnSj8zL2GEgI2T7NoZSQXm3mdqsf2jITA864o1WIP+JvvxtZDd+3tO3mSBqGCNtTWqp
+pgODcQPrghxI0K/6RP9Vo36rqCm3MwOzulkIbFc6HdeLay90PtmByHyuDSps5FZuY1NAluWiItD
FInuNNJvz1wE7mk2vcgSkamunpma8f8vF6Q/dGTDpEtv8oq2OutWOLWpJHpl2MFigCLRlMlZOcxP
m5amfW1NGqZYeJC5V2wXZXExHrs3ED3b0l7rzwpr3DIc7YwzaZ5UL6VcrINjVqiZRTXfiG6dCbXI
aYjfQMPnZC11bU6eON6NrYjZLbRRYMDuaARyoLHMkvZLkbeF7xhl6INcKdFy4nqtU5/IthIA1HpI
3uUTfyKbOYStvLV9IcSap9CcbZG+Ksm2DQ0lD2mSIWDisMfm89JKvnFj8yfxE9GJiSSnNUYy0h1e
bc9GWJwVZ1Cf0ymqHnRaKOxR5Sbkv7KNsw7cd9ey3ONvG/W8I2hkYOpMleUw69lKt678NBoOgoU7
8cIFEau9KPcMiy0YMTtvuK1iwlvwyn7qUqhfhRluh3R+tUZcl4MzPHchXk9kQO2+JIiGU7S6m5KF
F2k/gpQg2jrR79qSfeC4/U3EDJXGoWcCRolm2uay/obfzCaa0/tB7zXCp10cMINL7EaJMaGp0dOa
dOhMwkZ6EjZL9mQ7BLfGgYTrv74Vs+J0M5XmEVBJtVBW2Oxzoja+p8j+1M2fYVq+Qc8QbgEo3G7u
l07qkHFC+tDhJ/AtfluYcqfnOCgYGUKv6TCZ0PfQxuEyMmOWpPik8bDtYu3da4W77Y2WwLUkq26Z
/DnbfHFJxxPMdBh7+bpBpcM6B3MvFSvr2j1gH+HDxMgCLtvH1ArnGxnqzDZY+ogSSY4TVdNOgwWP
DvlRabm+a917GBcUhvr8MkzGYel0usJT+6wGJiJyVL4ZlZ0/jZ5BoZgvfProNu7Uey4ZkVk/5pDc
u6z2WQRzVRyGCakRy4F+YgAdexo1+6HFN34XkUeiVYRZE+4UjJ323VbDuxWR65WHt1mPtlL036NL
Q79OacGjrnxSNAXIe/Pg/paS5of1PIQsD1PoDVsMOp/a6l6Lnfk0OUQXFGn6oIkaer49s8stdbWp
kKIExsCaz1mZ+F1d/tGt8bcadCoWOR4Mzj37Fbo9VvlvtBukV0I/Zd7Lyth02l98o5S9Kk5pv9j5
PgaBi9gwyLT0UOgEOrehdd90XnpTdezbVhNEbOTNXHvIAxmCG41nb2M1jpfa3VqoZwN3EqRt9J/z
XN1xhU2pgq2NqLHPtVWJDqTezelq2FWsOwhtQyC/1N8pJiuWCumjqXuhHze0XuPKTrhH4ySPqv6u
lDhztS967eOHFh2YvuqgncRl6BizLVP55Tgrm0WwNGo7hHUD/xVDX/aRt3R3yXpj030rUNLeXB+S
eUOUEZ2HOpN8226NoAmnQ4H8EU2uybmUYHVX86D4t8Mc1A3n4bA2ntI+SdkP9NcOvERgmKbjR9bB
ldIOxOK9RkkscLnR0666Yty2IQuZYsQHkW7aqWqOzdQ9DU697M3USrZDm18mJGPMjpnOWW3e7Dl4
CDZ2+wyO8MSslkkcJRznWFz6YCroDm+ttusvQ+3+yks2aLnkm6I22ovyVE2G987lou/WMFkU4w2o
Y3dtONPkp82o4un32BtQxB3G8mlvvFgSZWHdfdQNJBccXZRCxdZrnbuCiVhQL6LzKVq3IdbBgREr
zJw1aGP8k7ZzEMpBEV94k7X9tAP8jXIxvHhLdBtJ1iosy3aZWcf+qGX0Y4zxxiB/gCJn+sMpF3iU
494bVvvQ9BltGBm95DPzT8F1KYIg3Wrzz0R+cBpaxiWxrSFQZRHttJxkhMZwfxwbjWahXiY1hBsB
Btl3Zt13upnzs7V8i8k9tBYx2emPI9lBlyL/aia8tbqjqP00QozKOTqNVv3cZogpFDuX2T3h4zh5
LQqfKIy3YdJC8ejNjeOJr9VxQiEOnaTzTMsPTedsorzOmb9sh0gePSQ/NxgVn401ZjyqNabtFRvA
Ed9djtkSH1FF83U3hS5QmzR/8iRzatMhowgWyI2s5rvBYnpgi/A9vkeBwlnFD8dl25tI94f2du6z
fI8s4zgP4R1xIVhf6EVkxoRUx+E9o3l+LUr7T7tMt0L0d1SpYIvjUxbyCvZODUFQt8tEz969VmfM
Ue5kGgvK2a6gc2IdGlsdjYkc9GJ61ObFuO3RApnogHdVcihaSlzlWX/MzOo3pexetUot9LkyLgZs
NxNnZoPoqXXjk2KWRs/t0xRKnQ3CYtPYnXeaUl7QLZXviZi9JXnIITP4Eef6qt2DVTqimeRSnukm
/v76I5fEiYWTReK09uf/MXaezW0r6Z7/KqfO68Vc5HDrnqlaZoqkSGXbb1CSJSOHRgY+/f7Q8rFs
z+zsVqlQ6IAmxNDofp5/CKz2OTGTl6YKJ779+rYXfC5mhHkhfusbe6q/BAZByDie6fQxGTQDjye9
cIOliUQZEQYythZvc1d1G4BPzLBXcRM/8PnfOi9VWXmrgHgBYVqC/rWnLpSebZUVvA31cFvrzluZ
Nk/uWN+RhfCXeqygk+9gnOWhKCV8tgOmNqN3yKMquAbbJpBsLA/cRZtNgi2/StbZ8Y0DQmkvmt+7
S5GDE5uzWXkDPZ+dWrrCdmffDTbiD1ejMW4dfkF5UGwzJm7fVj4ZbfQNcbOcyLMYtoUKrA36e1i9
5U79hM8U0ei8OAtzo/k8OZnTUVf2dpnZoX6cv+iJCzZ9WLduBKRONUt8GeCdlrP9jDICsPO1V0d/
I6HprsPJOw1A0la5hjQC0OtIqGB6vfBqsCZtEUfhqSwUXCuN7GjDVktykW2b0VLXwOYsVhf9ss3t
rdYPAWpjpcCCRdzqDIzCGj//xLyq2JQGMDpxdwwhXnuiYYbfjmX8FhZiFp1q9kau8H/jymnaRHFY
3rIJmz3Qxv5Rm0LvQGRjOdR4j7tWpK0HJ78Py+pitBhBIFPNbUSrPgPr6hIth+9tneyErZAgXb6M
RhXjKiM5oql3A/wb0b+hJGM1kMQYMHcCObUVjVKu+/LcTKp2yLNu0+dKsBIJi7Ky3hW5xrqVmHCU
R3x6Q752w+kUZUxAfijytVo2V4GLcXugYrsA4kjzlHrtpQp05e5TOlTrqqtZAjTBRdFY9Pd58RqQ
0BMxZpReoEQrZdSf7UacTbXZZV46rhuN9W7aJDbxIAOyUIoii99fmsB4Kc1DYDBr4hPokA775oFx
KEwLmnvnveGR8kzwyxTuIxmU7YANHJyWg8GmNAxYRgyBfoawcg579Rz1LWgPbV8GabbRCA/YmX0Z
dG+G8rAcLQVGiiNY17LSn+ohugdhyXIUHSqr6SBq5PZ1Phl3vhHfmswpG9dpt0k1bb1Su/J5kkMW
XbYFCTKsKddxTDQSx844qha6GIwVMEpKbsBipwQXU2dEzeFyR0W4HTtt4zQNqxKCjR6eBYtSSY/m
UL36cfea1OQq4mmhidtUtC0/Gih/fvFJD+3XaLDe2q5Ar19fGWpabhG/J182Iqwg2LXb4QshWRL2
ZV4RPFPORjHdh5bzGDvDTtWNvQhZqiqNfkR+B7qHCUan5YFo1W67OH7TTGUt1JIHBtIQnWduLMET
Vu1fqhzZwOTFNEx82JI9Qd0b2yESlzbF0+R7q2qczG3YaA8ePqxCeJ/DdkbER+FR6QFSALTDBSIb
jlaG72mhE+DO3AcVFbfWL84IHnUgr7o70RGLaQLIsIVjnyCOYWjnl7cZRIaFN43HvPVW0WThokQX
MiZHA50U0qzuxnKrW8PKnqsarzJFddDaB5CmdveeSXjZ8KAVWO5d32gs2KwVUy4ZaDQSgOGaDwkG
ndBNkBezjOo5V9uVAkpV4Bo6RPrZ1hw8Q9ENjIm5t6W/mx955AWepjyxFmaYw02H6uML60YY9bVV
De6SXCPbbkzrFoowLmlr1+scTE/vgnwcmoPekg0OSKdUyleUHLB6JLa66CsUJMGl6g4fbU++PE01
9qXOnhA8c2OklTzXpm2rtY+ZSggMVaSZkb5VIHbXns2ihIViD1tlTgOiJxUhO6EGI8EBVr9+/UW4
2qatzGPrOOihlDhDJszZCFo4BQHNtjn1pdmctCJqTwQgJtJ6vbIDPtIvaqUc9lltlrexqSS3bKvn
c1lR1PAf0SnisWn7aEH6YaAtK0utt9+b6agM3RpbQ3GWVcAByENY5uePQeI+iJnH3WFtTXV5SxxG
3AIXuytVxDtklYG967Xw1N17h7lXioHphrsNVx8DEUiHpd/ryl72A2w93AwC+/p5VHmAW7ILIVSS
tubOZF1t180ShJ2FjMvfdWnkLjVEfc6yB9pdI2iXmIC2lfRnc+i+H9jb3bhm3l/9Vm+yNkBKpyeh
9Xd/TdioWJhH8qT69Ud1irXadQDCSA4q69NixHoqtC7sRTalLvxLjKfnvfABThVl31zJou0VyewB
N62jIW7vvSpID7oglpgHfcuTo3Fv8EBYptBvmmXuDKdeZfKVl46VVy8DwHp7WYxTL95CbDBX7wMH
fn/Eq5Cg2fyyVYrqXKK9d5Uv5XrlE1kX8yRfqY+wbJx8NyAgQfe+FdmO7bSylMUI5ump9/SHTCjc
h6qeDaHVd3IcjSsJZVTiKAeyckB9Ivf8jWxtYms5gumFVZMWN/JgpaLaJBU/LaSywnDZ2gVaF31W
L2UziObihheMdhUezMzic58smkJQVyS1PsZJ6nFgP5BvCVLom6YxojMh9nBT9EN6IQU/IwfK8gaJ
OmdVBFF3myCpuapRVbgbK2Evfdg396y9qmXQ2+ljQ/SN353VP4UTenZOajmf8sHKF6nSFl/MqnzD
VBa6ZJU/uV2cfR3KHNpgbLzmE0D21C2+NQMrioycChmOYtmpJRPHpF78gRXNojoSrQKSm6FCY9ox
8AOsiVnudPSeim1ILuSNRMTBaCbxmlbOjQPC/yXq489uHlbPKnsCVm+191knd7tI4nTcRGWANYqn
iRvM5NHVTB2moNlwWdYFSQmlclJY/HRC3MgGLdAcJgm/XMuibKgigkNxkCosdxjqvV8ZDGsbiNlK
Fpt5gMLR3XU3uCjq/XgNvJ4L4NPk0axeFOFyqhx1oxgaKsRzHzm+R05wOwire79V2ZDXfrvNa3Ja
soscf1BUcP5dSL6/EODZYKTvpi7BLpIU6Bm3oGzXCivGErQMT/zMlHWjDPEdIgbRstKs5kuWKte6
VfYBOeKbyfXDbyKzngF4e0+9rbtYIDfQZnsnJariiYOSF8bB0Xt3w+a14/ef6eTFje5T73efrAIp
l9Bawx7gA5qS6SZ3SvvzYOvFMgj66dbTomLj2RlyO1ndXYHud7e4NvtnbE3rlSES9RFEYYxgUngR
anKbT7p+bZQZQguG3ZOaIBfYJqG45otDoigokuuErdPWQGvhlCRmum0FKilpToIrS/rxlFhGszVy
UAW5SfK/NbXspLWjvkXZJjhpnm5v+aE4xySBCFAw4fIru8oBnWxLqP07w4rDG1YjLOk0x/4apFfo
StivDfvwRd0E463sGlmTQlTm765DV//W1YDmfKvi8b3tGovZt03uQE/FR7zPtr2Ptilqy4QzZB0B
z20nyj5c99iFrspKJevn9zeZXuOsHPvTWo+m/kYesJd1lgZyEhtZ1OZ+WgcTNzBKa1sytWHcHRPL
RtUn2OuRGN6vC2OCyq7uV1ckwV8n3PwQqiLSD9b/0pQesjfwlNgNursCFxUwlj1kYHgJNwaqwitA
O8Na1vWF69+wugejj+ImOSH6yTqnN1b9iDyTLPWhn10jUbaTJTkQ/DRvF+OeB5yZMeTBMi0f42Z+
Qx914DkrUrm2vm9/9CP/sdKRtjvLqtJzcyTdql1RYaE+pGmzUvUedAUBlGajxCafHXaQ4Ro2InxM
ZUqIZen12eGxABBgriQ2mSzfy7WoEOAjjvveUxYRzifUNB8+hpANhRU0Z5uUOprTLjIwfX3W/FHd
ycB9rqTcBF/M/0tlYNnqTtEI8csLZUd5kA3wUEkHzxdPUwl8PPHsfTBvQEVYGdcd8Z9zkAlgLagG
fiFqWJPksYqLXiJUYU3wcYqWhKPh5G+5Xng3UQDxxhPE02V95nh3yH2od9683BUCWowStvTPi0NR
ogpljbhN+2Mu1rK+DdkR9W35RBbHQZxowF41JnWZWVjOamGvHGqHb9NCnjYjzqX50CFlbikHWVXF
Ca2y/H4qaz/aOw/iWpop336rl8Xf6izd1faZSNa9SwwV36vxEOrj94Oq1jdRy/86meDFs9CxPmkx
5AO1TMovJO1eLbO0nxUnf2w0rdmbtmFuXS0O115moPqBBvyjWWikz2B45LrLfBpo6DJVafSE4yWm
xkyYoDKUdW2MBxeVLX+MjRWocOa/fLgehcjexhJRz7bWPwVWrYIgLVx27L1y1T/tdK1DVlQldb9Q
eyPY+VnO1rqB2uXq2XPpaZ/xJ1duEcwuDrmOzGDkTAAShnYjsjJ96lSSaKOSahsFCtcX218yQLZu
n7oqKK80UaUbFYLYvmiD7NEdxz3ByPxZ640C1pPvH7Kwi299M/gmX27SXT5BMRRnp8i6az8gyzDM
F8z3AYKSnFYMNjC3A3OLnORLjCTpSR6MfGhPwmyB11ouEgcKu3QBQPJk6JE5LGQfuJzzKTBtOHDm
4XvxxxCye1aWT1mWFruPoVMDWLCpdM26FVADhmHao9viXctSnkBAczpk72UxrkCxAE/d92597ZAQ
bPY1ERDQYWq0LIRSPY0dedU4N8VnZyJvHQ1p/Vyk2RMwj/4rFs2nlvXoW93ZULLyAAf7YloULjSB
hcJGfg5HewH8lmwAIeMG5ky3z+CJN/CUZ3G5whEozOlauYiwlt7K4kdDkioZPsjgLDvC3efoUemw
ETcQpD66dii8TV0C8e0Hu96HRnslS/Igu1hzP1kUM7vI7APiZY1zEw2qss9deF0ZLHV26R0iCjrk
q1U0N8s+leKryzQlJlpZFn14rH5lS69cvV+ia+my0gPr/N6Zz+law1nCqiznBsIQg/x4jffrez+r
+GbxGjWQgsNQNv1m2YDDvg2SLL/15y1HpFZgdX7UuXXbrBJCYEB3kISDuaJfKtV1j0KPqyNclif2
xNa9Cq0KvTH7UtYOkrIxeHKHL+JRNlqo2q/AgZQ7tQQn2HRGuc0d8K5pYwQPkV8467JDHEGPB3hU
0Dsxz+mgug2ZfT+loGy8IlDeNuTX/Le8Y0lqVI11nzHWGoBschwsI1yVcQqBCKTAHdHM9cBYF8My
rLup8gmcOjo7TEh27M0RdTfMJl7IVscg0zk2jn8kPY/AaBSl12VtV9cOiDVS6FX0Ipzsqspj67Ey
SgdORYAcyJRFT6VCAGHu4Px6JbnUmqC6G76AF3m/0mbGWpZjrV/ILRFxd0R636cwlBDwjG5i30c3
SmsKUiSps+1HWz/EPCOAw2QtGe24ODK/NdsxU51rk/dn7SSJcVOk2N9FquLcD7NkEXq8CyFMd1u3
/jQustmDoXVG7USqMyVwierWXJWD4D+V8+G9X1OZBd4WyvcrZEszjjgk96aPBSHkdnLcaxCJ7a1t
tOFdaaNZESH0tpZFeaCD6djtLSv7mQWE8NBHB1lHB80kHEgEpN/7XmviTNsFBztPq1Mf9tk6ydLm
UY/ir/Kj1oxvkdWHrzHfVYLpI0YX8zUuUkUHc74mdYgpVLFZP07GnD7o/Tczf78m91JtobvZ92uE
DS4lSfMDlCrvoDWjdyDlSX6r10lIiDgPNgnPhgo3bJpy2fT7KYtgY6W00SYdRNZiUmDC48NVd1Hz
36PyjI/6GCDCsLBUl2M+V3wcmjTCABjU6/0EkXbdDjiu19FgHItcT9aRFStPkOTPPd/CVyvqLmbd
G0/wFnLS4vW/dPWz9iyXrmY4XEov+t71t1HNScVjvRAJYcRnvcqNB9Wvyvug+6kQdc9aZ+vvLZr3
U8vv15Re2W/rygeEMokOZ/FaHXjGwvgnIaqaa3maaAgCRPOh9GIUJt2zim7XoUrm/Zo8zdGgVfBU
/bVWllGGr64mg5C1NypXuRUcoIyY25RU8RVZeeVK1kN8J3gqK7VscNFFnnuT9PPyhezV2lpr7WSH
WtbKU3kQrkWuzGnjRYlyxvf+smXUgi+tV4WHkXn+EvDT2KUDgTktE/nFz7X8Is9YhT42JFOvPuoH
P9B2rkHiXl76a1/Qpt/7Nmj3LtA4aJEddoOTPFgIffI9ysy1IzK0S5oW7rc8/ehTj6Q7fu8jm23V
Qqylw1gmAmYY3CuIvx/yvFGJT8+nugLiS57JQx3w7AKeFC4+6jrdHcXpo5zYU7KJM3TM5MVQHFFq
+m0cwpUkaeraZrpyyZH9NAYLJ2eZj4MKvqaEq4VcX+dFF4QM8kughvlFpKMDR9w3Vt6oZz837JoO
Ab+P2tIwnBWZVmMlL5QHpJXzS72r5p6you7Bh9ksObbwNDKcZp4m0o0nzBDEQhahMhXb2kBpSRZ1
E8qoAlfzKIuRHa14QOr3pafrlyQz72V1H6Hd2ph4yMVjPj7VGqlethDOXrYqlnrGSXO6wSjbvKvz
6X1oLzXbQx+3JXpKXETGY1yjK8R+dL4tLUVNsLAU47rHV+lJ93Em+de7Nee7ZRkWbsgkDU8fdyuH
TLjbrEagWcDS30ol9IzHxaYpAnDRs1j6uzr6rKf+URR1CBPNA0IjW2XDNKTM7LKcqvnnVEvznSyN
mTgwVULxSbW1F7PWhRYYRRe03YZVTTx7PdTOCJQpzJY+QgXXBUshrJN8i/RDhXyW7P1+oWOEYKeF
O/t6RBdLqaMLeLOArUV/k+B/cURA/tAqg/uk6rz86A2wjjzvIrrkoZ6rcw+eTZWQTm/axH0aGiNe
EoiPjrK1sWM8McbkMdBATzcmFjtDr7hPFaSxTV7Fw0Zepes94cg2jq89JfUep/goX9JVOvWI0isZ
wPml/DgmkVvlylYWx2T8POE7i4ZVXd7Xgb+WL+k15Ma0Cefrtkv1RxPWWBK5pyY1yHioKuRijKxO
OGU7p15Y5F5izfbBhZp345iayA39aB4UMAwfl0zTNDKJIrFv8Wg1LFgnYXcXhG13h9ESocMUcKgf
UETyBgOZfnz+6KG1/kMfG+lJ9sf1pN4aHURLWazmAecs7jyWvKavMmuJpoi39Qxr27RjdR5y+PYs
AIDaVwq/VhWRzNawg9fwpg274hUPpwycYDB7DZiwbafGhejfxw+WXb94hpK/Jr4O/MUWnwzdEusG
ZcIj0Uj7VE6awAPJc77EiljJrsIlz6f3qns7pXjDjWrEk8Sq+tup9LqFfD0bkmLa2eLZL4EqKmJg
MaYk1qGGVLkuItt9Ajhwkl2bWP/cuSocRN3WuCkiOvJ/KPxeLB32UX//Dwl7qPf/ochYU8n/oYI1
9BDl4gX4brfxRWJuUjWZdoADspWOsMeDLHZVkq/0UNUfzKb+3jp5gfFTUU10sSNplG1gO5MnMZT4
UcUnfaWOanUNGL7fCy2pd8gmoyOqROnKQTfv0zh2T0CgzW9ufahTZXprBNMEIuQxhHKunjy/uq6J
ZxYtggu9kT/3mQi36GVlyN+lfXkkModl1Hz2W7FF5BmbYbNZsg+gtxD9CDsCG2i/yezrVDPW/qBE
R9JG7jIl7rqW9cLVwQJBdM6PhlWsi6bHMiJoucLwIoxfvMF9H6DfG46Jq5Y22+s5jno0TbCgc0nE
ASieohrfG7sq1NZV1aFIMDfILrLV6/TiQAIBFf2YBBVKYJu0CqyTSXzzZM8HWQzT3j5MmEvKkqyX
PbSM/BFJHwdl6jyG+j5f2xd4HIVWtglxvVlKAXaYrg8lQv93UQBgstbAWUghdGeqH2zPTe5Ip4fv
9WXqLFtNr7+gtgHbvHtFbZxnGPCXm6A0/V2AdNDWDdP8LulJcjSK2r0avbpEALp9VlFtWiHjqF0j
nYoDWptGm0Eo9WOlag9BlfRI6mCUNebekxXjoRJrTnJsS9HjAWKMqPaPwYU9BmTsPLiBVt4fDb2x
b6z5YOrgFq3iZowje1YUa09AMA/w/8BaVmZS7fWJZcVH/7auo43asGWTdfKyLgSFP0ZttpVF2aBG
1Ruy9dbVRzcHJJVTF9kZ8qZ9kwq/PrudsvzogLIMS7N4/PoxTG04YttMkPrkRbKhbaNhlaShD+WC
gWSd1uQDZtdRtpfFrvDtTR6VoCFUvHG8wHpy2dIdeg8QgCzW4xiuUapRd7LoJMVDQ7rrApnKv4Oh
vqmb1noqxwACm3erDbF5InWBBH+gfgOGpW7jqmRLI+vkIYry+gjnCtoyfdWpMDb+VJX7pss/gwWG
eu75+kpT3fi2H3PrYuovLbEFiDPYVeyRMYPyOjcWVZHcqmakrlSyQ2tZ997gl5+NUdcOsoSUonXx
8hfZXdZElqbuWbT+PE6cFiqoiEZZV07XQSRt6s8BHKr3MdhcANcW02fIL+6y8shMx6T+tXkCitB7
vfso+f57Sc5VAyoXH23dL6Uf18lJ7kdPeR05p/5O78lVzxPgj57vrze3zYI7/+Y6bwhAPwb9PujH
5ASzMTlZiX/bZmO3Q44lOX3Uy7P3OjGQMOtBNtD9ozqvmOkXslxP3dc0AJiPP8PJz6ziJM/koRYj
mip62mIg9neDr6nR8FPZdKJdoQbZVdzjQ/k+zMcIXa2May2etfvm8eVBjsWioFv8+cd//fN/vg7/
HbwVlyIdgyL/A7bipUBPq/7rT1v784/yvXr/+tefDuhGz/ZMVzdUFRKppdm0f32+jfKA3tr/ytUm
9OOh9L6qsW7ZXwZ/gK8wb726VSUa9cEC1/0wQkDjXG7WiIt5w1m3E5jiQC8++/OSOZyX0dm8oIZm
du8R+rtK5Fo717uOBwzwWtlFHtxMuMu8Au8rFkrUeyxUMAlIN0GcmNfVZBnvh2zSrk2m1ityw7zX
qCWZ16Dyy62iBe3io59sIOeGgWYRIZlcRgRFrXwncrc/WXk2nOSZ8eNs7oFySs4yDtxpyNbk5Ova
vona4qaMgNL65vhTycvVvRV64+Y/v/OW9/s775iGbZuuZxmuoxuu++s7H1kjOL4gcl4rbFxPtp4V
132rpte4W8znsLdr8htzjVhbI85kwDYGpEPmw/fquPKQDRS1f1JIbq4yU7UQvBnqGy9yKiQUqBt8
2wJOqnYhrL6/y2VbfRVp1eI+Ez4K4PrniGz4o6o/pknTPhiQpm4TsNyy1m2b+KT5UAxlMdVIqgyG
gnj+fI0F92AdpHUFeb+1HsFapMvJydODbM2L5Kfxh/Kn8RVD3fdtBdHS13A99f0GsY66OxF9/s9v
tGf8yxttayrfc8d0NShfpvnrG926ucuCNcjfiIj06MXw/sl3OMg83lQLKQuIfajlyff4o7kvkEWt
8/zqvV9YtzCF0RG9Cs2pOhLWgQ+b8IXL7LHFNHOu7NwZPyxPfd+cTx39e6/Sst86wbpLBKW3R7PK
WHduMz03zWKsiYdPGMRs1Exv921muveWr11ke8Yuh4i5XsLk9O3rCnnjZd2507NfJ/cDMeZ75oDf
BkyBH9yqngHQcDmk6JZO1nDpHCc8tn15kiVEAsfL9/rugs8zCnxdmfuLzkD5EZiLsfLNjy5c2pj5
+6W6YlarifXJrohBeYRIhyBhHw23qi/ux0HTMHjriCW5zfy/BMonx1mPraV+VlH/3wEWst+L9hhd
53BY7wwXk6CosDIMU7n63406X14ZaCHIr8Z//TL91XI6/FqUYxUFYfNb8Z/3Rcbf/8zX/Ojz6xX/
PEVfq6IGJPAfe23fiuvn7K3+vdMvI/Pq3+9u9dw8/1JY503UjDftWzXevtVt2vw9jc89/38b/3iT
o9yP5dtffz6jn0WYFXPW6Gvz5/emedrXVJUfyY/nxPwC31vn/+CvP/93+vzynD3/6yVvz3Xz158w
LP/hei7aPZ6LwrTmOtaff/Rv703uP0zQU4ajuWxuODKt5cifhX/9aVj/ULH7czxXNUwbV1nnzz9q
mDpzk/oPXUf/1rNsEO+q4Wl//v3ff3+IvX9s//6hpv36ULNMhnEx7tJ04Ha6+i9Ta6yVulkbprKD
/+VtdJzPlhgbIrzRF7sy2GhZme+QAFMxL54hkEgcLKfOT96/Xb98uX5+tv7b23A8wyGOYaiurv82
w08oZY7d1KHTUyJIP6a6e2CJ/OLUKFmiNRyIWIfFWCprIgnOskGNeRXqg/H/mP80PoyfHvHy3fA0
zTBM3fAc27Tm+fGnR7xranHtdYa/UyuzXPko4s3Co/pe8ZcGtjr4VH9KbP9iR94nZg5EnItmWWoZ
dOyc2ENtdBBw2JCuf/pG/ZuVh2aa89riY+0x35hjADGxVI2Z2XDU+WP86caAzVsCHQZ/x/qeVJPa
FlszFmetCN0jduzeYhjMYSWjp9WkE21nflgNsY4qqqhbYnydXawt27S3PmZ2XVl4R21Iq6PjbBMQ
80cUraad5WGLWOjmcfxxSEsH5KbV4207uuM67wuLRU04nMnfjVeRMj75pEIPgw9O24iU4hSMoKTs
Qn1ThGtfmTdWcCvw4Fl6Q78dZ4UZZeqVPe4c3zzfHWCawewF0LGum3pHPuXka2m9tlUjXLJtb05q
Vr92A2aMU18u+bfzkxpPdy7Ygo0yfvWDBpJuXGyGZu2QIO/6Zus6abFKRmwgk73mEm7oumVjZ8ZG
KOLaiV8xq0QjsA9RjEiJoSDTvDCIapLf7e+haaH93Lb2uvYOJFyWsc5GOlVNe6N5cbuwHGgobn8s
oiTeVyGhyw5Z3GR0zQ1wMcQ79m5I2DnmtpLs2yhUHAZKHC+N0Htr5g8kD4G+RU+ZZY/boWmz1RR0
cEkQm04Qol/2tXnlAfVZRY27ReHX34oxeiMHESyIzqwBcn9z8umCX9FFoGMdm76+GDpxE9/lqXiB
9lzxwMOUIS7AwDKdnAGXLdD67ukFNSCwxqVlQPlygLoiHLtFKQAQckueSUFKyahQfvernZMn0GU8
605jUbbVtXiPL1E8e1P2ixK2upX1D66ONBXuDe1aGYjZlIN4YWWBF8JFm5wvgTMpm9KCCayE/hPI
0xQxILSvWcjcNENz7STpm2aO5qLJSBZU2eQsifFCAe67cJU7n7WSmBfyVfAJo3OsvgRdaWDVAiMP
IGiYJfwABhUpqv5tgG9qEWWCROYhYUZqcxGXKZBYt4VXnQ+ndtRASgetcTGzHKGVCpERdwTKVSE/
RqD86xhoBOjI2y2Lsf+W2jpOvgB3FmmLsTFCf/4KKiFW20hybDCBdVaxWVqn3K9INfb+KhLQNkoN
vIuXGqhJG9YqtE08sCwOkO1mRfL5FLuRnw9ZE1orEePbJxsUS7yMUTqt0UxteDfDsx3U1gYYAS6x
c1UXsE9ayLI8NG3+AFoKOsiPLvIsmTvLKz4aZN1HUZ5V1jBtY8XaSZFkth7RhIWr+QQtx34X+Jbi
1rJVin6bY/qEaq02gVdD+buPzALhjFkJXHbUYNzAoXbsd/1l2QfeXDiBhqQ7XxkA2Lyl1RKFDUAW
84Xvle9H2SvyEmLRPahuWfxNcnuyW9dAkmC+9Kc7GVU13Pmjtm5qFeq80LBHmV/y495cEJKQluUt
yNpR3rwcHu4vNyZPhbxdphB0+uBPmHaKfEnsvbUg5wEd8/VUAu2lT+CI6WR8toHVsNlDx60JA3eD
UtMFpYdt36sob6FmVg0VSNyhu4/M+pVsXwc05dG29WOe2chX590NPoCPptECuOyvkM9EW9ZCt8wv
sfVli5btjAnLYn4X6l5hYkedJnAJRVY7Xw1uTcXW11aEUGfnxLdQNBexbZz9RPV2o2hu9MCFVQ1o
Bjbx2mlDY2HXlbkKZzEiKyghj7g4uOWjf8zzLwQ2TkPpQoeLYaowf0PD88q3pnMw67KrXW5AA/L1
CkqTFSPjpGIclqvRtujKa2Xww6spTPdmN073ulFsfaX+So4BuzaiXlXeD0v29gnTs7jJCTxjE4bW
bxmaLRg1OOnwE62V6ozKIhrLYDVOhFbZYfpNFDMdqDUkVuzgAIkgSDUgYBWN7tqJMp3pdzrDOHoT
/H4/i/Zsh22xihRj2jSviRPYRxLcJTibPCb2O7TrtpkfWrD4W9vEeNSF2Vu3AHmg4qrNJkNjlxhC
hLJeMTyMtsbjLNerTccCD+7foR6AQDtTsCPf7K902B+bqH2t+uzNnKaXTq0eLKXKb5XOETtd8XZe
wqMuIBF1RucWnY6gno2i4uJgfmO95y18xE0LJCIWOMamAEK653ogIeJUrbY0nKhYwyeDul/phzAh
yuCpV8AwmQAQBOiaoFh0EIWUCf2KDLLvAjPdDhWIFR54rgqVWtcA1Zdl+C0quqtMaAerEq+aW/Yb
1MrXpTjD1PsUQbNb6Q6qS45orxAOWaPYaKBg+Zx3kX7QXAtGRiqGHYCLO62FoNKZIJy1CFKVZr/o
mXjDs16HbyjEmtg5zClcXVZFedDs4ZS65rREXuJ6UghaTBasI11BFIuoxBI1soWn8g3QhbGpHWOv
xdZutPRjko4o2hY7Fe2gFV/ss62H40YNWG+adlDu9GKj6eiCtt2wDsYQCcYG+5WC1cy+G94m3AgW
iR9MG1CZG6i9X6JCnVBISsdFEN6kUfaVn/i+I5wZJU62dkoLdaNshfzIg9/kMau56t6GgtLduhh9
uwPkcZ9Ms1Lpz1VX7owQcJdSkvmJ3PCTEZVLW3VREsknANzlOZ7+D3vnseW2lmzbX7k/gBrY8OgS
9GQymV7KDoYsvPf7698E8tShjsq8W63bqQ4ET4gJAjsiVswFbaDqAQVrvKBG30tckjc9FkPnqA6u
aojuzZSPvaU/Thn6NF93PNvBMoes0lbpA9vTrCsjv0OCMSJWCMVeiULMxoPxsRZUJqy5G0iR+k+S
3txbFGwKmjZzO3M3fQk/JlPfx4pOw9Atvxk5cD+AJe1qEXJXEW+xJHpC+451QI8MAt2yfWfp5f0Y
QxHh9RPSa+1uSBcpq/EAxOWoZc7VsatrYwGKGxWsfqbk8+gPd6phv9YJjyY34z5UjrjfQSkbpusY
BXzRk/Pg183GFP0z+t2A24N2XfoBoGoo4EZ9Ojj8MKR5IUAdagM4i7EDo7ap7Uu7fwNOZXoOVJ5Y
B8jRhynNlNW2zaHCwj4+W1AUbLpVrD4CijadrXaEw6io5zylMU323amWj5oMtY2joaAO/PK91MHC
ojN+jWnlQQ2jP9vy5EQz4ckP71S66KfY+uGM6pdp9BLFf1FC65gYOEcypA3xQ8HDsgYhP50N1/me
D9lbUeow/qK9e5pwMaV8bQNggpdysUFoqyvK5/h/V5a+ifKJaGresqz72CxSi7GURXG5KJ8rXjIo
ALRPy15+mdWbssPqeeL1f6HrtNtpKrdNq5FwDnxaIPGlyy8ShvtZG3HgCrPpQgPpptWUbJPidQK7
yp0pPqDSo7rk16jR3W1XLqAvSgGgM2vPd9Sf9r4vqumsA/HbhFGO4gfOIJqvO73VKH4KRnoF3PCt
TTYyKlPNsySvNJ9egDuhPEe2zf9wvhJDbeUGh+aMp6rN19erycYFsYfZHRWBzoTQEP0MWpnfj3rB
BFInVgj9F7yKe+AQLg6NBd5diTP6s8oJJjt/b8m/BbXoVsOLzC21H5o7kJJTxnel1NcpIBpCJP8c
t6NzyCjyNhGIgTynBcQET6vJ7uJkSbQBnPRTUaz7BMTtUbbB/aDpOi+9Vr8IcAy2n6Z3X1VaGDik
OKiFddCKvjsOZn1ngNsB1qk+mKmmHijqZOdyytahozQca4Pimf+IZZbhqUKJBIgaLK+pEdPGqeB4
lmZ/mGp7g/FOsVJoOe2Myj20VQlnDerwBQXHkPvJBU57tRdT9TUqgqNuwLt04yE5uqN89DvMTumx
pl5tV6TVkp+hxTW64P+bno/JuLMSaZLeNJM77NznIbj5VuU895H17IVWrfEm/OyY/FUAhpfEfvQs
aTXQ30Td816ajqGDzVwifLTBde3hb+eTqqpM3v103QkMJbKmqE7uFB7y1hku6TxxteEH6k5jm6nc
6Bber+6Urcw9PVMEQy0jF8NOJk8lRQlSKvrqBuOwhw2VnO26WGepikJXk/h9jFfT/YoegttiOC6T
fp5TCqRuVLeZbTohhbds0oPO4SVFRBdWxxI4w3GZi0OrSFe35WWlsbhqLLOA4tlOIP/H/v90ZWO4
60QHyZp3xeC1Id+2NVtyLHMR4sh/vbjsAjnij51vxy6H3RZ/O5VjQN8aMSxnTMYHLSfg+W3ie3Hw
Z18gZbEEWhyC/pz8y3VOPisn/tlxFR08kVUkZCdl+bHHsptNuZY+2j9PnVVZc1wWP851+6hocZBZ
NhnhKfN741ABjFVt2lfmw3/ZHhgzr29ZmyzePMvsMlnO13VQmp1JA+lXt1Rc589MKkT8m2U27ZtD
GmgvOFcxKvDje5wSUgaeOqQ3k+bnIhD38OrdVZtMIAMJ8Q5xQKNcnuAsgQbVX1dkCZGRUl+Jaage
QXjWkru6o7gEAh7BtVHA3u1sxCS0umwr+rfvUBbXWyVsUFzOi30g0rtIAQKthOaIA/RgnEWjv8aq
aewkziyr1PQ12JBAlNYgbvZRXouD4zj62aacLNX6CbOqITTifYfS+xyHUXouw3r2oeQdJkLLk0PT
H5xavY9tl3S2NKf6PHF5GFRo4XYCx9nK4ozd0wuBuDz3uSLPy5xTawwSCpc37bxBzJNch9rK4AGV
dfTHboEU8qxbE51pQkCj1WlB50qk+TnKrPwuBsO8khMxQYNz4arU/TWJdbFRW3q4dUs79qkfnNt5
IshdNHFgHuKqEqsQWucaLqWi3GlEKscAaOtJowmXFxvfEScknOf1IovxzNOUztoge6400+a5zB51
oAznRBngLOGqgzgJqygFfh1hekqGYYxeba0uYezTzIqMlp5uI/8WuoAR/A73Wrep9k6IaF2q5gkt
+t6vCPBkCoW1cONsZ43RFx/h/LaNo0+1a0U77EzUs5o6GIvPc8tEHyZ6LkxVelpK9j4G7EruR9H5
E/QyAaC77FVObo7yKINVTznqVGW5dTJ1AfrOsdeTsL+5hPNnqBK0JUH1Vealbr5TiC/IUxpWz5vq
7+tCm9QKgt6mHx5LRA6rWGbGebmxljmnH4JtbAIHRbYwMXBsKTt01t7MpH52h1bfJXH8Jl1YOGv8
MxJTnO1507LdGkr97KCwClMGfRr/lWjACk4t5IH2sWM5FfCTVcDvtgnzZ+RHctbUTDkvc2mAug9T
E6i3WUln/dlu4cxGnYnMRzeVfJOm1RuMyWNtgcjAdB65WdInZ0tLk7Nut5QYdq4xiu2yFt1xvbb0
jAxP4cRn+889l92Xie2cYqt7JtGZbLspaY96n7lrY+JNjFhfPYez1MWZv8N2vumXieiiAvsSUfJu
LQkEzfgkw+GPiRIFPfSmefljFizFNEftsGEV+bps6OZDirjr/rLjsmk527J9WaRFgf6eRBcfH3Pb
cPvUZd1t0W0rfY2MHPnwXy9s2a/Um+w4dW967LQF7V5R8sul0/BICGC422XXj+u7feLt8qrlytOe
zJlPLcBbtgzcXJC81d1tv2Xut8v7bXHZ5bfLuH0FfRt9A+d6V+M5tguMVOW9C4DDLJOnBP8EZwip
mNZYdxhUUa4FCee9XuqfMDPEjbbWci8g84NszIg8PNPMOxf80YD19MXHPk1Xx29qrZSeROe7Qtnf
rXMzFcci1bQzyUe0ukB2GdWHUyuxPXtrbHWXkrPYaHXyTWOcu3Es1+UhRaRr0HWGrQGGWgH52FLV
1Tm2xO0t30VFatOEivn5MIzyaEQaeKa25A7WxM7oKL/nk4owKf0UEtfsyG4QjupYibKoHbgI+E4N
w0HTjZ2tIhA7TsGd9PP3TJ2ctz78UrbhtqxHASx2ldV9vVfq/iGH87dqKYjjXkWaWzp9vUny5HOo
8FrG047u5YpE0tDp3yAbfEu61DjMmQ6YZAB22zFG+th/bnznmpmqtVUMpH4wcmLxRpxmntIp3eDl
aW54ngMWLgQpVQfMXeVAf+1C98k3Vc0r4oknUeZQABhhTMPdYdwPJAe3Fuk3hE6u8ZXuDRrL1eGQ
8xN81IrEJIOODLRF27RzVTgEJf1yY82qHNkY2eDREwbKZNnRvqY16tehat5b1RRbCGZrwGU6rbuf
ZGwGT1mT7KB3WVtukrthwJqvMOJrjxhua9fjPV0gl34iocNP2TimezkaCSEYqLrWqh9Ut93UCXYx
Xa/kexpHh5MpMReJ7sErNTuaB46Fa1jn0ZnkGrQ1XbpwAi/te+xbznnop/K5daNjS/ryUPSxgYmG
33gkv8xtSNOQJ8rCujc6wqUiM/KV0cht35fmo4gDdKb4j/WFdTcog7jz8U6Ly0w/Qn3Cj8oPnVMV
DT80iBc7JpShp3Taj+3QbcidJWCLpNz5maZgZQsQFpyNcmBAAg4Dc72EkHijZmrrxQC9t6HRgw+d
pPJQTuGlo3vvYOUZWY7OmpG4pbYvpvgnht3JvWoUmGlwR5FpA10bDTvq1t3WVQB5I703N106fCXq
o+nJkpvEMbUD/IpDIqz2v0Xf/13RF4TLLyW6fyz61hEGA38t+i6H/FH0Far7N9WgVmeC+aKwOuso
/ij6CkFBWBhI+6m5Oi7k8VvR16bo66iWo4JfBUD+a9FX/E3XHEd1bXy3TFc4/1HN19J/q3OqLoGf
LsBlaND9IDb+JmXKKpue4cQazo7+X6/S/wuv0iY/YlE1ZHl5NCcf2xKrL4+3xTQNofXkShgfK8wI
irY95jIxVW+ZpXOfYtAyu0wUjCCOzlgZhHV5p3qyQMJUzHWS24SHA0WQAIECfPPZJRZ4PmPcrLTX
HaW5Y1hibG/3canil0r7HGUCS+T7ZfWyw22vodZezQFjVUmJcTtV1SMKcXjgOTHdMif+nMNXHPLk
b5sR+Pk4iOpxtlVG8ew7OLYmbclbY9lxWdb6JUi9bbqd/ZdzAiGYj2qrCvR9Rjv+fB23Ty8/Nv+5
cjnHxycts7c9lwOzckeWJz8mSjJHQo74mFOMVjvqZprp3jK7bF4mlUzfkX7QvjgfcZtkfy6alTLt
8yL+2OO2/rav2eDwWkBHUARuo7nDN98ENdOP+WX1bQKAsjh+bF9W/tPlX061zEYQCreAF55vhyxz
H+f5/RS/fO4/zMbudz0bisPvn/DLmVJrwt+jh9n4y9G/bP83F//LAb/M3i76l0P/6fZlz98v7fc9
IyvGRyfVtzber57mYFV8u72XuX+57uN38fvmKNXz/W8rlYIf0/LTmey0k4jS+YXdJmVT1OpGkbNZ
hlGPRMDYL9+Oue3422mXDZZ8CKPSxLSKW4GcSXFc5kTOo+S2+Ns6fOKpHlnzIf8wu+y6bFrmlsly
ouWUt0Vz8bVdlrPldMusObSc+d9/+rLjMlk+xjRwUOgGXEnn69Gwnug/LbM90Fp1EzdS7NTB3umk
C4+W6ZTHSboM+eMuxY54XrlMnBRjR+9j07LXsraNBhNDVAnmrqniYW20Soyv2XyUVHF4elpmsU/M
ivtfTqNZgboaS5HQhRaQNfw4lwIkNT7VsGW2Caq79ZSKO1epoTVb41csSj77sqTEQttpHsJdGevu
a5LislS344jBzfeJ5oKM2u0mUxoke2UO1NmJThR74dWOmNJS8uuyIzaL33TZA4ZuRwa+Ceh5vyYz
/8tVfvw3JoPi0xQhO+zmEjfDSSbzc35Z/JfrmqUe/udkOWI59uOI+QS/LbrklRAN/fXU/4vT6I7Z
7egx2i9nhrTHO2c59cfssnY5jbPU3f/9lcAVO+I0UOx+vRqwSmCopsdyeZOpsxe0m43ZcZlr5wu+
rft9n9vm2z63dbRKklC6Lf+z02p9zftzOfp2iv/sY5bT3j7ldpplnRsnn4GX5EeaRuvjOL+6tPlt
uswt65ZF3uBXeAjT9ra+D5uBd+F82Mfssile3qvLMb+dcVnMljfksvljz+UgOX/sMvex/bb8cc7Q
UNaTYqZriVMewFzlYhKO0O7wHo5Kdgplhq84LjOAyBEudcO4a8BrgI0VLnlJ8LZOokLp0ukSMyz6
LcPya9LjguRMLgmEtgR5FWIpivDW3dEqdW5ct9j3rYB0qPZekjjvuhGgSIuOSfNuKc5BJGUGdaIi
Eva1EEuTxynXqUWquBkqTfUtliBqekYYm0i/OFZAzqHyd005OqB16TNPo+pZtRWYgUXzKY3g4GUE
vpPo3E0hzUtAtxtSMOnR4dK4c+ddRD7ChAZpJiGpBTQFqTpbc+b9yoJ+21Tht8THcHcarL3ewJk1
/QFzj2SblWMDfSodtrlt4D5bXWkm+4nbh78i4lARcVhnQgSczgcXMHaSfJlSB49qKr7YpYzF2rHs
Y6qpb5mejJcsKs/q1KBxA/A5WfZTT4/Eway2LlAaryoqF8mYMm6MdkI2MESPFuzctRXgCfilzwsK
Wl0R8pdUCemLKAbCKMnpRF9IQusbMXxWm6cuKK+VYeL2tS8yNduU9vycM8OdrKHUlhNuAEmkgjB3
cIPsfOwRbQkp+IE83NLLcNS0WvP0tkDz4xTvQM2GlQPsiseir+M7qT9o+ne6I/VjhpkynnmkcJJw
esxa65xH1WfT9Md1R86nmx6CLDjGWnmKy/EnCKr8qFQ16HgomfwtynYr2gbZVjjJlZ+H0aGd2JpM
WJZMyXFoeahWWH9v8Zr2ss7FZQIFuUdp9FuMinKlNZpznvRs7VpVsDbdIjqgSMdUj2o2jPwyIh6v
jNpZw9/aCYQ+RmDaGx1fRZj35JJLTFT5b1lyOIyD8zkPtfi+70r50H1ynsC+9js7oifGbJQfCnql
ChJHGqqvhUvHMGiLVYrzAo6g+lXHVbzAC84sbTwMSxf3NHDfAqeIvgwBDOV17lGKwz6BBEyYp82h
iqmSR2Bj15VT2+sQlyIlinDC8oPNYGbVHjuyz0HS/YTIPAL1wucBg5Ye+idWa415b4pTCOgtcf1L
qbfWyQl8rMTSyBvL74oV+NvBTaEB0R9fFWrntZ04uk35M6+Mq9n5YovQZId3TY2zmSGjcucm1ypG
dWkiWfOsZnYLJkXt6VnprjM/wqyh4BUNHRy51mzB4gQ9Px4pHkvKIxCU4FMaftSt4uFzK8cHiyTR
pokkr0oNSd18xFSG4TpUJ9xommvuByWFznQfCQkZ2d5m/D6aJKNebUBrh+feMdpflU3qnIC4DWvf
yVaJSiOQqxnHqpjESYtpQOT/E2yMQHwbzdl+YDBSDDin8jrmFk0IuKbXqQuw29G9cUy7B/CU9PdE
Wc/bHmacKaLsioQPpwYMK71scl7k0PMOr1U0EJ3fbm09ELsKTzGto2mqitunWg+dvZTHTEakraa6
xA+xMAnIGEJXGMXdqc4RGpq5G/X0Og6Ef31iTJuiMF9IL+bbWk77fsB7cTTkCksiMSfzmk3ptFsZ
918MlPr0VGMyi4ZDYv1YF7h/rbIWWyFT8XedGYxbHBoQIXXli9JhL0fLmHH2q5k2O73rDEYs2jp4
npappzgYflg1J4j62twEJO4bo9oK5wT6GMeeGugmeKLJ5JFg4iBEq3f6VsAGglGGGIkrA0Hb3FWD
C3y9byuEnOj1JGCGlSrGT23bZ56JOW/JH3el9eEPZOY/8iK8i3q5t+Lxyc8Ro/hw1JwW+IdS2dtS
UK1oadZd4Y/3XIA5AMhd1LhCYAfZ6vpTrwtjLSP3AJaQSocyTtchRiKDUnnXo97EjSVNtm2G63ZZ
zI4jdrltfa3bFhlYewqKVTVefN36hEpNeMZsG5q5uLwX8vN6yrVHfPBe+fXFZLWpUw0udscpSy3Y
yGIwiEeTiNy4DE6xVqE4bTT8iTG/GjNwOfxMQQV8EQUyC/xbaL6tKN6TeHoafTdZ233oeFOLXClu
7RVUsXMSiGd6xRmiuP1ZNd/d1M93pRbu3RbvoMzHjUjU2ZPuQ9oip4uXcp5U5BABBbqt+QSwpu8d
7YRSDkvI08APjF8aBcI4mlaOa3s043WrJsN1YOo1pM6Oswmsh16iW45KfpODT6E0r1DDj+aVTqdL
NeIxUtnce0PSQXRvkkPSvmH+AeENtZvP465tk3cCBMQRyJzd1nW3hY8a3bTobzcSJGUtzKgNI+lD
rcZYjE3NNXGizRQbMYbR8P4BAVCwnIwTnGJMNcH1d4GtenQ1D54RxXe6xKm6dWnox8Crsw1Yxv6r
tKbCM0b3Fe9SSb0WfkrapV47+V/qzjz1GlD/IaFahZ/5j6yGGYk1VAQlOiD/TCSwCkrtKR/nfmkQ
9ZvUPmkW0Fuj8ilA4yu7bUN4Z7GIaMqztM+Vg2jPrTNMwxxW1YBi95OtlITwxedxTLKD7BkRdVa0
VUzrZeynLb4pL8jGEEBjwoSy2Kb0kA5It+S5coDdJWbznHcGBhg6HnO0/V1wmhnIP5vAbkTke40D
+kAOwUbPcR94VFsNb2BYEqCm22PBb8NO/IFCGynhtv/SdxHMHhoEsKu66rO9GQGeyQ2tHiuEiqTf
tSMNWhMFQCPZUQR59bM4PcpYueCG9dXA7C4UMjiqDkRgulZWhqbWYBCtS1Er6c6IwHRZ09mfv+lS
9JcitwmWSp58GH8I8FT4hdfOSnei76WIMKU1GCjgiAWhimQ3UnWsPlCH4bTXl7suzp8dEkQdz+Oj
FbjbsBHDHTYASBxNrdsYKGg6/HQ2QBWxp1WLp4aRQwXoZN227dXVq3oV9LqXtlp5b1raK6qXEziw
0YJob+mYYNpx2awBAEGte+oScWYn/mz6w2hC4pJZcI60/mtJlt9QKQXlKooWenWONVbkZ6GFj8aY
9tyj7XaIw++z+Q+inUkbf6aDgsOYrWCAFYhDM2tfdSOxV7GRdbPRIC1mP3VMOtFipQVkZePFcUOA
kWp48XtHoRCliFVFh8cqz2OXOgZM0CjJ/UPFEFqti3NZSnhNqgEhvfdS28G5TNEPXYjIoUNiwyd6
ssMIL6KJYm1UtA1W9rjFM1Df84zbZMKFrZLHyBv7bx2dPEYCjjpy+OJCut1j5NmMfLpTFVrW0a+s
U1Xu83SKDq6uroMGYeIgTq0rc8bzM41uxI82UTwXQdyO8AGrgHfAyvp9I+ZHZ5onVObHddb133KV
yjRQaL5xVEaB80zEVhLWATkudxNVcwKX7HE0cmetYJET6OqjNtCCqav5k9l13+l2RGhZqni/h5/S
GBmEM4baGTL2BtfDbg8SDlfSkUdzGIcnOqsuSX+caO1e0dLzCWS1u+JhaGH/WJ55DzLcshy+btrv
u9m5NWKgUBp0D9KOYuwAhnt4uiA8gBMNvea9b6d3xey3gU73otCLx8x1oh3+MT6VzGDfpXKCcTkL
W31prwAZyY3aa/exVV+ps8OzhNrVJXZ8V8b9xYy+1452qQfNetNzmMjRsUTVuRmTALOt+MeEi7XX
9rhuUisPN44puUepdCtQxbZOaqwYoikrjOdDLyxEt64GwY8PL18FD7xxfBDagEGSr12UknMUbY1W
1Kf5MFYsHe91f9OKlEzDEOPxrCanqO2CHTCLzRBMd34dqts8SN9w6gx2eS0T/CfMC5KP8qVFu6zB
5eTnxegAQNM6HUh3jK1EWhp+6aboWQ0Ka537w08Nsrnt9uIgpv6nFbwgHKYg3Ew/h2zUX80Qe55E
KeeB5ahvILlCWima7s5ax0Jz9wHoI6UJzmVLv6zbqcHOUe4yd/jqTk2CAfOwxa4EYdw422dHlQeJ
4xCQFd4DV/lignZdDa00V716sEJf7mwXS2sH8/AUeyk1+tZrSQ2uAi5S7kbIWqnEhWn7vcZweVsh
x3XAhEaULteCtkuvtN1vFjgRqvQIgd070252Rm3xxqTLt/FB8dbJa6H5+0E4L0bTY9pMkLzS7em5
9iv+qt2LCHB+Fj4qWVtNLr3anHlKR17Vkrqr402qFa80eH8Ji+GM/m01Ya/sTWCxyiSSl0JJm1WC
eGjf01+4q8E7Rop4qGfhsxqb/rWkceha+ScD3x0wlvOqYewP9Zgmdx/rhB0gGyqG7HA7KtD8kJI+
pKJyPtOyoZf6l1ba4Jbbfq2H8qmpnprUGK6DGHatjWXpYks5yKRfDVYccyHBi1LisbTyGcXGVWdv
+r4dMUo4mQa/KlIEl16MwUM7T6YUaC2uzHlWnOxgQE4/T0hHSi+eJCPRwv5jHdiFirIz3Fz1z3Wd
BGuvUdTfVY4CFNL077N50nEzlsiU+VFoPPKBL44ZLCg5T0jNlntnQpS1LDZtqF/j2o7uB6q1y6rb
+sYy3nAn14/LKkeptGtajhK3vabA3Obvp9QxsweIhKfvsssvG/SVg8vlxwcvq5H1IKCfivywfPCy
zg9xCXFbfU1wWq6XVcvGCNLUCYnm08eRWRldbFtZD0EYP5ArLBBVXiGkRg9DNf4co8o/DEK/U6c4
PY+jaVyXCaZSnQdu29ze1qVTn+/8BruUhJ5JZYXbKq3aQBoTMzGv0TxZdu6gAcrCT2akZuPlWDTx
R03xMZZm6SDimpfrQlbbGtGHVy7LYWlqjIzGK8aG99LlGdLD+ue30xlX102UezM6BfOCTnjzMSG0
+owngDxORsoZ00A2NMXpvBz+3A9TRKBoEnnaciIbYe4JIe01wx3wUhbT+uOOoqsNRVTYrtw0a+4h
6gQPEGiCBw3FNp3n42nZbZlYVTH7g+flfllc9hUOXaVmNWD1PB+1rNMmDVoRpIu0G+kEVwMXfZvu
XtGNyqOud+9gD93rsl6zs/7eGjBaiB0s95bd/G46lLYGBW4+kigQMqnQSdtw/xWwQfdK4FpX+lvt
a5mH1UaEDkipUdrXZYNo4+agYhBGmxH7LRuCRDUw2qowtE1g1GIRAwcZ6zp8oCZGbr15vu0bVjMF
I2nsXapVdDFONBXilBTOvBlnDSMk2ei2nweeDTl9i9V05zVVFT108wQwUgtYkr6CcBzVD3DGf1vH
/z+t4wSXQv13MoKngo7u//G+8JuJ/qom+OPQP+QEtvM3k1PZNHyrgsEo1fy/t5Drf9OJxKDo0Sru
QFr+RU1g/k1DjGPCK9EtA6klLdV/byHXUCc4KBBMk5biRZ7wH7SQ0yf+Vz4Hz3LbVE36PjippQv4
KH/tTu4isggEcgUefW1Adqy3z/x4nzMDXr09vtVD3zz23G1ePfb9OjSECV7s1MuMvB796bt7mliK
rUEO8WJXD76t+GtXYmpeKOKoF8G4NkIf9dN04alZ73uVnB2YWJphknhtQcFimI3RSBQ1GNxaZEkD
OgDS+MlNVPIvUDMnguM1Qw9lKyTA9NFqwYQk+q5lxLI2kUKikachDHeEYtUIRh2qTTRnMgqn5Sh1
tyUuyHYemCckqdgX0GWhCbERXOiKdv4C+waAg4UfUYRnwFursMv0OoCMVUabZELo588uVPgzXBpj
Ji+W6ZMtkAxnvW7tK4hlkdIX6wpTlZM69vQjY3yaRTgl07n24oYUffI0rs+KucMQkfrRqFlk6Ibm
s6KP46pBixnEsYt3W2Rc/DbGk5P75WgN+fc6oV0cPRePzQIZXDMzkhSqkcT+JlLmiHQ3toFTr4Sv
LRDBmCwi2ZEKcScdCxp31akrbHFMB/1r3TDAdJoqP4jggAGM+exWjTEnnw90yoGCzcLsHIz+vvO1
4CgMen/8TVaM0xfZN+dMf8H6EzWgUohN7A+Puhrne5nCW7cQ6t7ZPUEb5h2YEeC5HpkMEBsDmqqB
DNkNUDuEvoHXha2ezE45JRYdD2HSRpe4d8eN6pYvvcXDUe/wyZFRaJ5TXhWkdzZp1/tnv6kZFPqk
nvVw2Na5UT/IQrzljJ3Oam2/joVNI7mZdOvJV+3HIcEvq1dQXVY8063CGjy36+PNNFTkiPAAlpFv
vvoEA63m6wetDh6NKaLDHGK3U5XhBtXwVcXA9KRbFWlULcJJM7TkaYKiuhpb86HGHuuRL3StuNae
rOfwXNI852GMhqQ4Jc2b9rG1luVAQ1tCX4KSBPo2qL8L/rsEjpZ9NRIixEL/TCK8/EKSLT6nfp8/
KH2YrQy1ISup9dZbGJn7IZ7MfV6Smyrs9N62MLtKRlotEXjgilxNd2DZlWvTP1MCLU/hmD06ubaJ
uvbJcDXe1FQbnTAIT6Wwzm7j63T9D+a+snX7wcerq9Sy4CBywiCjqs/RSIJfbzGQDSU2LRhGbVp0
TViJYUpgm11zahX5UBV9spdugnn891gp5NGO1IYbKHuy6A7X0mh6KAKfrlkHjp+tqvxdSXcs/FNA
3cioZ8CpiPRVXA0RIZ42rpUSGo4icBPT/JNQ3u3Jfa6iuron4MziysQ4+hAOnYNlg3NW3AYQoWgI
DyGOUwNKXtTM8BTTdc9Tmt+rczHd0bv7URvT+3wXMBqzToU1xqdRJ1CPApWBQ6xR03dc8opNv3ND
uivNojj6Y4ktF6XsTTNq9f1AOQSpMMbFefhca695jdkJ5kLrXBXRJQhs4cUuJRWh2FfCtGceQfZ1
GLqfYYOjsD1LGaMiox80mygNkcvN6IUnKupIsMIl2MUV9QAHsreHD+BlBJJ0Lsg/7lJHGcDFkY3s
2k65M5wOf+9qwK7HCtcOcDRvoCl+g5WfTqbGjfh+tHdhG4ZHEsfdqWH3vbES2pvgZENwS/YxmeAV
Di0/7A5N6kiVeg2GAwBO7GTXNYUg5zTUyktK6LmN9KT1MgxJodXTPVhMcNzDQLlKyrkbCYR6E+rO
T8P1X0mBU1wRMAsjxTJ2xdsEoPkyOQGGP5Xvc93jPV+tF0ZT9ljlP+BLdy91R8g74hBEhLxXjZhE
DQl+AeRyJC3Y4lF9qIVGr6ZPJyZp83Hd9/RmDrwEQgcipT398Ms8wmaIKmNNk/q2baq32BSJR27b
Wqvs4+b5J6BX+N9hdkvlZ3zJGYqup5FcXWP651A0FPPV/Jt0qmNXCDwkYdhnAkqllrQHsjD9xp7w
fC3SdKMLesayVOwEYkFyeriC4/0xOyfPBmPTVpsifpSUg8qJHudCJ8CKZIIrr67hQZ2O+9END5WT
2FAalfHqCMbOgzyMNcbAnU31CvOedqPXZr0ZgyHjMU/JSBoZpUjlzYiClwk7uQ0KYP0w4bZUTsNX
c8xGz9KdcedaTYZVSPVZC+RX6IhEafXBGo3+sZmwoU3MBwdS3jWIhFi7LXlcfH/I7hGYeo0RPSAq
5xE3zeWIDAPyDpxenhh3uj8Sgue2uxVJUHoQiaA/JO4xFS0xt0H9DXwo1iDqndOb8r61YzLlZa7u
nTz+KqUZrAcBNU0aG4Un3a5QnRmsPB3BIuSXbIZVttmc6M4xpMwsTTvaEBt5ZccmIczUHi18IX3b
mOjEJmkh9fqNvEm411qyuiKn7yEe8i8EO97YuvFBIq5bYSJjgg0duUu4wdL/x96Z7UaOZcn2i5gg
Dw+nx0vSZ7lcctf8QkghifM88+t7MasKXX2BO/R7vyQSgQjJJXeS+2wzW1YLbrBWC2u0ejBBdDxP
ubLPp3qzROGybxf5PcOJOi8J6XpqErj5dL9zbmtPRbtXy/xNs0ZqyYbwtayXP4WOGLd0fGZg/hN6
NNoL+ZuM7V0S75xAUY5a37zbZlrv6ywcQSyPgx8YSeJZrWXuHGvJb5roDinxevp3p2pbk0V6CPgB
9MbWHh2T5Rb7wrcZmv3UQq0VUMkpb1O3spiCo2GG3Ws6yJsdT49toUVvg9C8wqiFWyW9wcJVeea2
hKIbda+WBnZVAs4305Qmh7hvNg4TjBd2pbpnjQZfpeuzm4QR5NtZ0/m1yj1PrXWAKVEb0Ps3f4i5
6+61uKBnNbkzQyE/BzW0/ZFWzVNnavd2HauniFZExKnO+jQi+y2ogs9IRUBVwSuw/q5YX4WZdRc1
i3warOZ1kChGHeHNrW3X4dUwnbVJJ8r3RJrgP8SY5ytrSo+9MV1lPgxnfaBQSixKtTdD6J9B9AME
BhGWVs1bGmT9brA1WAO9blySkd+HIUtz6zRoKnodUSQH2bUME26NNCCI+SciT2RFVkU/QYQoj2y+
1FW4GyMWxGkMraWZV1UaRoYF5+zOLK6okCMVMdXRwVLx5KDbEi/Qhz9TaXqAYa6x/Tf+Rm0P1Rxs
srK88avCMNnG1aHv9H5rBpgpdNioJ7tOPsGPmF6C3sCbYvhlA5zXmOLoyUwe1jlryJetyAJzZ0UF
DOK8fubZuzUbSDhWHfesvI1rX7UPAng/XbkfdiB15t3FuS1Wq2+icinOMeMq9+qV17rQrhgHP4KH
vye7UvGrQl98Zf3gpI2Np5E6B9aSObJhof8m7Qj6pJMmBc/qg42ivLSvkjTtt94774GAJKhGAYH4
ueIBR/8u8VVSBtHsmWH5MtlJ6xfoLp6qGPGmzZPSpw01eg8ewE+cA2ucfsKqPEUyWt7nVr9BVvnC
i1FeC52wrezP3I+4g+Bn3mWyvjNHO75ofCxX/0lHVdYbu2ubghymUgpyWalQHvBDS22N8hKbMFIl
AR3K5FXlVw/6iIBF0fuJinSlmNMINhsFDOKr3M6KHN1MIGwUSxA/mNLPw1h5sXt5ZI6L/NGu1EsZ
KNFBG9NvsBqp347avC+D6bUuW6CLiAQOtrX3dGjOQc3LTyyLLkHi5lMsXwLbBtBDDfyYs0pj7ul8
q1f7I/XtBZiA8pu2F1Leoj8VLTqdWsW5K0T88reXiqMHhJxyyH1j/Td//8NRNj0gPsq1y5y/y4R+
q8hS+jDQHZczVpItp1aNXgqWbR5SzzeNr/0GdjjlyzXxCFbNL6YKv5jBYzj29Ib94z/cnw+RWj1S
36nSWL0kR0wXtsUnTiQIQ9ow7BjAzpPoQ9qtke/JYIzHv/8zrqUD8TC+a5Qi0jKshYggBpQnR9Kw
2myAVY3HNDQdMNIi95ZwGYnVhwugkK4m0huRuQ3GpPDTqtLdukpetRnufd/V90prxTsNMrgXpaGk
cxqX89j2p9Dq6RWNZMuJszYRFvr5KOxsPo7MlhtcrevYbH519aRs8j6xPCcDBE0xwlM9zYnfouwB
Rgu3IctwN58t6rLn6LE2LLpq1ngy48lSW1cS5BtrbT0lK9d9R4MTcn5ILrnRU+4MwNMLtPZUTllI
1Jcg14RKUcTqLu1MekKQIIjXAzcs0mS/GHZysS21cJMo2YR5gjPGtpzzsGQvJTW+7pTK+ArIeKfR
Ajj0dFG1UZpctdzaVUb946Cv35QkKN0xUdJNVphE68EYUFk6vCvUrVITV6jbNLTfCoFsSeZH7hzD
7UcuyTZp6W8uIqpS9e62JI4DEtN+T4BSzM0Q7dUie+sz610m5q6rWPaP0VdEZw/YK/mqNOeIrqG6
Q+kKao2gf8JDawiWS9/N713qbBe1ddVx7TyjiBGaQ3C01zsbjg64IMOBg8kpLZKjzO6zmEA6C+M6
E7401HlHk9iuiSClFpMzYjMUu3a2g2PAM8vNF4NxlzOg26SJSc9eBRnbVLYk+S/SnCxacu+GfJRH
va8/h2Tp8W8YV6Vlj+cgLm2MIGe7Hr2ko/1pTvoD1+5D0aevgV6ZR6fLkRxUOKsrsbq5/P2FStRx
kHXpvqa7TdJXv+biyEGrlIhYy6sIc3EKSq7jqLE5Fg50W49lBbJq/fj1aT5yCmJ9AJfnFDiOOASN
ylWaz5TE6Ht4DuaxwXyzowzvMqAmdrRpHEjcU3mdkx8PBT9TOyCfUE8w+LFjtwDL+xs3Hlq3dGac
nCEyD9AySKWtJXEjqbARNjQciFOIEXq+VFNCIXGrU8BRh+GpoZznoHTfSs+ht3EsjAV9r3AIbO7t
aba3gFMmf86nzv3758dt3XPqoYCyt42j1GvjmDC8HZ2o13cGX6+qpO1hlaKuW6Phd17vaU4/0i6T
v2dmdxF93Hn9OM5+qTBHMcs8aXWZ7wvHGgG/4K6lw/UP01DDXB9CZcINowrjeZzWCopBuRaBl2j9
VbO1dJN2I3ZTyC6Lnd2rC2iKcEHiC9T2RTVnrIBmdKY2/Tu38fzZQyG3irojIisZ2ZFQxwyckiXT
6pj2004OlemqavAMFSciIzH/jMV7i8Z4E+LHXJyXHN4J9hnbHYc1o9GDvdBnW+yy6AL9eHaFaY3+
pJSHHjE2iCbtlFjdl1aTJY4YmRZh7eB6PCSh9tFrfkte7SB79b1jB3gs7c415sVyu75P9uVI6rsl
IJnoSKLap8NGwjXqbte1M06clLNNM9eTF4qfSqmd831PD8OHYFNm093c5z3aW+2GNk09LXVN1NEM
QC+6bWnMqhshv/ohfpw+1cdLN1FTGgM43hqBvZviPLkTjPpe19AdoWY9d+22wkO+MeiPlnNgu7Oh
fVNVGrFCW88AbEb4XJqnQAktTGlUtpW6Vl9G/lZilM9q1SWbxcRKlhsIh/TGe2M6wKjQHGujwAW/
WC04RUBfKdE40fsB3FiiLiXhi5iEObVgtP3kKWasaVMt2QPl6IduKn8A5ZGZiMJ9bA22p2TTpXqO
rG434qzJo+bFUXBTkKp5aB0Ag238ISKlxMmLFzJf0h0t288RwAxZsgpZxD3X9ZYKlCPW4p+q4+Mg
9PokgxqAXjOeI2WYuK5SfxKzv5AKdGVVfKpN6GFDuNXqSskChZQGxFOFVKllk/3nXEz7Qecp51DM
LHiW0IenuBbMYaVbzpZl8FwomVl0zBScP2L5bWMvYG/oRMltAki8SXWdN6gBQZm+j+a6Ij7IhndO
q6utpAzcCIzHKOQHbobsEwryeZiADBTI4oQq/TRSDlYHBV8tvu2mPtAkQ8y7M6gibUEyUSkomZTd
XCXCvtLSZRdUdFxnJzVRHircrGx7LmGTPMVDdbOjCnAKxNCE+Ybh6Mo10oXVYxEPP6bIE8ZK8zUc
pvsSEg21rl6TVFcWTDAjlK8YSxUZDLmt0gRPCU4MyW0+7CjgUzetVudbbmqKq0sdYdJsYUdyxx1k
xNRKGL75s4zyJwH/n0tEK+opE3t8aQNz7xTTnzhIa19r5rMS61/KVN+WMfeGJP4eVO1qLaOvOsNh
SYv3gT5rZGf2R/TA+H2ffU4KBgNnnL41ItuB6Lh8eB84qNxLwdqUY8LBAahBMkp71k3jQGs1unPJ
9ZRj+uney9p4GjkFYMLdZtzMszLdt4OEAKSTU1d2eY450yrZuhr7yC0VnTc04sNdEVJVVP3bjhzk
J7iKnRVjI+iyF4NOYTcJ2isNvTt1oF+yQ3YEgdP6s119sQZ+iA4y/8Z0gTjdnPUGA6WqpsTdR2hG
mZzPQMa+OiFPgTEfyhHdMpmKl8kAIdZpDsoyc1lHx/hcZj+zPBRKwCc8W083Nt0eckeBwncTjO9y
QJjC8YTDorA3ZlVc6qU6KfpDJlfc3kvBz16muG/4TIU2Po8Y5j2tFcvIG0u7iGsEWxkCKeh09rhi
gKXZxvrGXNu/J7RAt25wlzU9s3VkKDfss2TZEvmS6s/4vY84IQ6oeIu7sIOGDaCxDMUELFOOUanz
3CiS4jN7eY/sfOBb6ctBT1QvSdm2wA76bQv9vjMszDlstXu73wiKmpC4C/Vclz8zezCzqPCGR/qu
6G1lTwdaDakBDpYbseOg4Tmd8R2t70h/bZ0p8zJ7CA7ocecgbSNO5RhkiYpv8N1e8iFgMGWZU9S4
gmP8564GTB6e3LhrBhXaWTQ03hJMXwiLHwWV9k0cnawozj1O4Zmn5YjkMxgYlqenDGki2ssKs+BA
lySo1ND/25yuNKylZMVVp/TCEyr2hMXhiWe3nDEbjN1Izz2rqqCc76gf3IiMIpA4r9nJwrtsrUoe
JC2D7kQ3XVhRW6EUyacZwf+f1Dql5DjG8UlHozGlqmdbBoVSsUEIGwDRhPNMUM9Bwz0LfuuYxzYz
UB+7/WA8hxq/5fHeNLTPgkq3YNCf7QiFoGlXsIuanGii07zFMsZDUobFNqOog9t1s9VgpkCuF8wY
pJ5J3pCxZtIqhgRGnIivSwLfT3Fkd0Arxj0RD5zUQ2UTQRODi1ftm6Hp743L0v9RKxCS40KxUc39
WRqRthXKXPrjMDzNQnVcOj2XSq/5NbCSUC0n2kQJpWWFswo7o5tmJeicKp12PBflXky9Qo4obX0o
vZWnB8XLzBauCcOnyqF3kEaM17Rr2D6N8jJw06KAWuxiEwG4lk9aRFJc2FF8Nhvcc3GY6dh7jGvV
Js1hXkMB2Hu+mih86syAw1Abct8J2auW2HTVtr3ZkJe4GziWb/kZxEAOk3jbEXKxPwg3qXhCUH+1
4Abm6rQdStFaqTKL6BEqdNFuDY1pjWI7PimBekcBxbAJO7HH98eMYtu/WM3WyH+6Nxfo8kNt7iNM
0Zs4eaW5vKKrgzxfw8ewK0KS53FLqL3bUCvkxY76woDbeFZlpUfBToQJJPvTlxjgSvEcplZ9SB0O
YXCF9YsaLh+tAftSyXTQ/FGzzbP6OQ+sdqsbAV7rGQMkPdG+kgefVQ8HcsRrB2TdGdhKZTuR8WWJ
iUi/Hl7Y9vf+2P8k7Qw9Kv8ecay0MA3cRTHfpVlcljDcmMQqa1hSbjIsbwVWIawXxW2yeFHqo22V
3HnY6jcG9RXyQ1jjzS5YYTgapoCKipYyhB+vFHgeOFWsaDXCGybEj5FfdUhwq5lV6K3Y5qgy3GNG
2mtWz4WvKBCGZjzqmDSbW8BKJ564cVsJBzhVdMecTmYlsG6tHlwYC1j9L86GNSaxIqprUeg9pxUj
Z80EMSxloYAOcZ1pifEdi116q2afEX85pTY2n78BCJ0tde08qZD9YBJeRbyBVczwLXdAwqhCbj6a
seMTm70DytvhyLuLaSdn/+tVSjWzDLPgUOjDQ7qeDXRMHHN27vJXc0I5jFKTmUutfxYcj06Uc0ph
3QWWRu0fxTS+oi5ucroXGmEdFaf/XfiVDIYEp5c1vlrxVcZwn/PZi/VPPWg3Is2/yelOofNYziaA
CVF5ljPeCdAXsgm6TT6Yj43hd0ubek4INtQMz3XcfrRWusHO/sKUJyFv2vf9ZJ0VM/HDhlMrDvLs
aei7t8oIjuvXgpNJNkCemFgxgr/VK91/XCWn6ajxbI3luAviAl/JpbaKN0fgC1fNq9O3fhfszGV4
E8K64510xswXc7EzEgCKhsWcwt1H38yFthPcIqFu97hXjU3GTarp1vOJSj92uXDUqeazTsDIjXPt
BrniKW6Lt4lFR6cn/mQNd7lZnfSxfM7kE781n6t07Wzd9OghzeRcjLG/rO9Xv9aT5smFb3mvroYo
8zHo2g8YQh2deQOW/J6z9jS6eYkRWwn2wTju9RW2ITIIx03Ok1GyW6/0pmZNXz+aWf9KToRfd8sT
QFyFabtKB0zCXB5MCnEbvdwiZ78nht66ZVI/ts4jvM/7GhAcBK+tGWVwlpkpx9p4iXuxNQ31GADm
rptex7OmPE1QNfjNPSYJmyrFchBroibZ4Yx/oXHjG1XRw7MDOL0LH/SeHh67MNmFD5A1mpPM0A1a
BVZtGki3GuSlFjCS+ui7zNbuiLoCIRu/sHsGoqc1cPxEB55QFRfzPsB/qrQwUwbhA7XbOEOyVx2M
jCN0DU7JgBHpG2QP9RCa06bjM6Jo8zmWFExDQcWX9CQSBm9F3y7dvEvbah8ECoQjmIm4nOyqOAbV
hKqkESEJ8FAb/S1gCdwpnGmdYjdJEhLcFO9ESdVFXNzWDz7xUyqO2XrwTCuH+xFn+qDXfqNbb1ka
nRrFgaRobNrOfkZofyPNQZpoOnHC5nZVq6/aaANRnH+BfZGly9vHmUve1eBDuuUwKt6oFSdGj7sa
OBum7F3eYumVwZNg+1Axv5S5uJ9i6iOS6hP5+r2d7L2WdGjjIt9Z459CFn6B7CmVxW8YXBTuqHan
fEHk/6Ze43kW9nO7JjVYRnwXnfk0pyasGXEwu/oFHfNjYVbsgw/VCB7l0v6mdfRcFCkO9vQRzfkw
5ouXQve18Vc4eNXVgQLf+smMeh+Rahs72ZdQ0YFN/VaERAGM/g9rmP1CoK1PPxtFvTZZ+55z1WMM
voND/iaq8X3sFHqlad4YUmuf5vnDggSrl2jfIdDeOuUBhL3fzp1jZCU+z5gDqb9noWsPJe8JLQjf
vFa3BisZUcdS5s8qSprJ87PW8odkekJf+glmmwYScd9mKYViiHFWss8izOELVnsTz4lSnBddnhq9
+omxJzfpcDKU/k3nojJNFKhZowQazTRVH7M2fi9yccyAJaFeC5aQbM319tVQjDuDSJTKshEbo0u0
+z6ynL0+IKao3XjRlwpwZXMkknev5BrrZ56XdnhsA9rHtPGJ5dKt4ZniLigipZYBYAXRjYlN4e5J
WZU721yeuXjoK85P18IY8ZF5IfFbz+y7k1mup6+GkMNRXawLRTtQagzML6DXI2/9sAR0FgXhA8S5
bVTZkxuzv+I+o7AqaZsM4ARLqwICYU4J2hxU27JZHccXOWQEU4onTdqbQcdAXxqgA8t606nVJSMk
2Vs3PRkPxqxjTmDDH4o3g9TmjnKtJ82ab5a5bmOovSFNdCG/eaaQ8MFRKPubon1It1GUL0SVsL8s
1NURBM37+EqBiRMB5NQt63W2PwJnJqwy/SmVCiVFE/ddm14Dz16m51GrP8d+OzTt3di2b5Gc361e
2+Sp8xLRgE26zs1k2/2ZRXyWbMGRRXaVWqJiCsYpvSF01Ql40+E+tawcaQxlA18MtSr0n7GLyxGj
0/KM13EXpMxI3DE2Jphuegxy15pMC8M29MNeK7Y1Y5ZHFammzCHUY+0ZdevsFMLFHXDkjLOPZfYC
X5uyY6JEo7OcVNYPEMb2hdbw8WPxhAWUmRfveHgKKD1wqGCCU2XW9LlkzS4k2rDEr+3Y3EzA1Q5j
BOoA63IoIRWI4aTaKiAPWS86G1OTv+v3TWfzUdWdU1RH54gyALcRWHXWb5hL7WblRuzjqr+bwv7q
RMWRY8c+iOJnkYttN5Qvltdoy9nQotANJsk5JBp2mWGflAj9ef1LU16/9jiA+cT/CGr3XCs3iXBV
NFZurYjQmE9hz83GUiL7xU9z50u0AU0KunFVl4UnOe2KHODcoEzYDK+MPWik+tLvEqPdVkq7a2Pb
MyVLEQUYIqp8BexPsGBuU+U8aiAXyVD7xFH3jTVcnMBkTSgPAQisWbHOc6gfKMjZJYt+kG9DzxJ7
fhoWeKWEZGy7v8j4PVxXmWP5k4z2F9tWcE5ooMSEzND6qp1nJJp9GGQ/gbTPAZRGmL71wVbbT7qJ
rsRrNmMfHeyCDU6vA4hAylHaDP45t8gqT3es8Lx+tj4K1DTfQCHPsvKopSO/yrSXK11d86wCj7CF
rOolXY51AdsAChR5PZ0NADbo9/WWGbbTm5nXhYf6Y3pKezHtTvecRK2Pabl3BLdHXBNnY472HfPE
kW66vz2N/2P//H/YP+F+0tLyf24O8n+yz/Gz+fn36qB//Jt/2T4pAZIOqXiTEUr/Byrqn75Py/jL
slkN2qajIUutjtB/NQc5f9k6f0CZjjQslYfNf9o+6RuSFIqqfD1h60LV/zsUKWnRQfRfO2lUw9Qo
ClAxOa0kq//N9ZkmQ5QgHtf7ISX3AQX8uGhDvaUh5TgaUXCMc6PdhDjjXJ0sC6AVZTA3Y1wXew0x
wwdCBdQaSIdraHnorRrRnEjDJdSCz4bD48mA+OFuVQuscNV24Wkooo1qM2RVKRMeB+SOStnGY466
69tS2Srhh20S7eqMzvRa0+xPMUYiHtSd6mt19Emrn73DTgE0ec4PMWJzbEoDM6FfRKoEzm6HGwz7
P+ka/5StgYuaH9HDkL4ZivZNTrDhK34sTWdTlX1IhTh4wC1mmtb8/UykiDjXy6yrIWaeAAByo2zK
oeDkAsV7Q7gGBmLA0bzAjZYbxg3p9aSGOASU3ug8eqWXkzkzrlIRWVkxOEbNoEvCBgaXTwfWpMve
UrGSyTZ9EGH4YQYZRwuq+NzUvguSvCFIDD1ZnZ96xGYmb9ZqXYSFSScZ4ElUZm8ivOMuofq+KnB2
UTreIozbOIpqA5MvvWGwfGdp1WSsEs3qMHZttGmk9rMU1gjHrrpHaCLryL0Jx0/rixwBARvjR19u
SL8L8lUNTNZcm7CedWAcRgAEXbXN85z7YrflM/SbjrCy9cpAsyACXYUIuKbGe7/lcPySixCqxNRS
ds2jjBiaxy7k21CQsYogpwMjEo/NIB6xarIWdlLk9j5i6CYftb1EKbGqdGTFG6a/RAz9zDouLNwo
s4H9SyzLZWH8FAAHYHQx2f4088mo4mXrJLQjlIaBpkK7eWrCpDASSMJ8I5P6DZdG6DOjC84tIR4L
ynhm3boLhp6qP44T0VTchrgjqheAiWg6LEVjRbd1Cg1iDknNrakEmwDonN8Z6ldT5Q9VnR4neCwk
s4hcJAlvSjqHH44ZsFQ2KUsG4ZUeMl1/TOf0ozYGJiEWCQiGG8suspcUyPhEgqWbONcRhaf3o/Fz
S9n36jx4lKR6VXAJ+xrqOrZpKzFRfvnJh752TYPjEsUXLsZRbZsPsGcVVrkMBNAr52yvh0q1yal1
aPqSxPDaNZFzjXMSm9ChRkkNgbXvq8bxHGWcDgDffVA6kadNerHTC1LGFo5Et1LnQ5yET6bGyFh0
iBSRmv8m9tXpolMLqmNDO8wlkMoRZzQgSPih59m+9U07Xswmv0OF2FlLdTOVubsqrFcd8IlMH9GL
Xq3uw/hXE36Q58UBGvM+sBfbtY2uvrSms09m+rr1dpNNGjzy1H7qo7OVARHI0sArpybedVlF2ZBT
lR5GkzszSGG16yn4jVwteP00N5u0IrQpt5q0GeJD9dWAfn4w7vUs6o6OTiyWm862Wu9tSryQRwpC
nqPa6zyCpwnV4ZrHPJrxF6z1LIAxOEW53ZE1tEeJF2ACVlO+VEZC1Wb9WM/ZdKcvEyvWzmFn3s0h
/sii2dCtyxKHLamrsadZhuxqQ/Lc57HqkUlttwGKnWv13bKVkXpxhgWjucO5HCBJEEe3MqqXDdXQ
NyJGtcuI8Is5U9t1C2vXOdL+WPFRoTn0ON6CNtkP9NqoTL2a4oaO9mDVGibIeQTc+Sj05NStQX12
iizciT3agfqHQG7s58J4WURxi0P2vyTUQKL0gXkyZWGdkokEIFku2htzjBMVdanZVPanSiz5duQF
gKJoTqwQmpMYkxQdYfke0okM/7zV5+klIdzAvYFl12DYOz3suv3cx4/W1GJa1GheKAOb54bVmCec
6uGh6qk6yF+a9cYvtKk/wRXA6JMVeC9VtdsvZXyScYZ7KUgcj09Lemdk7NtDNhvs83c0eWOwt9HZ
B5v7KDCaxXdK6rSKgHqVXG9/BeKkWwWLwhabDH2ctQa1WOJBKQzjRGtKhWu9IMeb1VBwMkh8Kdt2
DEScHItxue8SiHpQGM76NKsnW8uxGy45Ka8pYrHhkOAt9FenX5IdjX20Swzkb2mFO5eJyn6GMgkg
G3C4Y0xW/3gVzfpS/n499fLLSZfjwvoneTdObCObf7zKIkqnU9p3+F1Xi0QF226ujfyf/1vH5sHu
XgCeLMfQ1J9KVRc+ZNn9rJli20jxyH61IABAGUeqH02MYvCF+L9CaPpRKmiyXWJgAFqG39yoqToH
COiK5G3I+NPAxI5FbwludJro1Fk+hIUkZOYsZ86A4hjqBXGCLPT63pp2o7Kc60nV/2cA/f+kmBr/
1wH0fzXpZ9F+tv8+gHKS49/8cwC1nb+Yfxj8BIbc/9pd6ci/TM3EVcolbRg2xqz/nEDNvwwVxKmt
MbviZlwbL/8VPNL/UpkYDcZFAihrYOm/M4EKTfDa/n0E1fDzazCeYalqhiENk1fx77WINTldWYle
HoyMEI8OU5unUUuzuvGS0Rx96EUMA8eU4NW2Fn5WZu2D6TTv1lSrmx7L3D4kdGmb+Tu2gMg3F5vt
7fqk14i2Oho9JPkYY47up43QYxOHW+bb4ZnHLKqzyAc/CcCZDL31Gs4JdyWFS1S2fhWiWXbIvjMu
oDOm82TaKjl9cpk2G1sh9HSDBo50qX3RgRgkRIJVlHMvyvEKYIU2YMrpeDRK6zclInRrKeAahfQF
O8oLT6J91nZkz3uetpUzw6ibVGNHRtXlbcHVzZiFAzVC/VlVaBW8Q/5xaKroGX4AeJ/anv2+Rike
Fnmf2+XykMSJ5lPpo/rtY2SO3Z1iJ/gI1xBUiUtwX2bHea08jMskflgMAhCjU3mlSKaLUV7A1a7o
/T7ZOGquQQEwHVfmAX6UvvwpDOsnsHBl1k355lCA7eZjUZxGwjAYhYiwFzzMsiFw77WhHQ9lDxcg
oPWqIdzNI98Uib6zkvllzMUtJ8LuEzN6dZY62Uzd6sbMlYK3ldjvMv4GuD66JnjIEkIftZoCaRqw
WOBXMD04Yvu0j+UJnj1znupcLEdSs0TMf+wFqoXUXoOS2piuUNnWpME2COMtz5J6GxD9z2uFgJoz
qDtEdPYa9hYH8i5x7ONQUu7AFmUtR4XwrzcTCbjUBvJQ4DOkanAGG+Y8VUZhIHI3zW51TUPmxuE3
Fh+lml7LtjlYbfXR2DxD69wBm67AwWo7yquwO8SrZ/9ehPUROJz0TBbw/qIWH7Wyd7AfP7fJjlJI
X4TFn6TGTBVN19X1QQB03xd0JbJO/ohA7HuZqXljLmHYqBoR6PAwm5W270z7TQXKvs2agWewo30r
dfyMPz9wqqcms6HCZuT0iDB8yil5lzaheLPn3a2N8tMaCJiEIwaKwFZgmCmKhdwjznkJcQzYY4B5
BJMmQ65IkXusDvgLnNp3XKs/i6B7i1U5ebdKbkesJx3cpCyr/GTpBjeZlYSXG34OIjRQ2B+UBKuH
k89viS72Ijd3s+h8RAjUqzZ0riRy97ryg2dYvbaT8WdAKdql5JKSov1GI8YAk80Rv1DxyPx5y6JB
37yUiV1tC16129v4I9Vs9KbefGhSHZ+ep7UOCS2L3UmdJqcBAwA5q7LEzPUn1dCzpbS5f9CnWQv9
QyZGshmCUXqlQ11ohSyqscxvDLoEifrT+HPFtjWs6pK5A8jyEmFBKEwJPIgLOhLZS6XKdxj2XtR0
pzBmBVvRIaciBGM4Uq/lmJ612L7iorpg62ZrLO6DxkLnoULaK9al3jRgD8vGZidS3Vds5TBkkNgU
B6oVWaAaJ9kkaxzRreaKBYolI/kfMeB+nNmgcxq3N3MWP4VKNPihGM+hg0MwLxi089qZgLqmPYyc
8ZeOPU6XGXC2Xo3oZ9joSpMcbUV+tFkU3bNNPgTvNa7pCEMWHbBJDwAupi5lQgnXOuMXBJCNPDUF
p/BqVwHhvqBWbpIMh7C+swLmSp4kchPnGZcOm60ylBz8Q2wJqzsU0hFMxKbbTE74lto6bZCSlXQi
iS+UQ2N4JK7fx2K+ThP2Ky7K8VAxQidjoJ8TWyn4aZrW1/mA6sN0DkVH/ScBKI/eEup1YWowGa1o
zgFbDsABjF7x9DFSi+irgME4Vn/J+EzU5hscCpkIeDKLVRGua7N8i8LPgF0AbluyLTbiC+Vj2XZO
k4K1YMsZLUiUvb3Wq7aqc0iK5hhxqcBPQjpsCLLedQt+eO4++3SV+rPvcrJSLxxLkhD2g1jdR0v2
H+ydyZKjStdln4gyeoephHop+i5zgmVzk751HAeevhbK7/9v1aCsrOY1wSIyIiMUApzj5+y9tmky
GMZZ25ViBC027gzCpy9KJy/2qtKnwTmSooKS3ovG1rjNJo1OJ8vwHEGdSLDxnUWFsHL2ZXmYPK4M
8lqqWN7SgGyWxUzb1dSR7ScnNw7DPDNOJhzWalNja6VNti11muyHrvqIPfTD5DNsh1RmOyfWkNFG
38eWS0u2yfgNaV/uafYaPyb6BkdwSDxiwRvuGAw8jlP7LctEsOacPEzACtHYT1+kJpinSX0ZA6I0
8luaqFkLajL2tjDfgi0eLR//yyPiC/fCYsCiTEoQMm+N+q0n/tZnxcO30yNUyeeexk0/YeZ0vI+g
ST46nySUbuwNZmxVEln4FpBXNah05oA9snog/tU56LLAfeQb5cZOih+k577nTU+iSHCURMBFyoE8
gLlmdPSxJoXiaAe8PwMkGK4ZcBNq2rhT91gj1N55ISWu7OBYkbaHjDIBAnWOA+fY1xyKNiOKS9NV
tsIP/KvvKHgB/+GF83HguQ5IiXa8YqzmpaqEM7t4YIMcryd/jI4AtpTD6MX8VlhOPIHGne4+OtIh
Ij8O46hd+MZ2YVA2FpWFoO1cF/NrUTMpRdC4MVhIaBxlxjFb4ZjG0N98FFvskefnufK/Q8hcuCb1
acms8OLhSZqIH9v0EN3inhu5ASxmtWyt49y/4s4brtIjadkkNryOs4g+3w8i06rcvtR3cXbr/gkd
LD3WvIeIK9/Trj+3dBfMkgi/SYdNpJidRspIH222ujfrIuuEm8+bnFu8OEcrU+xUqJqChjc0UyEp
kfE/4fBZ5R4Bgx7dCpMRf0pzO57KCiaojneGmJ+8RzVz4RVW9903C5Bdmgc0pCaGS7WO8r5FlEbW
cKGK7GBzwekYv9MUuj97bsSoNNUXVmBJb6Q9EB6CK/eLLtz3uXGrq0lsB5szRs4V23ECKJILzNLv
Vo4gs7OJXuPR+JYbRrhlmrWiy+J1BGCG55w3UMQuFsFExpFTya+FbORD6rY3YU2Q0JI38A7p3qz+
sbtC8jD0iFuVzCfKHy7kski2PEnJaTZZj1isZMYOXpjLKXDDZ9sOJ0R8VIKZO39iTO4iIRlWIGUh
t7DD9Vqb8Im5w0CkDvYp7w0uD2XFWxIvCtJSUSmE3XRCu5ft8iENSF2JcXYs2bZZFmqmkLWLKlBt
xuA0OZx1Brxcog4+9bFaZdmZuraSaclAZzfq6ctFSRweVYiNoHJawLBO+oMGigZn3yOcCx54Lk07
0TBCxAcwcEVygRLS9GnDClzU20h89TaW2ryV9FHTXOzHGoMQgsIvT3TtrvY9Bsxy+ltzFUYWzbSY
TniKuGrjszTyNsLab3mlOlaBf20dkZ+0zyNwNjvUaIhmdz3DJLISwE56DvNYVbhR3DLsTx9DjWnI
GWZeUme+LGV7HOL+Jc0cVDQLpiKA1VHHSejR4yrL+ZTYHIg0bdt9XsflznR8SgktcE51gn5lOB5R
3R5ww9uRz8ncVpMf7mYnKU++a5Ib8lVSuxzGPB8ie+rHmyBR26q6nypmdt3Xyc9sQcE4Eudo5eTe
TCvBMS8n0iiTENa+J7aVPf6xJALspIZeIxwW5VmT0OPiX6dscyk3KTVjd/o2Ntp50H+0g4k89fdd
49wqG3FTVoLbQcT/hQ/qqIrBjdycYGrkXyxuwZ4SMQCdCZzUBj/A/FDqVpzQzpHZqZQZ6XR5EcCU
orLq870jmrMnp7dibFU00fyEM+lCnZsCh10HtK3eBOPvi+JFNizvnpG/LmL0onxApxAOlOCVjfnN
NB/BVlFu4nwoRLjNyhBEKiKJbX0Sv/Hp7rBVWMxVGUnrnlBJDQGqHC9N9XtJQ2Pjja3Y+EFA5yU0
32ZmzxkCGRo8+6yRv6iVvlPp1VOAF6Zx1Y5hQeQVNO57Wt27YSLp007QstgI7ga/Aa0IzQ+Vf4dd
aQRKDZ4Ob/bGZNsSwXq9JrN5wprg3xS+7q3W8a/F182eGfdG0ejZ4VxlSiH3yPsM8FDYipx9kY5i
T7olsPA0pfgqh0cX3AS9PzrLHpKQogF+wA146h37MVUeZN58+AwwQW7wnH+vJA3B3GjhIsbgJTof
NaxXo41T+kIfLXxWc35jBqtOk8DInARAfpVGy9Avx751/pRO+Tp2LKW+dcMKzBYxHHEcNiG9U/Mx
kXuTXvjBjeW19lu2Mb0T7ACZnRhOX+MM50hBLnTQOR+JWHGxSjcHvyT+iGfosvopxHjx7ccxoZZI
TFIV6snfJr0J8RGMWOIZvwiQNgdKWbxtLiF1Ff07LuS9G8dRz1C3yIyfubbwkmFoZfbLE85zqEnY
7AAMFGm6t83kjCSZzTz+rHNQNvRxu24k0o9LzLZSsuwoxLYF/GhYFgg+6oLpVBVgE3HKPzisHlIp
9rmV4jkuWvrrc/iNJOtPy4yHVwhbL2ZN5zFvj6UL5hVXsKg5c0UGbTFhy17P7E26F7dlN4/SEhK9
H/tRgs7ONtsfVgGd2s9wQPmSKitfajzsCst9U7yFaMLgSvfHRrlvRkjHtu1n+rTIlcy3PMeoOU01
bykQ19RKL6bKcC5UeJjCoPug372mZwztLsm8n4b03ts8XyWRX6FX5RhHmAKtZZRjRahh653WqAst
EBloZfxoxGdUFABalaQJnHru3iksvR2bb4M0aJln5ri39Xd8MM2lYSnI6iA45Kn9Cu5kW5pu+0Yw
9GiiPMx8IHO9+WRK0vLGBR+9wh7gDaTCJhK1Qf6rTtLPPOi8K32e22LMwYbn5WT9Aav/PVEYwQYc
y/3SHSDE0xCH02BXjo1tTpHd588wGriHiSPkGVJYDGRQRS2gaGlBxKdEPtUrb3Qur7aWDNt0/iBM
/VvVf2yNYKAhjmtjKrWNvQI8sdbejinMdqJbDY4cw/UyiH3tT8hAYAhsZPMgfNSasYFKQUz9GTk5
5Dga5IYKbqSY7Ni94RY00Mx4QfBSxj3wE5ltq4FdZdCZbE9npWla+/gjh+vgemAQFD0qmdZ7EZhv
tu7EKXCWz0rsG4PpRJWzuDSxdSug9B4HKh4/t/IIoRfP0QQMdh+0D4BFGLrE7Jucsr7hkncPAw1r
1lMAAiNqeOxqTNs+/C5Y9syKf+kGDa+fcy3jjNUBlYNiJHDz6Wp5dnKDrPU2mixRWUjXYlTcmxWO
kxSndJ3SltnmZfJarpExQzXfho7W0NDOmsvJtF/qJfsqbFO+WGmFV6HWPxbvoGXenoTjfDE+294Y
arxmS/q2OIHDGWUBy9wWDXRClIniXP/98P55Xv0GJducjGzIj52x7Frmaef7wWJ263PPHe6f3QMq
OqseDoEbP9mkbM2VME9xWodnu1wMgiPNxzEzofUjcJdoVk6xRR/bm4Ns4WriQ3AQh4He2yG1Mlay
Qh3vm8mgh9dTJhMJ1b4cn1PdbeZOo78Db5taTJESO32Swv5Qsk/AQY/10WF7h911ZtqqvF/aePJT
T/3UJUbxMiRfDGTBhYxMf2sqv6fFoQmXJxSXVwbsx+hK3s+k/+WL6eQbRMznHvr2wPJ2vNP1zqrI
ULDs4nG9XSHE4kQwXpmJuxg99JMTI4PVPjXkDL0mS9qTOSiaQFbGls4EPj/ML7HRMGyFO2+WzNK8
7hdLEaNHx7+5QXXGQfrd1/oBM7fGhGeiY0sebHHpM/ddO0FxWDIkYtB30T9zabdBtUuRm29N83tm
sbSD98RpUQZM7wP7pQwDOxpE+43HA4EAw7nLc8YvmAIPgeddwW5Q0RmFe+hbK4xEGTxgff0WtvZX
GwL4aFtJNwg46cTIkZg70Cfm1vUtZD1dgnZnLG0uepaVpY2rjR9BGs7MJxX2N0iTCUNSYdGfjTd2
bbWbtgNeMJvO0SvrV7AUlGTPI7PkQzOsMDUxflVOuhWQGfBEVjDiIUGWDC03pNL3dbotBNxy/D9L
DAu6uNBOeHAd+zrPBpLw0SWvKXQG/OVIGU2B+sH+7wNTDUJK1m+5/xtiCAn9Ak/yPeZET9W4swPj
V1uVNqCK5FFyKR3un8Vd9S4rBEUjXZNO4hxcylpt7jeHn7XN2TUDm0VGboNS+ecmYxIznEn5bM81
NASj1AFMue7rnl+i77Ep1JAtcUYwSqXrs1KtL8uYFn1gcHmkVwIa/P5SB4TfJZuiNDhkicNcq/iO
pPi5zyn5gzWF5X74G4/y7+cWJ4pclfR0f4n3w1xPvG9/72f76NJOPzXsjBA+h3vY+r1NGE4eMhoD
lemLPfT7WyLtfNlmazOH3SaOvuDzfjM6OEAce+yP7vq333+klST/9dPX3+3gDzzNSVCBreWXlEZd
He5/sYca/z85LvfP6zTs98KeXzxH/QxHQNgp7RMtObue6g9x2iH/vLvTp8WlnGI/Rmwjr4jNGJZ3
NxxOOisG1KsjL3J9pfdV5P5p0zvLNlj3Tf26qt1feu+UXx1PKx4x5FuFZA0of3SPzFuGYx03u0Cw
/KZKUzba6pnoAnc/eTi1EW5V8K6mNdvFQFa87+rw5W7uH2eXPK5mPFCDsSZUYdge0xxT/BqCgifX
ODi+hLCZ5ebFzGL3YvWKHdmUagBlhT6byVBthl74EToROOIpCUjEfPB7CHdnL1MuFgsH0azCEPLs
Gc62MaR99A3XN7c0F+f2uFYY9/W3SLEyhLV8GMid4BS2tPy7kGp0jeiOyTX/G9F9//R+xZmZgTtg
InKgXqPNbMICCKJHb3C/Vf77YK/xUdTpYAAkfFTVroFY+ZpyFPKfiQqQImqzXHHlOyD7JcrxXDkU
ehmT/gaKRpeyw/D+qRKya6vSe0AfE+4xRY/n+8ERfbPzBm55Icrx7LQdM3rhTAIKU0/fCJst/W5W
m2E5o9h3MAXVa7xHfCimPLtMPNgia2DXc78Z74d2vZ7vH6WZ0R+HBBRQXxfYgUI0Twm4lL+HZb00
filf8ZRF4uScmYg7Z+W/m3U+nO7nwS5Jfvl7RujmBLbxy8B3dxj97Genwxn3Vb1cJbBGPIg5uk5z
eZ+QgkVeViFbDJybuR66LN0rw54BzaUfpseWbgrm/3zN6g3MDH5wElhvQYYx2F4MIt8wWCMgid2r
H9DpKjPUF+s3gLCWID7JOFq/hjPtKv34j3bBgzidAQhXzwezGIeNrZPR3STEoh7wHfX4IevqAS/U
cSxDCSyn3Ftjj4/ZiL301nn0ILyJdBVNJOx1QgxB9+qV3gId3J4iyV5ftNkz42qNZdwyvbdv6cS2
1Bj51HAXUMCKx6OjroNwL6Osj8WCxCcsaV8gVLjF859GWSlxxZIeEg03DJiQcbI+PwaJb+7zgd2z
hi43o7q0LQbynX3DPybQbDBQcIvymhbdAkLAIPt0LPcDW6yNCIxvXSLYTaGoMZrqEsQ1DG4F6Ddq
J+/ZDCUZp1P1HYpOGXkmjAQMkHCXuBjQ8f/K+uqpWkMEZjnmB9VRY5vXLGgJz/CzK6TG9qJCpLD2
3HqRb0mUI12KupOI6mwLOaq6/HsQmD83CLssgMtXewRDkQbhM41bs9kw3y8vFUa8Ri0DNUgybhXm
RuKVoR3OsJICadiUQnwExGxnWLZ/NM2yujgY5/8eRECTMyTUYavEP9MMmC/1ql0WkijRzIkN3s/B
pb5+1K2H+0f/fiGVqAymmLirgonp9v4FMwU2Q0wQKOX//gH3n3L/ZtfKPiT99X1nGv55dG3/bDc5
xLH7hzifDNyoaUT6qT6TKHj/138PvW7E3/8EXo3WJH7NrTU6lGgAElAfmeQCr08S+uTnBJUW2Ys2
QOrKPPYxXGgqwllyceoOn8PYDz9prqyRK/DAKn0IdQz8buaOCSGv8SjgvLA8JiATTB6cp5ZVVc8s
m5VBZEhXan8rkkJfrNUWniN0lJAnt1asT67NujYYRbP3WAU2jmf98lKT21t+ZkP5D92VbeMPXw7A
qK0DN1w18i0r2OMWQfipiyDeAjTe8D4eabeqhzpOf5etG2Njw37v6JbRW7+zZeXfe5hnpyi/Q87P
Z00fg07a6KNXNHDo4fDsdg5vWdnLX6Fg5h0Mu3By3vLwy51pjGceIWaDO7/zyLY3RNXD2dd0upr+
VQQMvgI/p3MysM+uBBYTkOlp9kbSBNCgIfC2bI92U1N9ljLfx45N59FBh61Y8bwUc49seRc82m11
/hTAGYnRKDFhS9/G6jt5KgHr2qMzg18MzOqRVA9CV6r4PR7Wm73ZmS76r6JuYQ5OdIc6ioUF+Vku
4MKIun0IaGtbvc9dH4/nwC6Hy9qWXat+x2n/EMvA8Esc/S5/cmYXAY7gUbqUw0+eDHof2I+lMZ2Z
4z9hjz/oPP1CEggepHwbGJxyYXHH+Jte12+9wK0ZZ+RsLA1XACvlIQwnH6YxBnwnzh8XfthIdxEn
Eu/RKr9pGzrGiDJXX6d7ESyKCZpD26s3SzvjYYAiXr7JIeuj0QFhzQLIHRzv4JvDUOkGmrcLhuU4
/jZYtCkzNHRddZpgCbZV9gPrGxr6dN/U3UPZMM0xngy7PcfMSfywfO7iCGaXtRni+sG3QuiJ4pRO
4e9R1A9dnDNSGLMfCDd2k9qpFfTjZ8+giIptARkKFRQhNsCMDYx0uBQgFzRbDXte0TNAOWXR8mty
jI+AlTzXvtIIJMokMG86JuREU3465o4pxJX2uUtSRfnHsMdjJjmrXv9rapcbqsao0MlF2slH71uv
sCZj4f3unYdiJZ3Q/3tFVblhc1NA3wrzy2z4U+T5BPQtpLxcuNuty/2j+0E5iX2ZA9bSKs2/txhb
N7OgZCvcJd0jQvi0PcA4OeFNdPrTlMl6uqnWJYCZQ8c9rsxDIAkO6o5hQPU2Qe86m2sOm99jCaQ4
43MpxRJlDVW3Rre3KSY1bXM6jEq7HXs4Vl6dFM63lNpjcxc7sZ2LnHWfSa+CkznQLT3368FOYfin
LZghw5Y9SlrxoIwcz6QNWjBpiDQN2cdmPukIei3X7gchxLOsln7fDrSON6C8m/McOO2Ca+env5g5
Jjs2MWLNWCTv+hjEYj6kbbzKCRq8LTH19/2L02MuK8I+1t2LtR6me4VWmSMMR1rNmPmhddmISvOc
ewVr/gw+3+JxWHMPF1Y/nQ3f5MQzoIME5hG9vVQbluBwO6aeJr5kAeGhJ7Nmouvrc7IeKrY8Z/O7
syKhhsXAestfUhvrI+/+TSuN/5gSjU2OFm/1CnxisyYJR10/nPI2hn64swqY/jJIPu17CmWVrcGp
3voXwxtdq0eGQa5ClWGUwlGXKaHYsxUYBmOtUB05dzw1GuIe//28hmpl6mQ4hINm2vvvr8/XF8Jg
j0k3a4vJBVAVLhaTLvY3oWH25/u/3T+6Hwy7uSI2raiPcJ1SqojjJNJdXC7fHIxF7FzrD2+0MrDv
yqIFR5OJ2BSGdA0uoVqpL1PClnDGdVhI+evj2AGexSEREELmzGMI5Fs8jdZDsnDDJsaEdjw0iQrm
4KViB08gPw73v1ASaB2VlDx0AnIbmA7uVtLRs33WOu+lwbK4m0pspJZo+qjtERxKNRLTttba7L3Y
bmR+spOSFZUP+ccSbt9ZD+Hr/3eL1EM2zP8Xt4jjOat67f9sF/nI+iSrsx//q1rvP//pX78I2ip+
ju2hdfgLA/+PXyRw/gcoDVespO5VrecAA//XMOKinbNMk0GUb1smcO//kuuh5HN8J4A8LuBF2r7/
/yTXu/+W/1Wu5zJ9BAvMvAlRoGcSc/6/y/UCuG4N1R+iowUjMpgEKu0634krow10pAk+5VDVBxTY
h3IRl4EBoTtaB7/yXK46Jx7Oc67VGQIC1GXx0IxMHW0sXNba4mjavsCKYqNCE+O5ao132TNYGI33
xVLMCZSKwjAF1VmSFGVS9vkQNq3pRXCbJYpxlilffft9CSSt3xrpm2hupeWvPLeH4s+y9J9tPH3F
ogVHHGK0nBNkIfIp++g9BDW9vizZCM/Hbr/nMvk5ZYolKw0RXPgvme1fAynpTfnObjRO858MMYjL
bGBPZgm7AyHG+SgCZloFTnoNlhyUAqijuPYf76uCXDN8aBlEhYemFgzWZGyQYJ4WFy0wDn7sqS0d
HriCcGjrP6IyvW3Ff+76UIE9sDR22u5HPpXxZgQS15sfJVnO6NKcbLzlWfg+WU7IY3Ya/t7YnL6X
LB57hho8hO5PogpVosEcwgQdsOurNtk1KkEENRjBtkkXgwlHPZsoI2DaGGbsRhMIclekEYZQ9ytn
7E4qHdr7hdq6yHj9tuP4u57L/p3myxfxusot68ss5J8pFO21zfxL2fFn3wlkNq17JpfZk03fdevF
dXOhl0eGWTom+zpMjs6cwF4xh9+tHtUhnXjYplkcfrDHsz7mBcjZbEV2R7amrSvrOOsYguWSVOSQ
+dYxyJ+dQtg0VfS+C1I4HqRHnmg+SGZjpJwX4dOsU/CHBq74xVlcYJjv7cwSGCYge/2Uisyizhyz
CYNMt4JJp8AihcXg/43loQlh2M+rIQTaV4xlJ147MpUkST2r073PWP6cTX14mnwIVpz+oDSTqAqS
Axkf/3g6fEMwf9BJ83sJjJ8pj7i9tgu9I2Ut2PTuLod3fmbkMdceDJugvv4tLKy62WdpQB3MDG6R
XlStoZhYkrAKW4wbk5GNbFXpyMG6YmoXV+ucXooeTOJIMCrbkeoVdKPcN9b8c5psjeqVx2CoxiuQ
vuIg1lvNm1wd1XaOLXbtX9wPfQUZYTHoChO2Rr8xmdEAdBZ707XBNKwHVxloQXPvGK7d+Kn8lvXh
N9esrnEP+JeKyq2GXwWTpmRAtZH3BHZIl7FS1U/k0PUku9le+effZ1FGZBDLS8Yb3fwuRfXZVyYq
znKHEUbupg6KR94wI9AQytABUcutB4g7p2ymG+qt1cC9usDejLWUlL64iYThe0BteVgWYzAdw1ZQ
wq2a/qq74bh6L/LhmPcAgcwCs1s++gs4rXx1XCfNTtdUEE2WQHw05XOvfJrpoDHZPfn7ofAeus4z
DhTnwMtzDBdYp6SXyq1mzgvsToOmBIOJBA1KV7mchibcD4k5INtUj2kedtuWRCCaZbgHZvayO5R/
u14azVEoo9/iYOnYJ8P+zKkh9v1oPnYEwVNGJjhHEfj/fZ2Zh3cDKP5Ir2Bbmy4lBx1GfNWQdXT6
I0il2ku+6V4Z9nCQUCx12+X3vaqx19IGcc4m0C+FxvlE4Yx2GjRqt8izI4KHNhG8tdRxRZOzV4F9
w5Z8PlrrhdIZWEwQns0bpSDkanrga3aaMOofunKqvZqtp0Qzo1csBdu+lj9nYWd7AOm0spUNXtrq
nj2LlcbAKgkRqBBnuPqkutv5/IIg/OqrJY28ylgOw4kZWP/k4ot8YFu5KUuxXKx853Px7oOpxynW
Jm89Xq5DGWL7gaIhWBGCKNezde5c9+CnkpPhFb/tmdg930/qyIPmcBlkmUUdPaW1wXR/EE29e5MJ
jcI5qTX5PMVrXcQxKTzFM3qX/mGyzOalD8NDYvX9x9w3rFud/Hb/LEnZMwsH54kzfGo8Fjfbku7D
4mU9rQUjOTRWYR0VLWlcKQnvegzOPQlNzEaFRYeus/8ZxvRc9U3/jCtQu9CrxmBYfthp85D2BXy3
ClUkbzZMwi50PnlrN4Gah8tsttO1rnCv2cVwU8hb9vViq00ftozySwchJBb6xN64Ogf0wzg1mO32
EOT0/Ypi4KqbYFPVuJr2ZgmHRDrIG5aGvGIufLkPpQkUbmmSpyT9SeYTtLuOQDMCPaxdOqmnflkC
lvwu47KbcTtxT92aKfnZkrBDlmOhj4UVnDyProUd0iLy0+zKpC4guwzBWz0Vn3JwzSvbOm9v+LUD
BZ8RroIjEwWBi4y3MVyKb4p1mQyAaGT+QYYEODRHTpH2YnXmmd5FVVoG57BLP32vqq+JMoZNm8Gl
KVqinAFg2uehAceEHml49ebIjUv5GNftYxo2gB4FrrVisBFEpfTSY4v+b1X+rh2eIsPqJupWSH7m
qpNVhW+ZtsyjpiJjnVDNZWHidywB/IInT8qbyc+K7l/gLax3AsA2ixKS2qx4SjP7CXrp+Fo7tX9o
ZPKijHiAtjjMDyCO6hstetJQzPwFD1K2Z2PylmBoNwznIx6KGAwTgCHs4i0O0+045gVBqQt7P5eG
ybSoiHn8cA5ENvzo5wPJ1sY5XWS1cyRtcGS2YJEquDrTTI6Q2WMNG10D81frTy/akSchjKdcN+Gz
y/SEMVCHD+kSOglZeyMOpEkALmhmzipRhZRxVnjUAemtgap2Y8UQM5jLH4YKXxzDrx4LBqbKG7tr
Eoj5uhJAcGWw2UXNqMR0E8PoR2kfuns0wo+LkGTDFY9qchKUcGOy60e+afGpy1ogdgqD75M11Ifa
JhrbA9lQk4NRwyh75RSdl9THpJkwI53bZY8p9WsE4xBZYV29V4l7K/P8kBTksMS6SIH0SEAM/Wu6
9CgrbF0+uHFqwka1most3Vds2EDEqt54BGubwipiaQ2+w+1KnigisIYV8XRUbnrI83zG0YwUsjWE
eh9dQHDEB+D2l5l6V0EBrm1iG70sYKRc7rY5aLr3yvpalNUfE83pQeQC41Lc7iZWI5g5HbYg7rN0
wODSingdssy6DkVWHBBo2p+kqAWO8i/hsJAbISbUGENGc8fm4auG6prnyy2uR+PcSgBNI7Gke7UU
PPc7XoJjpO2hdTPnqtnfH+MpvJqT6UaONzjvHdcXxlxvpqWd/OjZjDxmkPbXhBzvmCcNmXmOrg+6
yZpTiezmeRr7xzCfyZkFkL6k9rQjWUTdCmEk53Sf90Z5afM539ttLlA22N9Z+hgRZ8N7NpH3kswY
Stb8EqowuK9TAqaLlvNVdBUZQShuHQNgEOw476uA5JN8J6lofEwpEXcz0Ott1btDZPGEfIQC+IKx
2dux4IMibWQetR6SOERiw4G6uT+AlkYLsCTuOUHSwhhi6I9MI4toKVCo2IDtXpuWH1fUMn4mkfgT
9zT6VqRQ76Y98cJAWP5GhMat1wbv/SJ8cri3xiT69zq3EAZME6s6ZtxvTJnojlpGcqm80t7Wwsfs
OjY/BfOVczKjM/Kb2tvXsnuvyeRprRRVVI8XB+DMzELvNrYfxXNbRqhmIV6TGs/TA6HrNLDRyX31
kVYFagn8urAl2obpCWQwVjuWKWL+AOYut0z9QycZFr1mhNmlPM6HgoJ49Lk6eF8BhoQktlAkx/3n
HFtwOpKErZxCfD7i0zl5FeNKg+AhO0+hrIXLahSuSzZ4IvhKqxj3pO89zzOxz07QX4uG4Q8kOmDH
CAcfmjD/wU+JL5hoyJCCHvNjDBP70UlHyRgCCS/7vh0QRetrYG/YLclLMq2czbGuj02VSv4IU54s
i/c9T9xdO6AELuuaCVQtmWzAeodP5oyEsAvr4JXDn8lp0tcCJtHWEfqz7kcdVQR1nExAwy63PxkR
zo3kjQEvkMtlDMh10Vn8NBKYodJV26CMP3Xr5Ig4TqptTkjDwx0GnP5ILwpmnDtgzR5IKawS7R4D
pqltLI0bZMJrzuNTstg/ijxuN3mQzlENzx4fW9VFknc0M33jRvX1yECVnZFduLRXiYsTUDwMRVY9
BtSfqV6svcxBy2BtLjeKWekByDoQO1U1t6n0gUIPbzi3iiOVL53ekUD20idos2uDaLBpWGHN5ZZI
QiZ2/GTROX+8GLBsB1kqCl3wTSw31ButJV/6fGpR+KeM5/IhxCRQE4cU5/G5dkQbiYRgdIMKAy16
8jBVRBbE32hBAFcMZX+saGIgaCPkr65cB5yheM6kMRyRuKFKHKEmCR8XvDsyiLPRiXkd7pZF2Tup
GjBGqfianfRQ9aJ8r2Pz0SBV6x4/lS6d4vwUBxeuaQp78JS3OX+bh3qz0XW38woG36I36bN1zcVI
SGg3EAKddVVcQ+b+F1UsvMmxoCVYqGdDcGEiLcxq09457fDPotzuQoIor772f/QJ8l3troLPejDP
xgIaSAc6PFkkqCd5XNNs89UzcR3fIBfM25LQQqo+sJtW45YHHE1rpjM8dSbVm7zIGezEnhOh+p+O
eCwxDs3VU5aOwa5tGnuPBAox1BL8GmjhXjyicraqBjDuIYgcukJfRawf3XrYabGEz2GZq9uIstCo
Vs1D+uoHSXajc/tkGslybsfmBS8ycAmkeYw0DPeGLuVa5RR6qUuKUOqHj6lH872GtFl12WEeXPdi
iN8mcWIXu0hg9uQd57LszoQwk6npnBkFz5fYTnbKB3FfEUh2CmzNttumtZ8Y/p7ohviNMCIEdYDP
p6X9PlSSK8h6qnuRfoOCQxen2xPu+yBHIBZW09cPdkM32zH7ah8CY4uC9YkrYosgJUJsjgMR0Nsy
Uc+TkFy9OjePScC0xYUcnPqi37bMdTe1a19GsNqXPHMiQtcpEAP5NofzSsPEuuYzp47MESSTbSJ7
r5Ge7genPErSrvPBy7/zqLZJUK5nWrEgJtKE2FhJBhG7wJPl+u9JCv+nmBsDz2KNWs9kxOrTWd1O
EwjWuivL/8neeSxHjmzZ9lee9fihDe5wqEFPQusggzI5gZEpoLXG178FZtmtrLz9qqznPaHdW0mB
iADcj5+z99qbwQVGGdeQ7iFXPFtVQlmDm2Yleb83bAGL4gMn0ACsyST0oOu+iaF7DNCDbqPY3Bl9
SbZNqL5jXvxuJoPcpiL9alpxRdZWs3GLyDrTmEUjaiEILytLPhsKyZrrPkk3e8cO4YBNApQwiMLf
OO1BTlZ5bjI0jSqtsyMoKmyQdVu8k230wDvxquoUR2Z4pBQM7rNph1FxHqkx1w6aSymz8cXzJ3PP
M0eGVKnSW2o4ezf3x71mR6eua58FvY+1AHKzN4P8yti/OWpaLxdVhQh1wsZ2D/Z9UWNT9U1gW3xB
2cXMqSzsh2DGYRJVrIE0WtvoNo5m19c4yWeFR+xfifuD/NSN4Qal9dKa1cFEvZ/GnrahZ1VfLBtB
YgAnE5gC0gQ7mm4E5DwMHaXnWGnetn0d66jj+A4fvRIFAmNaQjTa0GplxUbXNokVouqNGSj6DYap
pgmnNdPbXSDn0YgUuB5R0pADguiKjwnil0XDrxPvwIPz9R0GkJeup3WOlIKtEM7Brp30JR/5eGl7
R92x9Jt3SYpIm8DscWW1xb1X587R0uHuSw1almuSxlsV4RcZdHsOVMlbChxC2Rg22hAyV+oahA7a
wDLroWQSWQbIbys6MfXQ1rDE6b84vKwVQcjfGBCRbl5Z6VJVBCSNWhrtu6i5z5zJuKs1XFQk66Yr
kCE5kOy63U0RL9oKmb8O5lhT1hBCXHHLlXmFN1gBCy3Q2XDqF/gShKq7VUmD9U75bY+HqmrY/eFT
6G5onl1LFGtCcex148j3ZHIXVemfkywZtiMbemuyKhP8xKOT5hcZe6cw0fPj7G6ojTZ9RP/O82+F
m7ZVD2GP5qJsJArFdt25cKdR6K3Sw0D8tVUGt27+wujoDUdjem+m3KCc+iy/2CC8bJZO57I31uLq
ws5qD3WEFHgoPaww5A13o3+GM0bAR9wj8gefV+dGRvweD6kFJreqmF3nGndYXoQfWtfDti1fRKsu
ZTu+D6F8q/x2W3lmvRiq7FoRLoIPixXLbWaJi/E0Z7dWtEmuiD2+DJ7axQO97jS8BzdtUOdgI8EZ
djYn7ElG/IHYmb3zqTLdu8Ih50f2xmLhzd1n36p/qJAYvDwnn4+kBBjvCNbQn18HC92FBGXRt0fa
1kz3uRPx/BAkEwZPfj+eM8i7QaJ8XHraU5ZgrsnKNqB1W0CVQUSv9e0XA0fKqjPPdkjRlONSowdA
tHDnojsfovQFZpBD0zl/MemNaNQbJsFj5did2gzHkBj4qSKfvsjwLgioFIrklXvyTc0O9y4z/E1h
1V+aQOG5Et6z60Vf4wFZaKzpaC0QTbPHL3s2AKkEEh0g85PE6A6f82aONE7pUSwsLKaYem06Rryt
KqC9ot1sYPhcimEfab49+yOOSeQFBR0CBao1lVuF2RPjQ/Sk8novEzwONLQ5ZOYAMMk3ZaKgDeu2
Rhee07PMsYetEGh9aekPAt21IPh1AJx7XmyTTj8SzTkR3I5Rh31SDAipUFAxl0RElKui3dk1MZ/0
Lz9aZ/hAfEDbmPZBXLDUjiPyk1Qzj0SJ1sK3VnZTu8uSbnI1lN+t0HubLJxFOBn5nJJLGzlQagZ1
pGaQTB9twFsCepVUabRUEzRIn7Q7EIr6MhX2XR7Tpekqxbyh6XcOQC4Cf+o3L3bu8SV3SAk4vUOA
PwKf4QgY75R7KHsc4DltFg7TIYi4HFJQeKyK4qtvU8gxxt1UZYfk3D66/fSBYghPok8IAPTxo9mH
H77qZ94RsILUuIv0kQD40rEXZRjBTWaNcmzjZPFPhiV8XNSEOsRF/d0rQTBPMJBS4X/tpepeqVQi
lpjsbIb2ltzOZ+JOCKPSwGLrHpVdbvDWVkiuFn3Rlm+xp0+LVrPja8MEfIFuHHv+TLd353w9k473
6PIE8MF1K1lU+2EiENqMMNb0vmMsdSUvGIriU8a8QzPaZ6cUB6vb22WbvukGk/hU+6FFsj20E3dc
MncXTMyZvYaJQkcTz0I1eJspg3s02gLLTdc+Be4wbMuivnMJiVuEMjk1huagTe86XMpUZmSVwycn
MuXRpKQdBCbBLuM0m/MzqgM0GddduwwDTp+ZKl84klVfIqvg3Dp02s4zJ2NlauiABw+CGmQEmEvd
0O60eCJfL23OjmGe3Ky4p7pD1nmnTZ67klpfbski9MFIQ9MqXWfETFHua4DQ2dBll6wYb0RwMhmQ
5XLk7LnKanUPxJllJn2Ebcxp23VwESfgXILe0dYSONO6JDXDyC+iZuGVGO3aNr9OfXKbdPSiUR/H
y+iSViniY2lA9rUcGFCQLPzSt/Z1N715Uv9oZUHizMAhiXPMB8uNaLycdBbIM0b94fci2XTBGWfg
vKl348b2TfBN+M7WSV3669Izqo1rBfYWAP7sWEhOmZ5k+4z6AAmHu1H9SzASg5EQZNLB2NkbPSSD
Jqu43SF1ycr74YXTjzFW6p5ot3bhRsN93HKSRONzlnPXSlljvrBD1gB9ItjOrLRHu3wbUK5jBPRf
A9On607AazncixHEVS3lO+lr5jENNZwp9RxUEh0SnbBIBWZReKVxcWXxwR2RijkhqSjOcHiRueoC
frVLRcFgyce42Tz1eAIXYzs1pMHNYDZ31eMbW9IxJaM+r54jt7lZJUYzp2Qol86KJBN1OnGvcPjB
p9GZfx5zixbAVAqstqOEfUqkqF00s+3lqS51gQ8/B9qm5/WuCuXR0KMtex1YL839cCGhvCb6Wx50
3YZ0vHo3llk7s0vFbpq6gKWJ1MFy35IbBF2LYBz7xYA/atNzBiVRDy99H82sczBp4XZK5Vufe9iW
p+AJaGCwiIRGqIsNDT4Mpf8GcX5toYQmGRqAOBIyPgiyW6tgl4WvHWXlOXJBamr0YCcrwV1B08yj
jTCl+r7AFknEG4kQnoFK1GBKSIYZf0HeNNZIzofiMfI89iOIzr5nHcagFMx0B7Q0A70ExV8q2hHS
1TDzS1S7ya1vYFvpnZPQtcpjLadFSulfpte25B3DpYjeiPndSFnILGnX5hI99dAu9Q5UQuoVGtOb
9tZI/W3k4jYEZDPDtftvqRVUBy3Vx3tCEO+7esaKDBD+yDNYoAuZhyF9dUmEjcPtqAcIxUeZ06pC
bRLxfVW8txi97lTm7GmpTyurl1uf2Rvhrum4N+tiU0QduVV9++JWEUZe+VzXs1FlsMGZ5k/kYDxY
kb0OCfL1Y2sHFzjd+0Dd7opOi+8iysKDqbsPftHpR4eUvTiwuovJspoblnZl9mUV57Rq8lPXsMnq
IHfsQKNLBiz2iB4he800FibB4h3Xzh3Q1ztK7RJ/qLF3NF9cMAzG27Bgr0rD59jEXpHSNQGaod/x
DFMAo+ee2GiIGgXmT0rJwrAI6GzM0WNGgEG2SAkC0OmVm0j/sp68XU7dbKxjgZsmKe9RnlEXqvK1
/Roiadplk/WG9TbcZno6YshJHkaJ2BYbCVoEcGFa12Hxpw3p5LQoBHEDw7SOe7QC5ehy+pnSDDsL
4STIZ+8rAf4/w57vdjFTirTbOhofT73DgP8Yq6E9u4wY0qrVN72HPK9KcFHEGlZFgz0hcoNDbTP2
j4h0KRiPlIF68iFRsKmxZsQGgVGUXvp4mjQmomWE+JZKbsUQMtk2gqUOmxGHDjeuzuMmZVm/b0Ch
YAYHOqwP5XlyZbUSo2R1YgrA+IAanhszaD6iQoiVjQstH0jgnAQrND7L/tK7H12BND+axkcr50bx
jR7yF4dKFcvvyUgZG0+MJwPNejajH21kfO+n6lTYlkI+FBZrx898XgxNPQe183KKBijbwr63fRuX
BiKOiQ6tS15MxW3ZGM2zXYjuMJjmNeRUyqyFpAg3nUgq877FtmwWKjO1fanZxgqA/3uLfHpdmjch
WEfr3ntyJuc2wCNgsK7LE3zqvbR6oHmio/dZ5V+nNuLoMMWEatgOWkzZbIve4NOg3CVtOyDnenjv
hLUSXZGuCvt9sFv67cm7S2QjVmBwesGUQq+eQ4RbIkPaEFgipGgDOemcwalFly4Nlq6sJ6YNV0f3
7nkHoU2DCwxkue3iZteROV/1E1lmvoBWNGCyT8bmTsPJvMpMmPodNKUWpgfjsH4vJuMyjrm9tZ32
uxa/wPihA4yjsLKMyxQT5NtOIB5sRHWdcU/v91XAsvSgMk5INZ0h1FYu0Wq7zrwjPDJ4HaaqX1tY
rxdNArBb51S/dTLdX4JW2DTwxqNh+qbleNj0sf/GC4I3b7TaNqhuuZ7d3Ptp8vsnBl6olp3ibDXm
xWSESDBwt3QUB1rT825xajs0Owk3Yh0iEaWk6ROXW24fqBLVlWltuSJt8yZC/+yU4D6FMRClYtqH
JkAJA+9lLWHB79uwfkF2umbOgUEJvsx6oiZh0upum44GdpCBLQ4mIrK8aZtaNo2MpFu4o+1z8Ed9
G6WsrjkJXwL345oe0CKyCThoyqrfaZCfRgDn1y4PXhn5WeswfANvpSGzsa8J4VmlkCeSmG4tvB/q
9+Rs+sgYhKQX1Kb+ozt8xZsT4qOU6DLILBEJJ0ALoeQKTF+2KgTPW8Z2RMJn2xjFaxyM5nHWNlG7
4hJu6544tM7DxzBWG4JEmm2l6+jSyxYHhN2L7UDYCxUZfj7bxhnUBBb5d5jLaZqQ3oNz+OQF42vt
NOc865NjmbaHwUdLmjTWgYDmHYDBHoP+gAQlwX9nNfWmDQHMAja4tKnL3ID503KI3HwZZPUbFqiF
HeBHqRKGK561Hzx0SfHIzuKACO0HkjUINpv/NeyHs6rsa6m5Rw5epNSHC188R1w5Js9FYdGR6Anx
UIhzgv5+aOpnndEmuVcg6rv+lBTyUd/h6GYnx61nMKqoYzcjdaFeRrV1c8N0ePQSXHqEWIIfyqJN
WQYbjF0dHPQcg4UPBdXqgBpojdBWWcQF2mNxhs3WYwVBu2R/zvLCFUfz8QpOhaGY/15yuMZAgRHK
CldJazobnPwPg6BI8l1wC0on2UXoM6ewNqulIGx6XSgkTTWGaMBI9fyx6Wot+lBDG11Pd7HfnkGH
dBsYm+FKygcT2ceanngJkBLrSVAHzIuk2Idz+CKqeYlUAxoMkd1xfsWR6rKlwPzxk+kkPdCMfCZL
00F87gdk/eKgBTZE/J+iGVM7Q77vMMTS+17FmO0NwyXrTSvl0oAlWScxz1m104gGJ/5xwv79xYuH
l9ZL4rURKY2aqAH0Xx2SABOy1R/9zDkHowspww7wNPHULpXdIAma5blR5F2bzHzXaz4GMyR9ez40
jCXN7MrcwB+BFKV31r5axzFZS5YgmlkHpOxUAH7Ap3JeT9bEbcPz1P1ri02CRKvkuwJqvlH68C0o
eK45qhlR524TnzMyXs/23tJ2BSKpXS7JQI5EsosYwnR51S4bYu1DO/HAaho9WTA6qiPwM1ln33Rl
bkMqrlUA2JfvLroVUMJwOZnNFTFjuJdeSPEN6q6prhnJXtQk5YM05tZNgGW3aY6t4WzrhKFCNwQ8
J7JQwIaSaB3lXJkttRgVz/RA/Fq5tcqndspG0jWJZBRBRKO3Puv1+OSm5lMkaReOESnDY7KC368v
Ehw4i9omqJEo6e4Dj9zryPRhESrkO30obkkaWWtzpC9CotxHQB7lKgzLfN3m5Q/ERIM2D2+zwVgl
JiV7yWnEJqSCBE9wVmfprEtHMKvza33XuhOmVWudMV6m0som8z2OBjzCbBKHiInXOmgGPLd+dkYO
zvGS5wnSQfYax8ADs+hbhqeh6n37aFhMnVyKwIHtqqYPuuZMvM8pF5/H8lxXY/eGfQPLUqwjs9xT
i7n8bxAHg5mfoe2dFD15OswPmZvfG62sT+CoDl7FC1B+Psf5GBw+3QGjsG07YA64nSi7KlIzi5yk
jxDuRiXXJqsX/m9325Ip7UTqqH/NOJ+u9FYz9yZc4ZWVQlEADkY4WISWKyb7yg/M6hQAFpmE+BEO
8IcYfD7CbKB9YNmvLZBuZOXiTmituKM7ByXEpzFsMBZmtIchnJHclv464J8+QQLTma86AWMMP3S4
yCTKZ2xSvfklFWF/TeT94F7CJpMv7BO87gi3SWiAhTanlp6KI9e+jZoqDvN+rUAfJ+TWxjmfK+k4
3gpyHKcll4UM3dm0IDrouenePEaGRywfyXYc2nvuIogKTQi4xzslWkVxas/N2pnkU9yF3WStnQpI
Xsn5bhFX4Qu5ZEJr0qdqSK8NfeJN1nvo6clSDhjnLX2rWYegP/gIygeUUXejN5ZLkJdUp8kNcvm5
K7Mvje0kS/CYy9iUKFZisvws6DqatBhH4QvC9p9gwjYMyDgIrsjuild29bWOEqbT45Iy/GDWpsnC
ENBJnbT7bogpIQuQBFMAByI3NmZDup2ycDrJfD4ZqJo0IZwC3N7DmoAHmz2VlDOmPJRCLhjr6Tyl
yDVx/QAzFyU3ts66N5q70U6nfYqzGkmiSXO5ZU3tEBwuMQl9dGz4h8kBuKm5hF1EtHeVzF7I6YPi
5npX1CgQ+fRg3NE1qKuUYBew9AALMe9a9DMwilHYR3uRo31xm6te80wYE05s0LmM1rx0g/LqIw26
cgsVwl5UoF82irfbqGg3SQ7qy8kmZLsIrAABcWRfXAooZyIMMEZPtRqdggZLwCM4uupMOM8+t11z
5XcWK4GpnUGTfPdAeGw4SQ/6lyqYmM5NA1ram9mO3bGyq2avJWJX5R31fTpZS9Y2IgzxYPmuo3YJ
wpg5TiTqQKjhM1iZINQ6KzIvQdMhYqSPxpbKAS5Dlsdtt0gwsq/TJlkzAuI01lC5TMzNxiG64eXk
3IVbR9bvGEj/0AMnyViQx4ghtw6ZgAaKYgXjIml0dol2Ytb8ZXizCS9p13oEQ35MYzDbs1Q58jAs
06cqR6vfa0Vj7tMquKBvszYIuDGmVHr1SIQmqYqYE8EDcb98DtQ6BIQEmMcHvRxWUNDxf6Nc2SRJ
GexNFxCjKsoDyihS20uac0PwrMIHW4iJibx3M9qk3HxKPEldXCYe5mbTwa01KAJaPsWW7ARXNSEh
c534YOE839LvHg48YWdazzRXmuKxnn283diIXaDXyCf6q41Xc+t5NMAXddPrh8ocaaN7/v7zcjzL
pifJ/13F0UNf6WjCRiJ3U3uc4w9m9fc0y9fDrrnR7C43WoFjWJMVbqfO01ddN/V41+jpIUaYIH9o
ZnvfesW4NSkCRpLKy9LJl7o7P5opn6o1BhA6gfMu1acBOZPmxtHKq0IQsMn18Gvh5Lu+5+GwNBOc
XwCpzx3rktSYb11NgMNIOqclrB2MGBqTdbSciHrY1Gl6a9mHMS7NotJ89oDAHnvP9VRi5Q7IB+1A
m0xOR1q5N36ZlRiMaezHSW9BXaSoOZei8tXWNvMdKWfpup60N0EHgvFKdt8IzwSOldlrHtszOvSI
sah8+7SyMC/SD0nZ53t4v4siyOuV8qlhwFAALlMEvuams7LkLdYLZx2pipEY5u7PL/gKDzxwwxZr
K2HvcfhqZUhehX6xmvjYj/S1Wx9/Tiiw32fM6tCc+PynNYLHK6HdT5P9Tt5Sh6oDtXACf8TAP83C
BZNUyB++1kFzI3FsGbueWKok4mN2oAklRanWJRInysyYQtKLG6IcoO0rE9k23q9nQwpji617Cfkn
20f03Q+AH50DJg5MzOTfki8ilvSkZi1tMFofiZSzhDGDPDVySzSEmC1lU7xzxH1xhjlzIbXPbID4
l/V2POQJU34nj9SmbMob0uke/5V9czkOmJxI0r7ZpiBllklGV3MckyOdZ8AWtBkRXS3FA+HMz1Og
MPrl2qtVEwnQhgROEi38qRyGXIfMedY6jzRRtypyCSsoKZ7GdzOezQENscpwtK5ADPzDpG+y1r+g
1s4QZTYl2az51ffn1CsvG5YMmtUhy5aey+eG7HSjmzwJLVs04y1B7CetzMLEHgxV4eHzqRIe3ZBe
BvW60IOjBgTG4HevP2/LT9Xz55epypnsk4UwYINotHubLMEFHXEdtwgxw9IZn0me7jYUHS+9rch0
K2N/M87pJfi3DgKKDDCbVBxaD93dqJ9YthEmz1db5ahXyvlO0edYUzX6wUqP6I0PVj/vDuOXQBj1
QSt9foWJ5eUTZfDpuOu98mpOHFfK3HvNDO3sWVG4M1iTrC69JfgTNsKfMLslgcbr6/zvbkZWQFTB
JhkROKMaTTckYZLpIbVdU853d6QO8YxJ0Ge5fRP4aidHDvsWw59eJTTMfG9bTgrlpZHuXeopGnPD
UvfaaeF6zcrdfRoIq3b4RoOcfR9TKkb5P7xkkK3ahSZ7JpkazerQV0u/mxc5GT+0ogUAu0jq+NIK
s13W44AwLPRvXcxA1e0SH/kH8G1yNNyi5nFTxLSt7Jgz6i92qLs8Gf08+z9Zm97lYdbU//Ufc7LN
X9xFrm6YDtYbg66cwPeCx+lXGLjv9uQs+EOFQj36PpnKg/I5GxYthkljYILJ7rh/MfirA8IT4Hs2
U7PRendp423//lr4oX+7GBzwjimVYXMUkeZ8sV/fb2Hmz5f+f8ELj5ap1znGeuTTtqkAHY4pkqNY
P8uifOBEQtBBRWQj6itaQQGhfg2wkVo4E7plYKUEfsQ8Wic7jDNytj4KWs23Iojji0WnLOtq2GFj
QPdp8NZAW7KVLQPtqignIzumLR6GxqFJUqLmq7g+ecpGREl6+FKETbVsnIicv4zCqY/TbShUfGsa
qRDGXQrPC38wuf/QO93ZkdAZoMtFasSW0/LAM4/V08zDx96qJ2jmWAKIoo1D/V4rQlb3vjP3CeGy
WzOntofTRrGbsG36qnIWfSQ23I7aF+KJTaPc53MXpS+1ixwYFqbBECJ+0sOXCcPranbnIh3BoRL4
e5gV3b5Vzd7TC4v4reJVVn16giQHJcjgYDN62U0rKudAGwJbQdWJS+ZwnxdVyDJpDjXA1nnHnBzj
qs/zxWzwTm6k+c80URKfmTmnbmPjmNGlt0kmsmqmEkhuDYIrPQRtoKL3wDQmptqJu5UspWsaP80W
8YMA3qW/JuaUgldybgqi0zmnGb1qCiXXZVh03NNRvUWeNfeiq4/Yy/zjgNoXj0QGDUQm2onO4Te2
CkHyGpcZRzQRe9hPhM4bAF/6YQ6HaIAvNMMZpSDOTGVe9b7MP4YAnrBzzy6RvSM0ILI5CHZMLc13
F9HjypHFc+gN8UljSomqTXHfkx0YqImNntZinkr5KDV8TskUfcF2srOLBKqf6iAsdwo2mZtXy7BI
fhiFlFudqL0TfpQR/XRcPbt28yYS0dP7pBXWj4l+VuS37JWX3rXz/4usDs/p5z9k3FBnQzbJxily
HSoHobrcLxDynZJpvz60GPJ8Ww6rz5/8/BmWgjk+JQt+fqMOmmZldeO48yy6EsjP4oNqiKJv8bIt
pgpyBpsbHllkdPvAdIdbPVTQgwQytwFwge88K3gIh4xBdODYsLr92cQ9Jg/5mJdnyN36So8jqKoF
vdSJSgoVSJyBj+iyh7o/oh1K7/TU9neFRWpb5Iwn1+3dRWIhHgsacG2irDZSq76XpPuxs9fsADld
DNxe2ULmlbpRb6Kq9q5Jya3fth6630CqjZ8TgwPvMbk2PWQ3F9zDWa+yiEqc+DyTZuEN/TlOeMeN
9p6qGXh7uPY6GBuiiIprbP4o/a5/clDSmKLBqgtwHXqrax7hAW0SGCiX2GkE2yEKX9uK6AWO9oeD
vXznyE6dPL99qDW/OMNwZo4phtkZ3G+aosK22EL5nvKK8AObhcxTc+gnjRwNTQVWomntDZigE+ri
gKT1yNL7g5HnMCNJe4kMwqPpMTWcEYkZ9/NALZuh74+2i6iU4XS1QTAabm1r+qDFWy0R+yVbfcx3
TuKEK9OnLfP3i7P49+Ay27SAs5PjqHRssb9tFHElpGfVkIpRFBBmhZ9QiSw66JIwIAzrHgeU+HvF
fYxjJkEy4IQ5+veBBGZTD4GtaFcBjWGdZZhImLX8oJv4D5coZyfszy1u/+2//sNUeFRN4jUULl7l
GPL3vcypLJp8aKB2g4iMde1XoPsdBnhovSSpxjV3fJpG3z2WchCy5bJJJNWpaWh3XdSvhH6fZLTe
A9qHy25ymm1XDRCoEauFOYAOdEmCRjfzKnqGxaKmoKfVmct/2AUF1uHfXoWjG0SOW4TEuQZ8xr9u
goWGlJ6ojBzZWFaelW/eYcBbQJuDrAp8+1ynB3hWJ581kB5WuQ2HTDHRRJDH6tOjby+eVEU6qju8
M05CNZeXGnrdFE/Y398SyvhvrlRJ3XGlsA33395vbIial3sVSnhYZsA2gDjVhW7B9u5XICFwyNT9
18Gv7svGqV4b6yuUpuZkW6THNhnGDsdLjxYsK3DDnbbNU/clK+1jmo3DyUHEva5itnqzKl0KbCkX
g5dyYMkKE/4AHjKTAeiiSG1j2/WVXLkpDDPOFC/EDn/vpiuUzOG+KHw00Ina+aFr4ZZF6q83tHdi
G2EEnf2QbtKu0pnkfb41/xvf+A+GfNN0uZ3//3785XsS/kB9/FdH/s+f+sOQz1TlP4XhCNvkSTYw
2bMQ/WHIF1L9p9IZndtIHxWMrj8N+UoSkuNI1xU68JnPmMZ/GfIlhnzDUbBBHQf7pCv+Z4b8v970
OpdFpI6F+8PQDSXVXMP+UqMSKcwpqG2HS9YbKPhzfVPQKz51OAG3fhF0T7kamNCo0FmVISdsrTLn
KjUstqHXPnQekqBUT76S/3bqwKjA+skuIX5EZvaRKTPc2K528NT4FmoOeb2spXu46rvaLZ5oPwzX
LBqHq9s41uaXD+Lu308C5m+r5/zCWHCkzdquK0dac2zQLy9MZWMRu0HbXXygWdsepYhs1NcJWcUu
aPzslKPJWgnyGbYZ6lh24do5Vf0gLkWgvjfBVBzdobvmVjFgv0yYFuADhA3UWedZzaL3VXuHlJJq
WUGcFwP82YpBx5mMXwLM+nCnD9ktZ0j8aCPNWQpZd2svKjriKAGWWnr2o8mD/lhZjiRXuFlrWdmj
usiio9H20TFu6naJmN3ejmOM1XQQ3hHr352nac6qxq321A4u3FwbjUWwNgkkROXkaA/WVJClrOhF
+D75DX//nlq/bZqf76nFrNSVrmkDmfwt7VOFduBY7thc/GlsNh0GUTL5wGT7je0/dj5jYAAEWCAU
Fxtq6CuK6K3J+2+O8utt6JbyWJMEmRBVeO2YpO/wUbaA21H8l9G2GirzARxPfBNM3Xij5ZML13iB
kvaV00MHv9JCh1B02dEf9LWvnCnjMDEtslDvH3HV+ovAAhGE1BMCE2ka2yQA9GTPcmI1iGBbkg5B
KUwWvZY7yZXYBAYKHU2mUtgcqmUvHg2b99Kd7pzASp9Hn/AMG2N8A9bmHAtUHV17oE6Jl6yzDRJw
8xaHzrSLgiZ9lsjhzbY8GXQnPvE1f3757B+OYxT+02n3t72Vz8NWhm5zl2MRpRU5PwO/3OM2yP0e
2W19ycwPFKj50YkrAGsdASNV0CJ38mR47Dh/UdChso2rYG152bqUwbEpyWuRmXlpZ8ssg4y1EWgA
b1b4+/Tnf7hvfltjbGHbAl2nK1lj+DLfVr9cpqkPviroKFx0zhgHfAznDJzHmhlxSJlvuf/w50gQ
+0vJoc9/z9Ul+nOHHieajr/+Pfiy41RWeODwTYngqonvWBKh/GnSXIuKMfjYxICIDOZUJQ/UAjnE
ynLx37o67dhW6Tf7Zoyu/9wYjDb1HtFMaX9EJdmFTag956i4YTd4xTb3mJjWKA/O+ZTSpZP2hKrS
s87/8P79FnHGC+JZo3+gDGVZ827y1xdkYwYPKJDCi6mMN0Bv6KoCbn7oEhXLlY8V24r1tW2b3bom
7uVksBIdK+bFm8gqb7OYbtUho2gEP2SMrIZ1Ie4+v8TK/Q5B2d4bIY/gKHDo9Tqxq8OUNcs64BwD
bPzUCV4dAVP9pm9poXhlfygdpD2Q2sRh0gxx0MNSMUSxk4tu05FHoGu/uHMmKGCtUXggpKPWhjyW
OO0Kf7nvTjVLQFFv/KJ3FrC4BxDGdBwbV1+TNjTgRC4MkqrbHw0WzQvTrwYvNfFn7exipdTCKDPG
E9FLSX30EELQjW2yy9+/7+a/30gELLM9AgWUio1kfv5+uXF1q4VlZXrk5zjLxhvQgsEevHfM6rUP
NBbeDopSX1EeymD8hjc9+m6kAEaivH8vY5vGLWLxa6BF+j7utW7bSNu7kWnFpHD+3g7hrqGN39o2
vqjY2A/Sit6iHD1u6ozBFeHIeId0gbwVM2ElIifqXQlcaW5Be8ExV5D7yIzoJptadbyLCsicU4x1
m5OFtvcz8QAdhHQ0WYKMpSWPM4SxmWbq5SZTg9qFmbXWtKzfkQtfrpWVJRffbFCgVl86VHBXOIPV
s7LvK4lw06nN5qyL9d+/wRJI4+/PqqEMVgSL3A+h2FXmovyXt5jpPOPfoDHOTeqFy5I+whHcmjjq
n85A9CxQgCxn9/kPn18Gx/Owns7fU2kaMpU/f0Z48JSnAoDkv37NL99i2hGwoc9f/udv6wh/XXZo
SFY/f+/nP3uEuGkw9fkTP79zsjRtmYUOBmfLZZAz/3pEmekekuLmlx/8/Ieff/LzAsny8zauUs8/
/xuJI1zBn398dGM+DMyVOupriLH/3Wv687v/+L3iGx378fDzGv51ib9c7HxxP6/p83t+/tG2SK/k
+4kKLo7ZOPrx/3F1ZsuNKtsW/SIigKR9Vd/blnu/EHZVbXqSJmm//g6oc8++cV8ISZZkhESSudac
Y8r5acsTAopy2t8jv/xl2YzL4V9u4tTbpBUtQ5fMnM5goQ9kRaNFEhumf7DB3zV4DA2Gvg5+5Jbk
iWCnSABZ98xj3zp7+ge0Yrob1euo9f90Egx7m4pLYk3/6IMieWCMX1RKGMxA/gM5pT8l4KJN0lLb
6QEz4p2DiKqXr0Hr3pIGfwPUsXA/1cW7GTNdlfZ0LVp9G9dGuG+L/MwFH1wIsiy6t9pWmAFxBqRv
rEqFNj+smCakgXkzTcLdxuGp17ichxgPYrDiqndQkgYxEhJFKSbF4BR6ECpMVoUIsofnvmAYbTve
I/ZcGm7JH2Zn0xq3gdjm8YmIp3VDFsY7iLSbE/+uku7WpW5yjYV25GuDIeTUj0ZnPrShP27TpMen
i2h2nTt4v/BN7xFtE+qIvH5vCnmPRMsFyel2nL5fVvblwfSA3spyPSYMxBYN1E2LBnJikY8rfZ+9
KqkW4ZYuNTw/yDsuMq2cLWpQf+Vb4AIGJEgeHk3h3kLSGM6amkEoctx6to+dArR9U9TmhRBXJAsy
/cBWsYqaDpRqNvxO7PLZpE6wQRZ7T8L66rMSJk0vv2OI5wA3yHN9lE/0b7QieCE8MNiE5I1Jvd8W
bffLJQymzgoABHjdoINW4kFYX6kq1+Rvib0asftGCMk8qjEDboY9nF4Dbg4jo4H9ZYwJsDxoFU7y
yIH+4bdE2mrQJ6MMCa5XQzg1OA4u314y/Iqr7J67BeZqj1FyRmeV7rALDU0/jm7VbDRMgOvCg5Ud
KATHsqWcbh+HCBcVYhCIVOpgJDaX96i6VPaIsKcLji0oe0b1giNNShsOp8RcmbMyBY0ps5ucoTh1
Xw2Ed/RFCJxDJptn1NthOsIQm6TLwdcHCOHmsZ45NzkZVMSvD/+4fXrKhjfLTn47ErH5UHdb20ru
BbW5i4dEkpBIWL595e2qvkXu0P0IN0IWYmdrLb4rrvNAvQw8ppQpQN0mZbOJLXqZRj+Ca8kOgWac
VWa/DVAPH/rSIiysJRqs6R7ryqk3ipXehIM3osCLD8pBzFaXN8022y15n1QWGiiybujvusoKT7Q5
t11SvIiu3GNRDjcN4LVVCzloo2K0dONA0KWaTUnJlP2erA4BXKl64jrXU4nqtCxcm1l3hx5RpcBk
0HTBMyzpOVL0c242VvOdg+nW8CJz5ROePuPecMe6P50WkhheZyevSd/GFpA/XvbxUJjihJylwNut
nwiftKk2orqGc/REbtXAqUUoa/CdOxoyTSYbu5AAI1brYPNHYjqccLx1L26SPYgee9HcpUCrFYDb
oHfUeC385iG5tY2FcZ+0ilViNy8VcWk7Y6KG5sIMHahhr4aiPEzML4GtyVcmW7sk8V97Wk878mEu
ht7kR2VWn/yG0CyQn3IQlO1WNhg1BNLAYqbK/tQ8jt9gY8IqS8TAloxxIhKIt6J671EW27pZbqzw
Az+bzFBXXLaLQ0fsytrUKiLtfO9P31RyzR4WGy12zyyHfmy083I+0jFKsq3laW9aLBj9nPC9c609
SzEybiZEgta0t+PkOlTYZ1BZAn4Ysk1C7gOit9E62wXjJJq9DZ3G5InK7LYzx+axId8zqa0jwJKY
L0DUe8cp001JxOMqUL6/mzqskCqBoa7Sr5QmAUIcUvqcFFTwe0SmxpAiD6hdaw6bQ/bjt+qGK5ZC
nzmrUYk+wyi47afBwDf0pCbEb2Jk0ahy/4zIH5uODyteR/wwZLrYW7NUriKbu3voO8885+TR+4qG
P2l1iNBonRNvsaY7AWS8zp/J52IGqiyyFlDqgQcq9ob9RUTXxWwppKeFeLFNb/bVu6tJRUevI4Nw
DPwUzcv0bFau5MNR0Tcl9fJOfHOCdfusjV9TBk5cxo2JPK3aR8yqpxSCatlbxgZD3z4nwG/w9QKZ
UwtKOeFu7ZZvVarfF9tkgSgXwy5uUD+BNiacjxoqRsTQWebTviUyYOe6hMxJK1q3ue2t4iiDaI3J
e2XF2n5ICCoPtGGk8eQVWz32j5R8mUEL8WxoWUQBBxNvaWrRZpTqBSAN/gJDg3+kVe7OV/5ZBaW9
pzDx6CbDc9Jh/pbRFUHKn7ZI/xhtE5F4MhzsCXG8YQwf+hwPb0Tws2OrR+hYAnpO8D9UJJtsrB7g
XYgkStnFu4OdGZVmN6e6dxuHsmgDZeCI9LUhoIEBhraD9auP/cMIVuTDtLUOoqNF7yX0tRt5ZjrN
KJ6xbJa76VSED7oTDZAQpm67vGx+vcGB+eURQkzQ8aTd1dAOh5KYLyA+YfISK/2f5T0aDLGkOLTv
FdfTHQZVk2APVwOonxXraX6PwnvqaM38OEmKutg2otugJF2wViAK82vts8uh9s475U45xl2u4U+m
hnKXpVi+Ry2AlTkq8Fm42bdLj/K3mRtnJ27Uh0bjYeb8ywtll/6q6RH2Dh3boeaEu+WpHHrsymlI
eYSWMqu3nhgaXL1PtcVP9++7YYYam+yXiVmIOCZi0nSE/ycvAhxiUGp5JZ3hw57/L6l21y5wo4+x
1UHi6WF06VtlX0NsmJvS8sevKcy2Pdr534OL+BFmZPvMlOeMs4nU9qDzD11nGE/6LIdYnqZb78Iq
rZ+xITlGxEX9MIaDgQxQVbter+M31/TelmfahE0ntLre29AbtrGLkzXXmvCGKUUjfwkVhvaFgWAj
UWH+hlSBx9wRybNfk1hgIts/uMrRnqzKNFbLZ7EiThkdKByxlOQ/Tl700LrSPzlIbXYd7GxW8N7L
coAAez1yuareM5uuHudBf67Sqr7Zbp9spG7W31ISTjwfodKJQVpKad9LxIIHR1pYhrDa3zOBy2t5
is9s14u84Bv1lL9GiGvdaFKngA1QryPFst8CP3penhq24R0VFWWDSve2IJAkVkCl32qR08B1Wutb
ZThM5uOtexpxS1PR3Y1gakgpiMqD0Sv9Hkgco8u79bhqytbzIbvwHnYD5701xvLS6JVFDscwriM9
l796612bMvO7m3FUVVfrF5lJdTOpDv59QqGda2FlP0ms2o2m1cGlg+ZzG9nHdTCK4hdZnFndGz+4
08qNZfXyOlq9gCViRJvlX2A66vjB6Q7ZVBl0OQQsbnPtWyffVMncVSQwa9mVuqW6qlz/6ikkdEbZ
NpgVPa7JjcguQYeCjh1mymevFf/rJgdNXJYn6H7ifY/afdkfJ2jI+Btj/ZZmlrr4DYyUnrSI747M
n787FEEIkNIPbmNpJBe9wq9cKNv7cvmylmdQh6jXnpdXDwye9jkazWSr6KZ/NRiul/9i+32+ZtFp
PGQsp88KBuk2YsT7JKL378cmpSdec4Cix9Czc9hMDE3z4v7TiSVP5aOAtPDR+wcNLgHhncjqNbcj
0tXPYmx3y38JhGfTCIbymWgxa4NqOoG78bf8mEi2Hqz98j5Ks41Z3Js+2WNNlgrX3J3jaMlHFxJu
OH9HAGDhtICefGpMUFmjN6HdIpPtnenBaXkGgJZ2FXNKPE1VaR1NnPe7BINoa7ryTZJVYw/T8B17
+BFsfYzPBEOad7vSf/VaOnxz8ujUA5zgARFFfdUjShru/AIdKzN1Sfs1M0Vw0EHS7ALwZ19Gc15e
aNrJsFXUNU5cz7Ot0NHWO17xuvyxlB7S7bF0br3tEftbAjpZ3jVJp3vf6+1LUjfO0UY4tyWMffzG
TWoyFn4jXEF3pUfy6Gd69TrTDJfdnwVOqCBzcS3CYHgwstheLW/YdcOXst30GSyNONH1hE01734R
QUpApflZjvA0J6JXDv1gm2+Tax2WXSSElPTfcDSgMsXi0Q6ByC+vdAjLZa6XeU9x4gCTGRmr//5h
dlZnbfThDcrYF1qN+853UhTk1mZ5S1Sl6DCmmMKBXgdPaoTy4Dss0pArA3YoDLWqmsp4LJtYXCbV
a+vlsw9ldKTMM73B+mJ9ZgzkEhIs/VnqTO3bcXqkzYFS0yJdfShr/KeJlT+3ZJT83Ss0S+QTyP5B
J87h6mn0BZY/NNF0S0O3eEVFXh6Vn7LGHdr0m5SMZW/biVy8CubnMcokRk8zoEZsyvvfo9O0iBnC
smEsD9ybjdnl77vWRvvaUxhFbdtnp4EY8r9fYKadTS70X14ImUmIgp/MIJ1Xr45ZnvIFa4ZmEJ3E
T6wNe+wn888OE7/1ZSZ73Yx+DRhn7qGRDicflS4p0wC/ApgCssxQ9LV4oevE+YJkTvqFsKurjEKm
JoUgaN2S7rVMYVZ4Lljkquu4qrZ3HxHPMXHR0vQ6i1XDAqurW4Qy+C16DB8SXKKm+6hqCzlIs9W9
0t8XrGC5xPw4Y6qRwm3N/kQE8PSELXrT+CZov3xh0aM9Y8Tkh0MoeZWefwR9N9t/K3EaOu9QF6wB
Y1e5V1ewqg6tFoVITONtMrtnLbO+KGMcssSz31oTQ75pdt2hdZS5i2bPUGOX5EWRUXOa4EmckcqX
fzch4Qg4ofx0/tKKE8kthAUsN7FV5qeWqKsagNvei1Fd//v4/3/e8uRlIxYe7/zaYeYThsV0Xl62
vMHyjKmr+R/LzX8fZBj31xKl26olFpG1E4FMAKEwfVpAUzoNV/XkNeOV95KIJDWU5mnxVrgW9ZeY
FVCkqWkPoQlJxQfJeCBi3Dzb1DgXT8QElqdq3qStzly37JjzFwCUjQAoK7xcDi4IVNvDe+hxiCD3
fLtKh0PkQ7JEt6JWkyVLfP9Zy0VgSLZe9+BaxCsuT+jm9JaUVLhTPm+WW+lZpzh1EIP5nGZgXhoI
eEr/IzWNDxTNaWTLZiSCbLLBitONMXd+r4j0ysdtXHUf8Ijl2SWy1UTP04Cm3Fp29UCT/+KGdQOf
isPDWQaLNAXLK1N8A0CMzFVSda/Lh6M6ilYc4oJeziVHOZ2U9ZMq3hXmAu4ON8Y6D3iladSLnkSo
aNE/n4gt4FiBe5/WiTIuMRaG3fLY8teiYYruCOyG7ZgCRaFI79ZQ2AoXYtUlLAlMWHYsIvkFIx2r
OJnNcWQTQjm+tD3TsZcm5WHRaI9Q/PAzmt3NQmuftywtXV9sjTknw/OIzShHBLASaeNaov0CykS+
Z4AqdEP1inyB+QD8fXcbB/lpuZ8T/7ZOBhtAGFo/I0jwuAXpAYJ7gWcGrXxDUBGLZWDujk3JIYkz
oqSwWiCdxUnYqfqptQBx6RGN1KSFL2Q27sXBCEOwROoGK7rQNERKX9thi32LrXjnygo3EkBbmPFr
S9nxKdJhXJMRTDwHDhbmOuCHMQoYuEuJrijnNAQjMUesisIhSi/41TfN78QNMD23dUp7Tdysrij3
tXQesonIO1iFb0uE2xLVBlumOC23ajpnlPi1vtiBwum2KnWmQ1GLtwmNxzXIYMm07qMmq+g8mYAw
8Il4x5aXXnGSduusAXxaVxrr9MSGAe7CWYkxPu0DF+hgO2M7AhNjSJdiFjA6fys6o71pMfALAiPe
lN1OZ5WI7Azko7xPY5UihQudq+3g1EmAH67xTdprmpAuptpAnLrWEKcAyJ2PSWmFz4qlMZcGNFSa
AE8riwevBUtZzRr6lJl1CbZPH5F+9sFjCtJxK7KM+DWCgu4aqhoolqIED0zNNo2S+GSMdDgSG8Zo
1hvGoZzjESPLv5I65+7+mnPcOZIR6EK2b0R6TubQk2VDxNIjiGGD5ax58eYBLJpNJv9ucN0XKNkx
N+mu9itM41fd99SaCRhSb9m+OZGGZG6g2UBBBKxic9I1TnkX05uXGrtxMB8jYcJEbGyW4F5yiAQL
HegSTsp53cX4xFMOkGnUe5wkF/wz5unfjXTQCCBPRICZy58gyv1VIUfSTRxwnPOH6Oe8kgF7y6ot
u+hvxN2Sc0fJiQAO9w0o9XBsOEFPSiUPcZHZuwyXxGl5qPjvrY4kG7oK9ts0pw5mwzCCipp16PG8
MUehbXV3+AhTeuJUax4xtMG4ssJyk7UB4StZE2XEuM6/cxfyPaOhBiJvCQNU4aQfey8dz3Y+XNIE
dKBugh1egvQIOm1Py2a5S/SDi4hxdmHoswRf4t3o50+ybOBq2pugwBA5zEr7ad5g7822edGSlKZH
AqaaJN5Bf1mCC6OAXVg23sybX24F/73Fm4lVUdHLB8ben6B29aflljUE//fu8gcdgDvey/Lwby6f
mF0yKbmboWUmO3h59WnZ5BXjWMCM7e/d5THgDXTWUdfjLyLAJhCESkf4XFeISQHiCOe1DfE7wloY
V978UtxMvF5Mcm3n1bDWLEJeJ7gKrlGWZ6yCGbiYnBACum6URlFjYp3tKUPTAjV3Uy/frG6iUGPp
TwGkvhklIs+gcPDCjYwXQDaNk6bIlsrwT2k1V8Rl4zBbX2H1yf8eknbO4jGWtPT5V7F8krTmHApY
ruvaoRBeuxvi9Ftv7QTKHsaE0YBiMo9Ty7DVcnZuJDVDGiHBI+U13ACTgKwf9cPJtqzhhNAloBuA
yFXOZh2oiOExhU7EEolBG5uxWpsQN/5z32+JcQ/a7Gj2SYFvt4uAZwiChvzy1NbFNpujPqgV8GNv
TRxHmRsWuyhoX7LZ4jDO58oyHCy3/t9jmHdOla8qOq78Llqo+dsStcE1mfJkm0U1ua4SQT29QgBR
xEajLscKNenhsCc1Q9HdZTFmSuslLQBR6kPizUC1Xcsy95seTL7JfcumMK0mvg1C3fpKu1T0pK8t
kR+UgEMeF+FhMRcIVDynoIJpQ5ryl5+b8IuC+iW36+HsdYLIq+dFpFw0k38DwQZVRevIRqUhKCJ6
SxYtcay7uMvGOBwf+qoc147S4A56kPIImCR8vjF72jRZF1GLNW1SBOU+T53oMUfYT2KbiQEgykNK
ysm8XHFJHTDc/smkwruFb4G/jFCgJ+JaWEbhlyVzadyZk1Y85nVBldgRj+i0izUEyXRf491zKb58
GD4E3LyaR+sEXxBp2unFQCe2IphF7hwzS+EKQUVrI9KAuzz0X7Iu+V3rQXld7lGLZwooSRjNEh8u
mG9b70g/UeC7xldrac5WWAbqCzOP32G3bJfH3bKji2BGxtERKM/rvN5Lmdh3v5efNZGCGz8V1JQq
hWpzRABjTvZLSaTgu0Wf/1jGGEvbsGjepTHZmyEsaArNf/VSfV2B08RJSNhqk4dg5jIj0o665Nrs
dmP9Tk7Liem8/1NZmLsdARAml+le11VEKWcX5/1wV7fUSRp45WxEU8aIJwb/mFQAYpksGt9KqxEP
5PZLSPwHCwMmHo2djY8t7XbWHm+V0rw3MTbxoejTK42UFgZ1ZD6G860xnkhdjmchrQUlkVZ9empS
a3yKMlCopo0pfpxGuUH7pTjUDZbGLMEOm+jI3MopOLkTI1DWjvVRj2zz0BTZn5lKs2qLsnwDXkNv
I24otlkTQQIC0RnM/A4vJhZFnWvlTxc++2l3CEuhvw1efGoGCOiJE1YvrjlkR9hh9RoFF/Vk/dY0
ms1OuFxGDBxqPlp1ZH+DupL7OmwdIrvwPKdcCn1FKAYIi/NgyOCPSBWWwBkRt8UhfezrqnyraXAQ
gJbhycRUaA3iBt4ejwWOhTgS6gX8YebiKItHlZC1AvISSfaz4475AbZMAbuXMz12PHGOCVwfaXWN
vIZvjUtdcQc/2eJHqK/LPTDovLVe0blxK9J/QyIVgyl6OGiIbt/dIdvXk8x/ep86W9Al4a3Lhs9q
KMcLbVFq37Zwj65nm0/2vJm66WIn1NFz3UpZsbiMfxU/Mj/J1CPap3WLtGJF/kO/iQNnfBL2VB67
iG5bINJNIBGLFCMNbSgGDv+uEB8mxcpVNOhriDnRj9cwlQhAC9YFqEYEzZuhaexT4IfyxfcpW4A/
+QrnUgKlyvJCg6hdu7nv7MrU1ml9jOMvL8NEPkXTp+93KKIyXFnQ8OBVwv/aadaonlVeMYJWU4zy
eTbmuM4fLamGdAf4Mpzzqj1sdApfDQUuBJDhLvei/ARpzH9qx4R10fBu4Pp/rZDN00DkQmBGuvlq
B9V/7i5/pcNJk3QmPEsM4M/OwOA8jNaHJZppXwUhkpX5blUPH11toLgz+38a3Ae3Dvd6CM3zYUQM
cPYSnwmuRQXYdgBlU7WEnlaH9ErjkboJ5V3d+eXntO+ReEQvJDe4e7ok4yHUPfc+GfrchpEkUomp
f8G9ZIfWP7rqfiTN5PeiGLsN4p38IQuZJcU++La8BuYMKDT56ON6hzYxebXi4VMHGA1+NfW+zQZX
jmdWf3qHtB4iQPATyQPFnyBeNSmmjtJmWJbgLVqw1Ct8VM1pdB3nJZhIGEmYEew1dyI3B9zrVgxd
/xBnxmcWh9PRmhp1tSZ3Y5DE+VYysueJ9do5Tv+cc84XwlIPsRZCLh09Y0ZhEJNoe3KLPjzftE0L
/tVy7HPZqWdZZS9GhXc8EdNXZkpIGZ7JuqZR8b3RyKyqW3iD4VR277zmI62tYaUqToyaVvG6wtC4
HhX1rdEvWaLhunif5ABprFmTHOl8CDr8eXEcwMs9iKoB+xHpu8oKWgqm2JQoJR0oM8VrG2zToegK
fb6+yq1GPs4WX0y0EnPEBl1hFoydOaytlDQOWZjucz1aPnjWwjllqaCnZxMNotI2PFI9mvYis69J
qkefEWYOAj4JTQLsueuSgbVrOGqbkRH5VzP8tsiVJABelFehYXYFTGXcmqR9GzSMIJ7M7UvSNl8A
i+vnLCwJ1Jzrm45X29/eJ8nF4b5RtvHS4+EiTiE37gUXTxLymoyZbyFeJ/zD0LY2WkT2geM4JtB6
MzwSuVusG6If9s1EYY5EB3XsbAECv8bfEyoPDj6m1hUglZF4BUVdIQYJRfdLXi2YHzMe5pog0t7S
Ly7vZQ3HgHhfc/2fb1CZ2QYm3YuTE2/i+Wnz3cTJDjUy8c99lB3xBXNUdPFcpbE46mlWnsuAPq5h
NBvR2cM9mgbtZqhuv9yznY6Y2Sxprg0xTGAEi2hFc2tju7H4nU7yd20b1i7n29+GDQDxDPgJOA3M
pSlTsTVJkdVNKRoZBEi8Ysnq14YXW59+91pEyXhxem9EUNloV6Fb+XkcMbtqpX4m3/J/N7Xcu1r7
h07GY58ECAs1wdQinoazBl47i4zkNdZG96whn4MSlfgPY9r6D5yVI+JvYzYL1/mfwc70dYL37UCb
KnnO8mNdN94JEKJ7CnXtuREYZ4umoULqmNNNFmAYbYzuDZmY6wmA1S5ts2lnRvjQl8V0k7fqHGTm
se8b/zkzNAQwcfzYEmO7Ghy/uTFEudK7ZT3LqoX3j/5JI8SVCVZFmlb/CvyvvVK88G6NcnPWFZ39
VkfA7f0RWGNglEeaxuVmqhoJhp7XKrvyT7zda6r37zGLqjdzTj4ISNmABVp+zp3H7xiexcZKeoeY
ixkAl9NA4NNkV4t4tJWivnDS+lHt7bL4RYX3QWWx+QR83NullMc2ZZPo+9azQ1C6xG4rpzkBIW3e
HJ1aegjvbPFXkrstV2YM7hLP4o9e5s68hO+fkNjnZ2KC8HNHRrwJZQO8iwJvKoLXkKhtLtpZ9CuY
Z5TacHAQwOLbxovnPQlRwdLouu7H48JCSHK0pV4E7W404sepm/v3gbbRzal9nWHd0JliLnVAEWyS
hdbkG/a7qEhxcTXi2XLpsoCvnh5MLc42pAolB6gBwS6j90ELv/nOe5pAbZ3/Q42Grprh5pfeY7Zk
OvG98kp4UVYiQUTgbCxIh1tNjp2drVyO2A3h2cEmJbbBM2AQ9C1ysWkGjMXmIA5WRD6cK7N3u9Ap
sVCvLwhfWVPM9X90LhbQ48lVc5OH2m30jdVB2o9NAZrOjbrziL+a9O7Q2RuSfqrZzuzd7jOXELO7
IM/OA4kVja+4hsXhhx26PTscoPrWNtIoGxjwYpvpOE5WleiKRzPBlM0u0H8yWArxsdkp8RoqeHRp
ET6VSYq3DwHulgKWcSfsVb9zAtfDiiSj+tsCijRa9WWRikMQqrdaTKaSM4EU8XwYUlGpd3uuH8ii
IJyfRaXqcxlzlZf1eAwR4O+ZcQQrwzezrV5kM1xG1ueazK0za+Ub0bHHMVD961Bn1yptxZG5SUGO
lEmZL4nEmWkWV7fmM1JENg+tXZ31VLtmkZnevBRWj0YuOJBqrspppkeXNMv2BMc1ZyMOjoaea48w
6g0CmziVibt33uuUHmXRvqlwF0MNvSlPZDetmowjmdSPy0N5aiCnzcl0gXdzI23jJYx196XTlYG8
1H/v4posjeq9G/ZkS5f3JJYUgJ3K3HeDxLBvpVtPUidxcf1HkhMGhnQn6mIfakx1chvkdVJ+AdDs
V7Cmvmynre7JHOQNY8P50StjLWQY4v528SsrbDRh/JW0nb+rSFI7qFAN7wpdUlIM/jrPrYxkJ6t5
hjm9yWh/HP4GOkg7pPSXiwq1S/HM0aAoVavojBJmFY4/qp2Xu+JrCAHMJkMQHPrJH04xiLmxY54j
aw9LLs6Kb4WsGCIocWcAGc9tNEwYPzgSydgO7xhPJpIrwoQGE7h75iwIKYP63loCNmeYPrGGKMix
qv2tI536YFPAmGsH4XXZxAOWd7swuo0fqjURKe7Lskkp7Y5mDR8qB8xAMvauSsJkj9Ebb4vjY8HR
gE9EbXZtAKFuLSiKCPJUeshUpJ/SoDc3ed6UX1SqHpUIPuBnHliLd0ytGAoSfOQrr/WyW/FlArjh
Abx1AAXkrqGdgyAl05BtdbCYch9YH22fFzXRqPFZCXSVtuIqZdyguuZU7An8EXH+ovmpPOtUa5MQ
6bZiQeOn2ngifqcnoKcuz/DEWKiEOhryfo48QbRXKMO4jg3LTJm5FXMTLdkjsrX5TbJug0T11DqW
ukJLg3s2RCwpJSKznIYzmS/U3dBmK3gUJ53Ct99woqWdOFlpzOwaMOOWIqZ/9xoF5yn8aoTrv7XS
LU8Z0xE0ojJ4myCe7N5Y5Be4W7LiAYHJtnPN/hLtiagLH0KIWq82kLvO0PtrZc7dwBxyPhQX91h5
xYdRR8YDOpYzCbjVUbRO8eoWxqkgJZmGDFTmGMQZxYok/hnGk0r2vWcGL1U/9i/mlLIMSX/Tx1JX
zQ4bnJUaGWOBH+ChhH+X51Ji9kkqYHs0XvWmF2izWloQunLXRePGh1SOM1lFZQdFbhETDDZOA3VP
ieGMMyi/EBeSHJgDoYoeBspn0qY93Ov2S6TUQ1hY+bdPIiDiLwQpdfhciilbd20qPwkGo4Hj2n8E
bXan8EsmojazeNvfV4WXnHJbGlfKVPo1p9VyRY5HGHKtXRQZMwVlqU+3Q1hbqSg+yzB4V9SED3Tw
KPexfKfm/BjX2Jgqkb8EymyfQIOvCJyjS888NNdr/bvVPPR2Gj3j1tARt9E1PdoQbZBj5+JN9wTJ
zaNG+R9W15vpIBcYRjd77nODUr3X/I6n7NUtkel0EEtZvoICpqlt7ajrzfbnS2N03nPultcozbcU
rezTICmSjfUICYSRDot4wOxND8XOpKrzMHR6yJqgeXcgwz0sD0UgmbeF7MqDXUpqhlw1s1gPtlxW
07Uqe6qayCwv8HV/WZS01rLV3vNqIjGyrfrH2AqHR8MGcwAZy6Nz0yIiopuc2B66/0HP3ljx3bAq
VRuCHtID/RjYewgvYQ6bgspHSBKVWT24SCCUZ4bXHrvWXVHPwNGovbqEtk6Nbe2wpiU7oQnsz21M
KIBZ3h2bk6mA4mxqlk1pK6MpMlKcLCiqHoh48vd4G80NyM5Xc8o4+ab8scKZsrUgKiF4MV4daH0H
or+YMBgSLcNYgrYESOnXcbAFTUq2heX/ZxP7tX9KyUTPGafK7xxW+3nZaI1CDIEvkJLLHAKqdMoI
snpG7G88ua1MD3qcZasyzBwInaxDEUAQvjANnvU0JvQOavWUzJsqX1WahQLJrZyNoqu6MYxz1Ovp
p1EgbRxHo9s6ROCeFLMVSt0iQcWpJWhuWrLU8qQ40Is2tplXYQ0fSvMhBrOzxu0HRFajbDj2Wr+H
6+ICZo56DDyFdypAjuyMuHpuHdc7U9L2zn4YJZsmmaqt5sh8NaWNvMRaMT03yYs1j7uhEXv7Lu/r
F6QhLOQbZa411UDBRmYCywQiWT+UJztDrOF4TX5ApX7yy1kFU3w3RKpex24Rg47tQx9zYgb6K2Qa
dQ1SpFdpZWpHzQjvkOfc2yBb52VUnO8xRrG/6+ouGqHyoRmSExo4VX/5VTd9Dg5rUDsQyW65i0Dk
4khilAdKBCtdFtHJHAzroRRjhbx0stZQUz5Eo8Rj3//ue6N9nBrSGzqJGqilBHtlLblLDVdipxoz
Vqd+NWMTDrYVBe+JNXS7tNf1oxm3j5xodPJNHe5Fi17UqeEVGvNPNZLlip7OdOo7smuDbm5gx4F1
HpbNcKPqU5FEGZIvFyHnIUmsPTmpqd/yPlabmmj53OyrNUJj8elU0yGfhPNUORgHiKmUsLt/k9aG
rrhNhnvvVhdmB8QwxjpyW4IjXmkHAjic5eSeqE92zdzas3zrXgQ+Sm1qeqkgY5RyVJ1AtQ4StJCC
gErc7vT4zeJ3XIUseeLmliU9aQRh1B0NCiont+1WwjL9O7rpBNZqZB2Wu4i9OnDUKnycPOMClh3N
WleTDuFxrghNv6Jmltv/Ye9MuttG0qz9V/rUHnmAwBDAojcEOFMSNdryBkeyLczzjF//PYDzK2W5
uqu6971IJCfRJAgEIt733udSKbXgCgIVKRaSSDoIRvSYS6KmB83j2L1miogehGyax4IpMqz319xS
1efIYlcESv7nrfUxpbfrzZzpe9kqyCcxXT3qqXNDGaV/nSdKXOXUI2wilS8fa8cCW8GQoaFBwowK
1l0G0zcKo4/6UI+PUdUMlNETDAAWguVuyOo7sxHRJk5n3Z2b3nw2YFlswO+3X/lKNMaiuHjrWvu5
DoL7iFMdkvdMfVFtr92M/YQ2C8v21rdmYLqj/b64ZEUsUWiHQXpMVTRPao54h2ocaVoN2mkRWicZ
puOtrmI2C6NmcQ4U6RGTbX0Squafkl2qG8MlTvvcs9vOfyPUCm18aX3tY1PuihbGvaTyq3UpyheB
AAv+hPJACbl0iTtIXhEufoEDH55zYCjewGr8aLXIEwpHCe4ZP5HbJ9j4UuRG1ChpFaTVGD6uG2Uq
sN8A9TnBtqq8WTqzN5QyuqybqKPBUYX621rBDdFZknwIuKfrfgqGyGMVXFtGr0OikG8RU3+ln04k
mr/EA+qKsi3otCGv1nBBRlWMmh12Jkos3FZ+RlO3bxd2e6KwwIMnZrey3auxQv3JUMw9SbH2waTs
6yY1bbwqdFgC0Zk82O+k0zn3LQUucOB2tqcd0GwZ0nQX2Jx+1vSzuZSHK4M4q9UZ93/EhX9DXBCc
+VgA/3vkwl2SvoVF9va3//jJhLKdFlTKn3/0J3HBgaoAFU+aQgdwCPMHV/T/Jy6o+h/kAFjSlALy
tGHzVF6w4vnPv+lyeQbnsGVrNDYosf7t78QF/Q+Locmkn2aI5W/t/xVxQVN/s23zABPtBe7Ax4BU
Zv/Gnqn7xM5HKEGnxaCB+Upshqk8yUXhlfrhy1DPxE7MBHsko/A65TGxQc0XnTZijyPTI2uH8+So
lpsrBpzgRbhUQUhSY8M4OviZT6pBh9cAplcHtb7txDEc8gjU8Z5mV+LqvW/gWm3fqccGm7nBvZJF
0CVtso8m7eCETrIzgJ+eZj1zTg3cQw9hEQ2DggJZaZkvpUlkKaJEVCsqKcx9M5LvvNz63CiGOwqg
mZMKvUc6FCaW5wVdTOIQl5uAHOUpyRYapZK8wK0UKIXIz1g3QVMKoME+rWsMowAyuZtkGePK3CCX
+/uL1yfWTbS8ZL31+QYTNbyNg4MLOAPxPfUH4d0zxtGMjDTSJM7rhpCXDKe0bx3MWDBBEuLkNEtq
33qrLbwskSGNNQLCAk1CHsPBEM9zerYzRy0wnij3XRUxdPoXeASa12NrweMV5OfPTaz1wDiRjrpT
sugr/KjHzstseIPluzyDdL9Ufj9vm9vMogVbNcge88X3EdfZVQz2d9w0gDWrGYS/mn5NZyRxCM++
2WA2F+z9vT/ENegp1q7khubnpR6+qQPp2ehAOztk2dLDh6kUXHzOiIvDAjFuw7eGYSE9Y6zETdAK
7WYcJoN8q9Zf8IiEmcMaPIDHTY4KgUpSNAGI904LL8r0oWP1uKHtQojBnN0MDS06aZzrWO8u/oQ9
rRWk9SDHjkYqh7mqihsskr2r1S1uCbPQb8raBB3V4/2O0v5xKvDfJg5F4HFN/miUTaCY4Y3oa47O
dk53A9GMQAz1QwOI9tYInXoTUn/c60PQGxvCrICl18O0NyqML0Y7uzb1tY3AEp1L37joFti0YWzO
wJDMiwpoaC/tGeEhzznlwN5T1G3mix5EGC+wYss+CurkGl8d8/ek39BTx6PchC+9IqYdXfDd+ty8
vMCKMvpPpkQhPj9j94IHZLQgrpnwgxThaw0WuViDme4doeAPoeyE0Eo7Ddoc782l9NvVnPOr+C2O
dblrrOYfHhtq6L8JuGn0AAT5ZGdFOOphUrDn5yw6a6dABMQ/DrZzubk++LnJQwJOCRGGY221rrlI
XTSaqfuYnM71nljYs4mas8ScJUwiEQBLYBFT1fezGTyP0UxzZDLEma7WiCHxhBsOpp1uXdNA8/QF
NAobTtklQX+rJ1SQOjqZtHZrA+xjJFIWz5h+7fGaLHIOwljFtrezb6swaxAT1HeHOMxWYLYr4N2d
ft0speHVGqRLJAMQjb+nNkoioxspdS6bIX0zTH45e+GCruKnrLHYFwQxNEk6YglEGeXUpAJoGjKZ
WtfqLUMC6FFlsBb5aOgNRJAxuw9Y/FYJCQrOoudZ1TqptWTR9f121XvFi+hriphur7fWx0a7J5Ez
NfeNRgmo8fHjz/Bys9aKMBg52OwgqTIvdt702kl3nxKtmUACDZXv9tee7Jgc44ZQ8NuxY3MwnZE+
DgfCyipPmFQtuYzVW4ek2s3Ige1WVD1dtSXGUQ9o9chVW4MOqjxBnkL5qVYA6PydEYn51Ki5SsVF
zw46IZaqGeD5r7CmgelhATpRbGqf9XliNEYPuxNF/mT57HRIzpReFHI2VV8bKK4ukIsCVZbV6kRO
RVYN3FqH193MYNLyS9MT0mBGyg8U1+idTRehpgloQNmswiErG7hU/NIQLWqiVfrYLbdws250O1KK
DezEcO8Q5XpaD4BpER6vt5qieGjVrmQajp4vsvX8ZJlIhV20cDlFhOXilRJWSXhgg8QIF3W0CMBW
BZTBwnejU8X2glafTqIX2KOQvJg4l3b63NwjTfO5EjX6gWX71Lyazc9VJ1chAEHuuuikmM+bnKk5
LEoXhgzuGdv6iOy43q6vTPEVe2PpYPddXg03fPL8hUrrx/h9MwTp9iCig6m3OyrhFZXSI0oRZHEM
h1t7ogUJLOeLSB+GauyPv3339W5P1RkTItWEqWG1ve6GhjwbAbz7sN5bN5jXck5L65KK6X3ItY7C
uUUhsNfxxJaIw1dJFloa5DpVyASdoyNZDlAq8d48zXRchNNt/WrJTFbgGc+3o6ReZSnESbd5Bye0
vgwmipcUgcems0h56LAlej6OQXy2Rneiqy4jyTmi1eNJhSM1IqOdHGYBah8+qi0DBCrPYOvEA2q2
UXYHFfMfzcDmtG4gYDOAoRI2EBil4dZxrdgpjxQkKfmAFcxA/WC+8w8pPbUD5VSvJHHxZC067M/N
+lgzd/dqUJNWswx262ZV+H3eVZchj0g2cJCBrEluhbHEYXZYz/5A1RgN1pvrxnZMiuwoKum4theK
0PamVPE6Wou4cN20uCFRGfundQzKZob0sA2RVIPibER/p5QYbwHtfFv/3XW8XT/Lb3dnX1X2sHF2
lmkzIUSw57ekeiWUP7j+I0oCYP2Fgla+6RfG+LppcA14TcYeKdTAuGiyqvaiNT8y5l/bccGUCEPx
SNAZDyJ/UnwLrVO+HJnhQlYWtE/xMOAZwLiP2xXgIQpmJt7uKk6GUqwcS2ycfajtxBC8wkYGrk1R
166GXSMFA3OFCLcrmmQPDi8/idTOTyTi8l7rTRyK+Wl95vNpLUOZTJfn87n1pesLYt8ojyhu9RQd
O3IX8wAKEy4p9+xlp6Dnrk6fd3/dQoBLlB9De4VQDoExLy4SNEObdT+WaJn7c1wVe/gM5l7nG+ci
H09GnKqXuJeodDrn2JeKvQ/kItyv858r2YYyjHaqSDAl0MG5/01oGC8yxDyqYWWvN9enP1/zXz1G
sZ7kESVI3M8Xr7eyHLG2ViEvWWSN6+a3v18f+9Q7dmMFA0Uh03g99coyI5NivVnVVo6ZZhTLhB0D
/siA3o3FrvLV9EC+/fCXS+jn3fVWPxswdNcr7Hp/vcx+3qWN5GU9fC98WHiSNXXcrpccsVx8amoy
5AMslyAcXNTSDBvRXzMgjf27mBaABh4+6g72oa8AxVIuuqybUUpaPVyRXdKWMaFqRND6cPH+VA9P
U9ef/BltwCHqE3+PRmbbVQdjIqnBKoMRjeRyc0TDhkxU0YrT70/95VVRFw+oHjM+6PqqnHpdUR5n
yeizzZfZR7OcDeutddNlxG7+egYj0Vyf10dZtVQZMj1ePy8XKy2k3HlYb076yOn6+S6iMUMX9kSf
ngGfIomvWAtstNU+8+vN//rI51v6i1dnfcf1sbER6P6luz7826vCKbRRpC1/8Ovm+q//+iDrS9f7
USV51Xr/17/4+VZqDFFeOFabn6UkSfu39//8FL8+9ufTn+/+P3isyEizq9S637EQIscAjQfr0YUk
jnYNFSutl4M6TE/IQEd3jmjgjVqFsUSdvXYgSaCf85c4okxYOOVLUuo9k9kZr0GtGnvASFe0++VX
lsIfTNHfWhlWRE8J8G6ocXaF4OVaYRB5JjAcRk34TOdL9bo48U8WYhoDNwxqXmylTWNN2zQiqwM+
3ZNeRFxpbMDBM1eUjdX3T2R9D15XqV+wBs8bGniu7CWxSvFZCfEsxyJ33GT5msYSdDN0DREWXPgs
iQlnWixaCcv2NsaL2rYQvBt0JX1dpntygX/6FskN9jj4+HT7V2Dd0dayvtpxS0oXbfrtJHuyu2vM
CNo33BlQP3Z9QUCZqMDOwynSj7KzTmRAgDFtklOosN/SxjgXVAEZ+qLX0IaTFYY/huk9dfx9jB0P
kSg28SAPv7Q9/Qeph0eDqjh9nfEU6Poe/dYdyXw4JQIan03Q/bDQ/ZSqQxfbpyIRW/kuqFm5dXX7
RZHWD1PBs7UUMDL0liF/int9ekjQXejJzqzJGmhK3M8G6sMw1UFhp/dY8pKXPnuHyLelwa8RcJm+
ZTVzXfjOdFfVazXJCe68DixwooWeDjkrDqMrgZ99mx0bDUXuNMciAc6mkmt9jHVcvayy92Nd8cta
RGkFMnVrujJ7bB9v6tyQIl8HL83oAFykNetSOGnxwLd8da3f006xNiOguhGf/Q6cQe7CZnuLOdJP
MVdq10CYj44jeoJM8exL4TMjUW5miwloxmw1Ny3S3FqfETHHo1wiChkC7dEeagIk0gLcQWU8RIb9
aJcpqYsaq/cgSTiegjtykfZtNQ5U0pWtQ2HDw4Wb7iPL2RPfS8RX1l3yKPZ/KH1z4b8KKA0q42ao
CXWLGOAaQ2vcOWSYJByWmiYuqSKmdmykJ3NW7xxaj0fMwfVJlVilgWnf4d9JjuSL3JaVsaFVSBWY
fAXXKK19X1WetgTqGQNxuYCg9d0oULN2zoC0hAiCwKjoC7bvYplu4c8Yj0P5RTFshlViWBaQGJx6
gEXkLDEnAjZgL+nL6NUrjNIJwQmi1/dVLx9yV48ndUeojb/PzeRrpZvvxAk9EMqtfi2b4kvJEOVO
PUFjdtWp7jDO9V7MQ39DAzZqjAkjKqtIA8o2ryKxBjON79NDLFBCWV3rDol2bxVdc53yD3WOHoup
sc6MrBt1DBn7nuSlUp3koS4LSs6jQQFL+UGcxguCzR3cvYNT4vOzYiKGssBq94hPItb5TUS4W/PD
D+G0+YbzaMqqOVTnLgbQZEAS2FRWRYZwR6ZZoeDhwq/L6WaeZqpaTPMgrSsl6XU9LVm0e2SoIXKz
UB2gdh48n8GpyPpm26aoHzqoLFmDT80OR9hX8W3la6ikgoQUQ5VrgDN6SBdq1COMfJLmM5EXCSKW
vN4l9J5w6wEwAmLhmumB9iAKJMU/LXyuUJrOtq2Mc6LK6p7Ol452e0h2Mml+DK1DuA1jlKtOWbeN
Wta4BiKJqG1u83i4Br1u7WjLD4X9NHTkJpKE2Hq2UH9Eljibk46MZojeZloDhh0SnCow6DYcX7vc
6W98Ub/otTkQLDflAOnZ0eKl79OPMoJxbTu1PBQ9UcbIFo3yjTIF36knKtXQklfHHw+zVTyRhJoj
BE1+IG+AZz+H6Z42W4uDUM8eAWLRYHY8ZFrdNZWXRs8sZJTpQz9puQe6ytgOJChugcgXO2fSPWDq
iC01svSi8Q1P8jdcEsQiDM9tkJ6oX6WcIOmjE/XPyA0TYgdxXwPTQhx8lwvrvcfKh7yN2Lr45PSW
vq0AMRVIGLxR/RgQS3mD1n/YhPclYa9SlJP9DuwDRtESc3BTzrfasoOILqBhE5B1PTpoVRLD3ypa
5rhdUpIzqee4HXBXeWMXvZfD1k4Lkle6fj8kXctMuIazztLT5lJFrqFD2LgOf0J3ULmQ0VDRPNJ+
TDk2ozj6ahgoBc3CUJBf9+9d02pkCZWcF+goohA5KHlHnvjWSzIH/TKRSIHdsuhh+HTGLWLPra8G
0NCmiQaXxJ1Sg1TPwPvMSvhqmKR3+dj8QT6EQxHt0f2+GnpyKlgN7+rBPHeWZd1qeXhT02ldEhnp
jqb2LfVmAriydmSJ5uSAQgOByL+8r1LtwFWYrKLWQKcf6VsRz1+KMC43VdxaW8CxuQc7kexKIgE3
0ZDcw2ZAOkyNXQ/HNyDIqhfzizRNispyRuimiJ+iuAZ4aVyjmAZvNCaGwhe6qefmrQwRdc/KW+tE
1Wn0O2C+qBCPLFdvyZsQTAvCO3SgN0aoIRkv77Jcu9ozucRgexD0KON2dtrCDdpAO06ItqHR0cXv
9ee2onXbhVyXKSA8GIr+LH0GyCQq1fsywMBa5zERs4HyYOBX2RKKvAGZGbhdS5xlCJVkM8YjXT9H
3c8ttAnkekLSYh+7+YLw5ToWi/+XnyyTS/DuxOhg0NIDnnrGeRnSAy7NAyytnR+7Dqlod8z8QHNK
+VwS39iBuKCX1pyL3ng30PpqZX0qDNh4dGUEMlNqgWFsI9CEUOlroCWj1v+uheNTN7MfaUtWxGth
/OM6tjjrmwy0LDPYXjzgkziZQXw7A+YQCrJzyBLdFr1p4GlxiBYyf09xC+7MCpFwSEoBxV+axqb9
5sd9RBGVKaDuNHfq4ugdQZr0Ojp+Gy+cWQQ/WXNQxTeCzvlSK/mDg6twoxnRREm4vKrRaciL/ZDL
9CRi4gZ7VXW2idB3ZTc8sMrlQs1ZV2vkURoIyoYJrykCP9VF7vLEYu+xEE1yGSJtO5B+mhGgw2ju
3ITLMoTsD5NVp5fQzNfsZL6Z9PIecyXObXL6SpgrDXYQHB/l0j6GZDhD5bh3+ppas40AM9AHdw5K
+HBVQRKTF1ZgbPJasiJUvpIUgvOZtZeL6aeADmHvqDbl1yBy5B0B9+CInG8MR6DFmMxD8UbpmXbw
rHvsyLWqnhyHK3ik4XGr+nzcdmlEB4ZEzcnUj8RuPpTGNF6hhGdbVdFqjxo4atWoXHr35EMYVhzv
tO4gAkpfMHrOU5N8SEKlNx3XJE/t0BDHxo9IYa6Vyk6BsEZBaEjV8W4gnDXBT8GUcC+K0tpaaXcs
BzXEEo6XgxBgmwHRUe+HdryESDjuZts8Wga13XRwtkyTFBdWVO2yhkU52dwmRliz9hqHTdFToATS
gp5QbaL9kpYYI4c+Dlod73WLqOM2LcmVGAmS0cmcEJG1A8xPlKL23llE+s7pEqqLS8MzSVkEdbZh
ohV+RM1NnGu7jOsr00j/YGblg249SkfTnnzCMIZgaMiHI3ERp45ZVa9NT+G8a8WLIZjcO1K/zwLz
S6k36NPVe82GilNUOdBDbQ6w6SBwU4v5oRBK744Z4C2VPT6FSkvFB01GXHaHdDyjQus2plQpJo8P
WLlVVylQVEmslrgxsUuKa0ujE2Xv+N3M7cnrbVxFpJnyQh+TqlrPLzaMB1TrYjvoEEcMnzSTQWm+
dQGdOWxhrSfJ2tlM9MUicIQdMIB84moztOnTlCHzkFH2Q8+lhpZSYjDS7IZYTUXdFJWgbPdThFmL
JBXEHraLUzQ5h6K2TK+WlHwTFCwHza9SN5ZluU3xfrPKgR/cxTt6izepxb+cFmbpOk3MtUG/Uzsu
WiPS2RJ/updEWsjVqfvWMfa7Ohq2fZhYr3Ubdwx4NP8LQ3IydW/W2D4h9AcMRVW9mqkxIEp0/Xlb
g+IAeDy+YaPi2wlku1mMjlDC4SorixQysIVxOJG1hZaWQtoZGH/ImYqkoek1JlnOMamV5VsKHHfx
Hcxn2a9xYP2pOKPyfzcjaW3QqWDlES9DPHzUM1clczR32L1/AqK+zZLlB0SpwW/Gss3I3TSrp90A
IxBXJfR3giKSWUP43f/sshGuTXAsyMhjWv8GKQEBtcNkOXesB7XJb0JlfEpQ3FipgjPWRHBTmGS2
zjszgeRpQpjZFKOBXFMfb4pgOBW+jxNQvonZx3wwBM52LgWEtoBGc4A+dkOdTLugWSJ4zKrGc2vc
0hoKEHcjVSX2/FnFltTNGOz4yXRvSqc71i5Ugkzl3DInZRR2KNeobfcy53pxyypFJH6/adBOb0qc
AJu8BkIctt/p236E3bw8ReExEBzaloHkO/hR0TzblQhxtD6oODGAPrYOo7ZP3gDX5wA2Vc9FNLDh
G7Kjg5bWggPr2lGqFytQ+50XK4H9wNkzmCVWfMTH8GNo6KXRDxV320Zm5msxEUu2KLcS0iqd6F3W
JkU/jslGoiIbaVcDVZXUR+bIUzSKiU1dfIRzlYCwng5hNL3DyRYuQchHYh75AGqfH7Sw7jaYZJNK
+UqEYIdnG9mZ333RW/2xFv1Vz5V7IonvnJhfKYsDSqnZ8F13cLW1XJ9YyFedPrpRFD4HROduSoBE
epDY1HFaoq6VkBVyGFwd4IL7MAuZ94UkRYMwAcDpZIiJWxy3DaPapAl3zG0qpQ7aGcHsvRtBeLMr
KOmprTcUJpm2Ab2bcMK4ok4ATwEaa5clTJ60UbC6cnjTq+bVXoKl5iXOtoTwlw7xy6S9hUJ7DUho
37QoWDf5xNW5Ndyo15pb0q1lqtAoGa0boUscZRFXZWNx3xoCoiPunQbJ4lQ56SGFU7aYJl2j656j
yfRv6uGU2gu8VIh3sFVAa7u+2yks47k1PExQH7RWVeHEJB9OTX9aqVB9yzzYNdijtyGYT9fRh4lv
lGMyx+XjTZP0UhKXdp35gMH4uRs+nJCqt6U9DyYeSLJvvynms5RwTy0doBqQILiPrBbpE21kxwiw
GhXrFGI/za9jWEI5KtEHYTABsTrBYuuYqVYx8cgCTwcWsMjVgLsoiyw5s5trqNAUrBKD4SG+OhDU
gk591wK/3k98BLfUGPn4zKGOH6+iZ64xHa2dJTeLubtPW03ztYoTkq+E6vdL19XKxlLR2ytCoH43
mX5b+DJL+4oiK9ri3PA6JyjBCDnPSVN/tFnxsWhKzCy66/NC27BS8RceTxW9hINjeyKyySZOmZ0r
X4HL43xpzAkLxXcjza5EyZrHaq4JT2fe2S8gA1HpN0SCPzeTRpcY6KhHLulGe8l8YipYCjAYz0hO
2/C70gfRrkoOI6t7t83KJy6aN3o53+Pft13U3cvvtESsu0OPMYG8h8jtK3T+c8DRoobkbsETAStQ
MjdzHvRBey3i1Nk5yF9061jGFrJXXT6GFKA3tnGTmEgMgHZisQiv1OOGjTkkV2nSPkVmgSzvyZog
PfbzwzhG90E0HaO2vG2bbFfXt2YiXgu+gt8Hrqy+lyGLjUG5NubM4aVcxqhEbzPL3bIwndHbc+Iy
oQ2wMSbBG2Tp51l02kafu30XVx9xKEm7Y5XQZ629M5Vn25kOpane9B2hE3WE963w+bpmZX0z5v5e
8GvpvkGkvKuGxqM9z0+VMcYH7ZWmgp4yQWRV6sq4z3ZtxhGD8btwoc97ixEhUutvs5TfrAwgCbtY
1bKPrnG+6V33nufvQ4MzP6fBAYL8mTbSfaWQ6GvlH/imQKqXH0GYPKZm8ZT3+gyXAdaolst3h+N5
j4z5NWeCvehNAd4gnNvobfGWxjVWOfmYR7SIjJRCwXg0cHakonw0gUbUjfpFas0jIuxdONIqLmz/
3h5nKst9/ZHYyb0TvAykgYpGuYS4tTuCY0pQF6+1VM6p0u2QjGA4CUIk7X0FKIKUGE9o1RclupZz
9Jq0zc8suNWbGilTSbZH0NrIFEdwuOGdryFYUPQb2ZsfpkbsfGAsxSqh3/Y9eBp6aFSRmGkTQN/K
6OS3QCubQxh8rccAOHc73Ss+S0GpokCLHuY/0yD/T9D37wR9JHHC/P/vBX23P4f/eC3q5B8Efb/+
6E9Bn9T+sE1NMFM1NKKSbElG0Z+CPun8IS3VUFliGRr/Ezz1p6DPMIlQwme/qvp025Kkb6JSWLR+
hvqHgQHedDRKHiZTBvN/I+jTfoswMGzT0g1pIjVUTce2rN9ScbTeqlhFBsUR/SuxMmraPvhU8eIu
3AxdNqML8WeXiG+3C/wP00qCw7rq+MtO+y/yjrTf8o7WT0EYFEZ1m33xT6LCvlGVuaKmdMwRm+9K
039kgnCDKF+7NZm67ZjN39QWEDZmV3RJFRbL7QfWnHDRHVNME7AI//VHEr/FBS0fiewlISRJLMg6
7d92TI09V5Y2F1BBcw9rHvBttYPylqbyR9bG6pW88UNVNO1e14N3w4So35mWxdqZ+a4J+DOXctvl
A40LUjh4A+TmyIYTN0diD6AJR0KpV3RfCrIO7ZLw6II+KsKVwyBQOyvB+Pyvv5GGCBTz/ZI6+yuS
j29kqpKjzeaAshGQ/mNaRcUqE3dfnR9VB1eyLqE/2SFQ7jLyXb0k14qkgGX8HMVBK419knWbRnet
oi0v9pg/Yd8WVAjtL+j9nX+TpaFxqP/TZ6P/oBuWvpwky/H+1ySNtqGjNNgSxngwPPiD5Q26ivhb
taZ9AIty0zghzG+9eoX035ITCDxGDNUxBZoM5SKZ7zLlLlCnf/u5/unARDyrqnwqRKOk8/4eABir
CnYSuIAHIzlWLQkJCMZCIED4tkotv7Rmu2F5wLqE/MW9CIaXEliyV+TVCK9g1m6yPvw3B+bvuS4G
Q4iqk6xFvBu/pVhkwH/dVVOjkXHjj/1Bp8S9M0n7OKN72KrCVm6cNMLl799QEwruqyGNn3INBzV2
IXc2rGiXwYPbIEkjMY15IxUIBWskeJDTpJPBVczqlxrmmoTxczMTp7pJMUVCxzGYhozaxepVGvDG
Ltfi+kYb7yA9EjqgUJ5kWUYK6aiQEE6KRu9PTIdzqACKM+5QQV2MRhIxVjZHUy9esa4RIAhAF4yK
RtBrc4sLQdkV+G3xhXgoiz4iKn8U1gi0GKHmeNKgUtV2I9wCDEpgmpgoDfmA5EDYT//6LBHGP58n
0tRYZGic96qjCuO3HZxnDum6WUu5aIBOigH4Vg/8c5U7zlnEeg0Th/DdpLL76+iPt/R7Z8T7eX4F
kX1VKEIgNVNAE+IBOFMe+1lnctqxbJm9qfsxhCyHx6nyzwkz5XPoy+9lFUd7wg8d9q/wGJUGz5JK
+eq3y+rNdtx0FA1wASFPgzCuiS2enAlDSthIFWQWm/VW4gTBCUPUtXcsjDPkrW/XAKl1k4bOrebb
MMwKZhqdBdexyR/4GbvbtB3Hw4qA6Imduw/9u5EVwpXYWm2vsrR/mglzY1oesgwsKyb+qrLl4Jm9
hnW2QMpntlm8X0hErkaz1DULQtjDZVAq8/hoGHNy0zplciPM96mjuD2OWnAjUiAa8wxAiwucp1oU
VTi5IxeUdXIIp8aAqBB48YXcshaGIJ++rVL4y0vsu8ByksVfJvKVMN9IStLaPOGLA3tBkUgo03Rr
SfVqm0QKEMdqexoTxMsQVvVxRWxQ1aPyUpTakQt77JEh0m8GqpJnzaaJTge7uXRwsYGokgYXGiNt
LWLfsk6nJ+2/5X3/bJeFfVp/IyuFDYnzQ/Pk0LTgYdVXEwfGKagQlIyDCXujLY7Asm+DkpQyqdDA
4ap6dCoZ3cvWPhOZQpCvlkT3vtJH92pMh45c9lu9Lqq9olTaY4fOl5HZzl1rxP0orOBilnxH7KvT
7aBwtAhqn5suheMjY0noi1HdO1YUHwu9hoFQtt+Q3iJ0HGkXTU7XuKidXScxEbhLG2jWxFWeEkQG
UpRkA7Rx8cVYNs2k6gd/CG+TWfqsYPD6hYXGMGuPDzGKhhOI5+huRKq8i3ujhDTPLD+nbAkGSJ+v
Bf7Vq2/Rw4ji6FhN3dvSyr52mTJeeyLnnCQ5z12rg8Yc9QdDrZS7aDCYb3BPN9SnHJvgydIKOBgT
arWStqGZzkeyZ+QSQCPvzKCOjgDoEPQtd2dMfb+eSEy+R4s8m7ILj4F+W8IPynGfiWK+rC/WnUXb
b+fG1skie5dJ6J5l0AT39bJJs5lav0U9db07VQymNd2XG6O29utDhpoDuKWVTjcOK5Njh3shEhzv
yJWh8xv0xRCuPawbNTZPYUotTV1eEdoq5VEbixRGWQlg5rpuWsEORcH+fb2X1fZ8y9ejl6MxNjc9
y0nyER7XzQjR254lzUYG7Q0onNEnFVvVNrI1tnVKU3Yeq/LqpAOycppvj0EuKXW180UpcyRouvNC
WV8C+W2GR72g2k9WO1VDeQhNOR06qE+bwiLype3o66o4CggPoZbbzaxEVkCHXSGOx20VAaFs8U1m
KmlgBvksGoseUDCZPGoGtdquMqRXifF7WnTOtbZZoAhigPT+2lPM7aaXzmrPVA32MqQmbsUp/fWg
P0ytVm98Z4lRctJz6sfHkfNiqzTGEiOdHgkUQ28ztOY2ysxLV+Ppw/xc7xMj1baBnAd3smndOBWS
ehLI5l0wsNruwUQc1TL6EAxtO3TzBiNXZ3sp/DuvFrblavuZBjfr8xzDxejj0M2+tXpHpAKD7wGX
KdXAzr4tlDb0FGqDjdrjqirRECiTeKZ7R01kaqqrFeb3S6qjP8KBo2hpuyslEo0Ey80UIohv46wN
I4oPC+4kpT93nHOCSTEFHcvEGDZR/MXsuvaqkjAVVwvdZxmf5tTWnyaO5br5aqtKec+V6jaD9nQG
woy8wx4fpTVE+84kQgutIM5f5AaOYaEfx5U6DOO3xWqHvLq57dBDumR1HulT2p4xO47bYHh2jXg+
hLZdYUlE18MbvAbp/GgFiDOjgMS2nDLpPskbJAd0N1QnUiiku3RZa9QqWnbm97uSfQB9PpBXWdKf
TFRfblmFLyAveTDTAmq4ZiO/mJN9DkNzY9g+kZe2Pu3mzK68MQoWpGFOI0nR3lUlB/mGuLeEyOiS
G08SRY/9dwSCdhl1YoFCe7ig6fx/7J1HcuTKtmWnUvbbhWeQDqCsfjVCC2oyyWR2YKkutNYYfS33
uC+DN5+awO/AAAQYDIEA3M/Ze23LKOg898O5KBPtbYGP4+fQy8m2O3hxliIir+6W3it2TMiyvVsX
8c7WotMyzrsoHd7iUkKMpuBFtwBbp7rznIbzxu6p6HA6aq8EIVDOncq93w/uZnbC5cGrHxsnMU5B
GxN1UU0V/14WgTqPG+uw4NZoSLoghIYbgZHd67knTn62gDdJ1hSwxyMiPOdUgWTcViF31pny6Q2l
Wv8m12iIOc1JhDYyC7ozlBWKpPyuA+XY6GOVHKy+uq1RW9zp/k96DygMA+szgxrnmDrNT8yZZKKR
PnHUOv/e6C335MxLQ1gpeqAQSyuGF2t6EvZinMFXczv2OijQpD/tdXp0D4Qe5CsV2Ve2XvVOcOor
qbDOidqFtx5tuDJ9hgKKsEdksH3YnMAiN6Kp9l6bwa9G53hEyX9XD1tslOGKjBMqn7ihi1Q8GAlA
Fc3fUAJBpUL80aoDL7RxIUmtPDdoIAvy4rUOnkLV+3QBKixhdRyvnJnglK6P9Vs/T/dLCCcg8l9o
pZNckg/x0UJttmK0HB0oW77X0QxoKG1XNu8Mr0l3bydRCyg2zs8TjtSNn/QBQKFhXdPNPvhWfZ81
Q3OY2l3batURKMBwGKafjVOUtyhDEDMFzR/V4lmrMeQGTpoYdeb6aCS1tvNkjzErLevETa2g39U5
a99A/iFCELEEXLvI8rgU9sH0Zg4yxWLmLaRxjkdMK7UjEgB+NDxHFwTFuiiMes8ZBI7CgtO5JBbz
27CDLIG+YIQqNtGNX3Nd8TEWiZscYEMAyuMmG7psszROuulbF8BIZW46VG+J+JnZ8fIQdVszppdu
dr63bxIYkfbsnfqqN6GBe4hzqFWsBsqRrT9kLz0aQa0GhlU19XkcNy5YtZeGcqFHvG0+9eUbjLdq
18X+i9nTsYiXYNOPZDfxcixa3ih2POEln/pZ/6MB5LIKZjd5anoJb5utr8Og0XE26GEaGvICRPuQ
ZLqhOmdgEV8yaE+brk+5NXUJQAzXeBlw+R+0iAh7tdn3w3TDnYWPePDOUcc9anDS6ZlM+WOq+Vsk
uuLWK8goxvNHC34WARmNibmhcZ1/NqLgQRuT4afltkdqD7deQ9/atCF5NnkhzoSuOWcflfdWH8zT
xDRO7YnHUZw9k6SmerFQkmcxDTj1SKX+qq/OzeDbKzvHdZcV8XjT9HCJez2tEK1341m4M80rgi+2
dmOyqQU/fLBru3Gs9F3s5F8aJmTEBMXhjVpTC4hKmH10t1/TnteaVa3b2tnHiVebg31Sh9ChOE3Q
R/bT4v/h0ifeDPpM/llinYQm8APKBaxIEjmGOsAig3TBZfo1YyhKyM6AT0nr7V0n+mSn6XcGUzra
kQ9TJsQDZJPVWAbVk56ZzqGmgoPzba6e1L7eoaMfNoO3R/6qMZSG87fMUfNUQtdEH1o/qC2yT42T
kIY/tRkeHIxfO07jAuZGjkbUcypcQo31CLTMepxT+Ppp1qATWRDCNFRbjrU1R+DbjelOHzs6fmH9
HPI/uG08uQYRa+WMotm2eTmA7uobgHHUjUf3xsCC4NkjTkEdUAfVWeOpw2j9FAljbbe8QDK+7F05
6szATKkaJPkFYBU/H1KnzMo9MN0obzyuv8h1nXLlaNq90QIInhdUCeNSLpSe5bZb2frKtStQCcQ1
JkyQzqALPQBGGb07imgnWwufrN5r4IxP3plq/XgaGNj1yABPalGSL5t/2EYGBKQObcbW5HPmljmL
n7HRzluBhsit6THUzmNWoS93+RGdGZeD6Eb0lOcViShTkxC0Gzb7qa3vTIgeOzN2Pms6PUzqxMWG
ccNxKkSyJRoUO0yYkxiWfW5K8S1o9PCsZc2BDBvBs8U3AyhmvtjwUR+TO3+J7xrahgQ7vDDCOyQg
2aeYlzpjVVsR8MYlknCcjruA54zaioz0Lxi/0nVtJm8aBhkDbN86SeIXUTD1aqyjxRiNpBZ7jYEg
5ifofydr6au7uIfRo/dTRP0azEWui2UjZP0+fIkqEJQDqWz7YtIkvDrkLG1n2cc6JHb3yODkLZJ3
mMwe9zNUJN2sN1V9MA3YhFCbm+ghLUSw7xAC6ZhDaR8gVQtGGmMU1G6Ahx5HF+VYPcAm0r+W/RPj
/ACH0UxfYWJUYzSugUg3gExHithg23iLBo30C8FvqjZiKFWoOHWv/2mjfcESk36FGFLRvffe0IZ1
xwJudsAI3QOOcqTUhuITrhM1pZMrL5dqkTsb0USCKEf/Z7vwPgE5QioTR8Pr9K1tO2jDJn/VNWgk
IaettKLyaG7ouxGH4ioFLYAY0AQ3oz1pFik2JSpVkiuzb5Pfv3uSUu/l3rpOvVfd9DV4BF5M7sYE
rW1efCyp6OvKOKUrlIB5GZgOlbnxR8BHXY1BsVk07tto+rQ1cR5f03crqfKHSs9BVdRTvpMV5AKN
xg8uHPdcgVAmWKZ/72m0kQuQHQdLtvkcVKVB4pg7Y/Kd11BYd37tHMu4A+8XCrxrGSn1uh9Zn4Rf
fW76OMOtyRTY9oN8HfljcmOi8mrryn1MXTn6KpovcVFWb3wlt1oWvDY1aPu4qb/SnKTVBktk344O
luYBbGlMZxXZgfXEpD09265BUy6zKJihIr/TMp9ASBMsU5rhau2014HLTxEza09m8A34VkhfDJAH
45Nv1li+owM+MX+/6E/+ctejx9y3aEce6Y+vAWYjUEGSbQvXZVIuQK3RjKzKIL8Zsor+ff8J45Z+
o2MqQW+MAxeIAx8iRDpbEemQcW+crKnXhqYPR9/pvhQUjlajR0KFCduD6x7XL0dH4WC4DxEF6kIT
D15yHOxZ/0qnig5wiM+ZduR8SPTiS81Yap8O3qO+iFtENjFgO8PZe0ZkoG72HSgvQ7fNXkaKygct
TgYAukF9X9bxs2uneP8IT+BbGwAeUU8KdN/dEjSw9ZISlU+/iDM0DW11dCco5MbgEhEs7xuhZn7y
pWqLgQIBOuG4SVtePaDCR0+Mwacywe5Qza8EcYybIjRHeuN9TaEacfgSA1tH1vtoaEgfCjyoJwOQ
KEqgdWwiz23bABQt5zSA1Pp+KBFbaURiRAmPpzNjWuBOAdOi+jC2KAuDIgBXGh/HLoVFXC7jBvma
dTL6kvtm7pbEECyflG/LoXSNK9vBwoUoRyaWBBbqBVzsPTDoSX8pC3+npaOdcxWCUHQJfqiYU1Y4
mLL6m7dk3xJJHVoYA+IFMR1iE+R2gWt7iuLoqEyAyv9HyMJHT6BtQB5a/cuHg0p8PHp0/XY3j9Gz
Z5IEWWHIH8S7myIcaO3MRL0GcSufixQTU+4fGnkAlanTQrwUd5OZPn6TkaeKE1ItgI8SHfEjYg5u
6XhIte4mIB3ymGk5Q6/7vqJb08fDYxFUNykQnFORA14ifuzrnEPS06zW47TvtdNi3re53zPT1Lyt
iyxpZYho3IVhsjwFNVoQN1gQMo3ho7tvICU9x+7wqYEStlf+Pl3alCYYl1PTmGeS3jc0Uf3RfQZ+
iWB78N70KQccHczly+Ki8cDuHw/jUStFehotb76L5riG5qC1mxRdbehnBh9Ndgro2R/CTqv44noq
GXNxXOxAo6LdIQHSJi0/eZg2KK7azxMXLnJNT365/ODLJsFn0JyjPRYewOGk28TV/NlEbX43RouF
allUTBTXSbxwN27akhngbENZIhU6yqis9FlY3jtJe+uVZXGu+2LvcyZvNL3wOYrkVGuKkDK3W9Nb
0s8iz5tzUFBsCGLSUVv6ZaAiizuLeJzXyvfGHSYw75h14fDoa6juaT9036Gc792l2w9LZz+7blTu
+QkUhyCKCkK5gnNRJNpXHMXkxngk2k55BEpSt5ko+cO2YjD+Nayo8fTEILuT/T6E0aMIYvdnHgEM
6hpa75q4z0iRuClCcmEbfT7Udiu+5VBpmHo5fK+Iqw5kiz35ENGOA7wJaMuGuylDolNNbbRgY0Kz
7TEK7JeCS8dsZRb3FuRZPoXJshqJ0aqnPSWO9tRCR191US/uwhoxO8UEuMSi127cRgvxH/r2hsn+
HwiBDkwoxRGZCbQ6t7hPyf5+odgmGbnc4kHTnh1mcMD+o2ewDv1WbmE+NdZ93rl3nWmBo8sX0B+Y
arboBF4i5gjrpGcWHDYomBHs4shEcSyCOQHLX2qPEy5nQES3SVNyH9LE94awqKPzpZi67q4nWmCa
tFXs6Oa5sio+GN+wj2MyabumGtzbsclvvaSIb4i5QDahT2e6k+WRaybx5En/aObia2ozJEbjsiml
2jVB0rJGQL3pjAlUquif+pabcQsOnDz45Udb58PBDkingg6ESLOPip3QaeA2TQQeA42+OyEVtbx0
3CQj+C1tIUAtnRsM5fN7FHUM0cfGuFNlKd+x9rSNxJOhf60tu9oVZcktrPM+w/dA7FtF1imLSa+a
q2rXmybn2EQeFPnir/FcFwQajM98W/MRFCFzoBTvUWH2mKW9eSRmpTf3aahjVeUE4xKRSff0ekmp
Drclx0dW8+Z3mBIG2kj1rPdAVbsbypzOzWS8u31+Xzht8xgtBUHYIoTHiDYwt7mlNWM77Z35ffbH
O7/wSYhKu63DxwsSoYBG4hHLKsQ5MRNxhzDsLYSq99DXwY0boQEjJC1dAy7kAjCLex9MxDo1hTS0
t/dkz3Fq0bEhHDbeLTLiqIv7p0WAI/ScH7U1bQsHG8sIuGtjJfa8bbGzM1MnfKjWPMbH+bYf0X4L
4aCqHbvvOnrt80KOIo4FkhIgSzQEo+QY5G6jeoCMHVJJ05ZbyAMYgefG2ugV/GxVOWgBr24CRPkI
notD447FcUgBfcVebRzmlI/Dtu27OPfc9+YTTofcCTqwH0Nzwo/0HCIgvEvmyjynnbERtY3JdPYd
RLBVeRtomDyYQPqmKQ4asQ/RzMQzoqA39j3q/ZbpP6ViPFMWA+kRWOGCiPtLtxznOD71lh3fCY1e
M4OkViDrDfT7OGQk5NJ5eoDACNSn6bSbpNF4UjN8GB2KARhabz07MA6w3tOdwSRExidwXix8fgxs
xTkqvR7rtv9pnPx6jwYrgNACr9y15w0XHv6o6pwNmSs+wiU9Mc+I/n9C+idBIEu0U9E/xZPXfx5m
/XNP7jeht0uxjwy+YnwGCFqbJTqGfUQmKf35Oac1ZgAl2JcYhtejrg93YqIHXDHwSzr7BuW7e/Qn
4m4wAUBvNmvy3UxE7FVgree8DTkJtfTR4yk2MbKilWklwR5uRL+E62FyDzHz/zOwMCK1/VmcS8aM
QUfhKB3Mbs8Mt74F8tWfpoiqqUR3xpF41XO7P3CteqVVAZStKAlqmeTQwmho+JoeroXU5OwzvSon
4mrEGteNCO58Lq80TVIKJ4GxH7j1nhRyA+7vsMdscGMw3AA7wyI2uSI3YX8ORkaEle7VIEi0+hQL
ms1EkryM5Arvg0RDd1qfqaTm5xC+DmY+7Y8sqGv6E0H1YtnE1Wlpune8d92ZnZdWa8TLQtG/G+Gy
6UN362ZGg5U9OLgjESWwZYITn8hCnS5+6eaK1BecsGjEO8IlKJyd8wzOOjA5D+B9aK9roy7OEO+Z
IObTrZYw5It08BYZbOJpY4bxT5HU2Y40MPsEh8g7+t1rHpIAFRtJsBb4xEDhcmOn3GqySsbacopT
hN8BJYuVaLlg8AKnU4E/LV/5rbGbhpCin5vMGIC1cDgm1IWasQ6aQ9W39SYYHKRdaClWTsz9ZTED
HEA2UNG7CD7oDoodLYmi+2RCN8EOECQzHW1aTFlhjbfYnIgi6k+ofe8bzFD3UESJZpGXnYxfMDqU
9OBO9zQFGKvXnVfcubJNbU9Ge+tM92boRAcv4QqfFIh6wGem9yhvs3s31n6m2PFWRTeKw5gZ9Eb9
YTM0GfuC4hbUQHsDWWDvMYw9N2IiKmxJsyMJUcwUIsh58L73tW99KpqM26SNthXIf8KdOxS3Y4f8
b8z121TCa1oQ6v6YQr8jpfLAdY/MSd8QFGNzQhTK5WvkEnqgg6J67o34tuga/T2w0GFGoyDwezEe
yOju13neI+7mg1y3cV3s7abUTpWefSGvgODl0T9XhYP9S9juq482k/H+ydWt8KXpjHM8TvM5dHpz
EyUubFPL+z5HNjLWoETuGpnniL7ROynSG2yvUKcYkt4ZVRjcomMk1R6Rtk0B5TQw1IOGaXxLx3q3
xDndAwahBVBkxrZaQ2/TpLKzHyzTIVOo9V+SApNuhH6ZsevNlFFPGHLzZBhNfV/r5T0l+m2amtVX
kLQ/nbD/7pRFeQj8dn5BfXymtPBCFnd8GDuKS+p8UGdGoFf4MXUC1LsM8mueB0cQsvzOw5gzvk0/
2U2Ne4Byxr4t7OaxYGY6R2RA6NYs0TtggifnyxDhjyO7i66pCRUlTIwXGuD6Jivo5wzM3XZUtpj2
0e7EQNM+DWluH+uSSkUyQTyGaTW9Fr7zU2vBrydZpu8ZZ5qflp5Ra7GYy15dhK2SrlLsMaZzpu77
iCzlNkdhuZ8HzLxzQWezSUxt32suBrvWfY1weL8Uum/fwid6TetHQPjhs4AI/uJD+yUPIUZCnvjI
BHy9OdljVemUBVhV2xaypsvaMpN+pjajGTSuG8c+9zrIOl2c+EfLJvt6TQJCTQ4ni6IY34wmxXWG
BMOW/t/erejc6xLCcVlNaWsfxxl4NLMytXAkswWoa3lSa3ofc/coOwrg/OQTIGZgfjyHYjLlEheS
yGW9iMn6gWiXEJ6sZccrvUChB3yVeSrqs9HV+rG1+h+ECeGIVCiSUaJJOsUckmtQpQTXcPGWuDJL
cJDUjcvqJFdjifaoXa5GUevkG/rKELMk5QI7cwVdi83rwnGjeFun9GpjhxA/9QTqCS9P9WtfY/tA
L8PykDMBkxivLNg60/iqDkvVPvUEKf6HDH8GL+G3J0wrxFmIGV9raqSnUox8EVoS1afLttwZRtpC
rRnHPLLedu1lBQkjEp5D7450Tbl23QwijYFqCC/rr/vVx//bvuvm9e8t2jwog389cxY6pOd6Rc/Q
ni8wun6LalvTKr5KElGhKTk6jcuYkGq7sU/ZGAlr3Tk5ggw/3Y8jrhvmpeoAzUaS3FbHyZ2q9uyr
UEf5vO5ScHaofxFI9JF6RK0Zkddu9QS/iTxY7VILTx6m1lrfI0zNJUb619Op/ZfnJLgGx0SFfi6X
BDEqeN0pUWQxuaY21QN9zAw8S3tcEBVW4HI+dhWoPejEGcYUflZZTXYg46KVGVrZUX3NkTrdrl9r
Rkq9/FGpXxLRcfhL5WKQC1sguyZ3KdoSKzud6gpijUl5nqIem9eF2pdHCzNDjao5+L5q1WV5uVVv
JJQJmGoBMyHchphEkYt4xSc/GZA6oRfIHBrI6FyaldQ1IYC30mbniqpazTHlPl+ft17u7i3fQbHl
vWjEmxL7IvakZ03cosUur+sfOf4VoyierJQS7DhtZ1r5K0rnGqp+A9nBvGeAZp49hym+kRrrmRke
qKfhE5Ej92QXeztzTn9g9Sac1Wg/iZJ/mHeys4i9WivKNxB8x6Fose8EUbgnzvvW5nTDVIJQL6xR
HznTq1k7952ZhDehHe6iRRab4+AmSEVENGGMGHflzu03anH0ymmMrhCApVXAN8MToiLAD9zN2y6g
+j/XNtVNLOBZliNqScUR0OxtYGNPsfrbSbZXMeGuWpHcE4x6tuc2gL1xHrqaHmk/4yXs3+yseaBi
tu+R3+tg8qLZ+145b53IxbrsfHI80+9crTc0AXk/YbxPNA+9Vj1/J6dtpdk5XzeNWW/2vVVYOZ/M
0f2q6Xu9VVCf7rvX0WcBE6dBiKNfELTpss4JPbMjk8kCt/HYBr7jENUNOd0mKEzf9tSAbsMg/lKT
Z8XUIzNwCk3HErFFQudmyJlbBmDpCRFahzND+YI8CrfC5ehvrAyKON0cCjKeZ+5GCqh2h3EKPcrC
1M3okDp4z1kmVobFJ9cyEzsF5nDUQnIe6StEuwoswbbwsXOIvekzzbJyhvhVE+zaIXiMuzvSUK1t
CVvU9vsK/LGXb4giHpjTZq2HQbAIaQQKmoOWsQ8Q26ymuu7pWFGVNM341m+s57kzfTKGux63fvpE
iYrAGUox1Yy5ETFVsiMkZA3MGVeDs+BPE8Urv84/jA5LBXXSpKXBzQD/CBnbgRtoHoLFpodhRftl
iGu8zvo3JhAtP1kTwybnNrkRRVjixkeSuAu66m3urIKadPwtrjD4oIneoJAMtgtICN6w8TS7zg8s
phuHEOFUI0e94zPuG93cBmaOc6vIg30z2QcbkddaR7mz07U6JRq4wxmItXM3adq8ZZRs7osIfg1W
4eGQhKSA2FFnv0xzhSpJL86LH6EGyAkbXAqjfaSrvlvktEHtClOStfvReAKmoHEXgvzQ1su7GUAu
z5eOELsEmkhCfisFb9M9hs7kvmg9QB0rCPQdfUUEnU7wgsNcHH0midhBC36gFni5QjgGch/b3AS8
g9auikdbAICPcEGVpKuh9AkY8eicNj4aP3Qt6JUs2mhUJtrhhbTa5G6oSHJqw+FFLbrpNEGOek5A
yQc8U1JbP2rP8pljBeOLa0OCS/SQW+HyM4vj/mTGY/wQyziFMd9ZVWByrcr8g+su8meixU9h5JIp
bN0Qj7LyBmc414tDj6DrCXRzn7DuuU+TEe/mbBke9N58rovme6TnmJG6mVr1bBX3ZHKQTKIb49Ez
UourBlbZpsSiZORNtc19cint1rozmNkNZdGdEX5/ZbyT7hLKiNT9JjIEClDcbvKaA8Rk9D8226Cd
OAvGF4QesGGHcVwZns/QqWJYCPG8FtidHHO2bwsSS1YTuoad0GbBLzlx4DKIjLK/C6QnMm5sw36s
h4HukginLeWqdlVqbwTIiVur824mdFcH3OdEdufRtMEpUW2auJNq9RzyXt/9nDNCz0mffO4oz0dB
l38SUIcXAq6cSHBdSd9yYx5vAn+ubhPNeFKqm7qhKhmX+ilcmsMg+Pf/XllsSMfAX/T3Hqor13Jw
cxhCN3+3WiyDmfixa8Hpw19/GAea3l0eaCs0g588RIvPU942m2aZd44Ud0wCQ/i/fwnmP7g9PA9O
iKUbjqHTCLSkReD716e4CNv//i/jf/sBwIYEQf8hx7vtBb1574ZcAbSRjBRuZO+ZyfgcQUC1A1EZ
3REBsfbN3FhrCphB2gfKuDA6S7GpPhj5/eCFLx3N5SPTVf1OqkBVNeo/vGopuP7tg/NcXcc9gQ7f
RvX+11eNmyGzknLig/NBZGSO4R3DIbgzLEJFES/Ye2fwys00GMdBzNGeaVP6vlgHw06/xeN8E7S2
/3XaVoYXfROm/lpSzKH44/xEoOLYXL8YAlONeWhLsMI5fM7Tf3j9/2Bu4FP3TVwEni94G0pw/uFT
n4mUIA9clFzqCobuNsEdwGd4Ew5cGwTVR1QZxRrJ04Cl3/08iJjLg30LboGkQLO0t2j7Cfb65qRJ
c1iE99mXFZA6qd755T0kU1XtsTGO6zaPnH2X2Hd2l/Vr9Sb+xwL2Mlc///u/vjLKKzZx2zXx9+6j
m8sV8kfyrx1g6xLF4tcf5T/+zZ8GMEM3/0alyfMpkaOIMz1+k7+I7v7fdM4IF2A1Wc6+zn/6uwHM
wABmCexhFtNYYENw5f80gFnib9DXTcxahBpbriS0/7//+336P+HP8uHyq2l/2/5fRZ8/lHHR8SPn
Zfz11yU9V54LQcjFTsi09HdbkJ5HlR5oi3YmgjtfuyHD97Flckxl4s+1y74K5QBiDtn+HNW6Ouof
HpuCbtkQgYZVQD7L9fnUplqUBkhi0wvp/43+A+wFsp6gLT5GdImJrYK5mSqeZ9u2E6gqGBBqZyxn
v2qB/p3Z2OUgODMMHtVudVQm//566Ienux5zfVit0eUr5ZDifYByAKbn7//mt/862glTxuvDau23
Yy6vrNWANOQ+98nrMQxk3vRkQMecdcfKbQbG7QXQ5GWEY2YLLN4krEJuVXvVwhXtX7bTEk2oemRB
lmqgzDqqv1a7Mi7HJ3pc8jmvB6pNtbgeeTlc/tsP/+CfPfzbvrAovV2bitsI8n4v9Op4fSa1Zvnu
ravXYgffnVqCldYUYeWqWiS/1tSmifYZ9iWds8vDvcXMZvFbhgDy879+i799qWqzUN+/h+d6Q/Al
U0YBonbd2PTnZ3nSwWtDrDK58Zaoe85adRKWeRWtG4PCkTpQ7VNrl79Tp7TpaNbO6Iw7dZ7Oap96
OCeQqLYiAh/lP8lGgRwrljVD9T+vx5mj/SB6d9ypB64nv9q8PKl8gbj0aabfjXbTy9K74CclV9Ui
hq91hB8IIq8/zWEDglyBeVM5j7+ywm0ZSU+IaLmODQvWc4kV5aBWO0KvSxqkRyPKiw3VYUTYsuyg
Fn0L6EHn298YQR8f6L9t1X5Fp1ZrMDP2lAb1vRIiKH1BAucOPLssgalt3ClENIri3ZwayklyIaQ4
Qq0pgq0hK2hqM1vmt2WuPJpiHIGzak1MuX2YHPljCjSdpRdHw96HlKba/KrhH2KO+ZO7fVm14sfJ
mfl5zFNNCz/jUYVgz9WqJ4shCkPt5A8ipFVBZPOtejvF4vMv1Krn9CE1gxzLRglzG5AuZfN7Deaa
7BYjHKOYuL2+fNdIXNCUxA1e1RedrDapTbWw5Umt1tK8vvUk5FqhkTtVRjQXGxLEhdac28R5ze2j
+hQUB1itqf+m99p8mGx3ncgWg6JOJ1TUqXrO9XYaodis7B65YBjXrDoOPZAqLRwKOHjCvKV211Vc
aas5weSxvrwuJRqJZCGjNH0sfLK2qb4TW2vWfdCaB7VLfUPX7yrYLRWFpixYuMjjWH2tWlgVl81M
FkxnWT1oYNdgfoBJEwfhUaHEwUu/+lMd7kYbbTSzur1CiqvH1JpN+JhpZ9mBb7w5aTpVWrXmT9XA
dF+y6+tIa2kS9j+8bmwy2vyIUKxUqznxfulRiiV5ZvBc7RzGmicNQHi2UquBLCWqNbpeULaa8CaT
VUjqOqQDdIgoaR3C2SUdtaSD35UrMXJKO374WdeiljReFmrtuuktfrW1l+gPtavvw3dvmECalFj/
V67mticvy6GChsttb5BjonZFpFHsY8Z6BGi/VXbG9f7Xm8VvBAbruj3pJA2bk8b05dc7VG+7QK3H
WdfO9QkUlnkkCBC1a326vku1qd5vJUun9jDsJq8J9nFmzJBAyexQ71y93Qtm31GwfbWjrGmpuCPK
QPkR9ZPL9dwEz/rhfFVnR5m21E5kKc/COZxRyZa/YLnwe22fY3vbX3fZNiXQiF8e0RNcgS1u8ddF
uGTx2nWAV6tvpfQAcNf68JDICjPOOajH8ratNhNVQ1bbDoFHwN+HZHsBfCNJL05qQX0FvWNdw1uE
s0i9C2JDZXYVRgLOeYU1z920XCc52beNLD+qfUExf8FwnexMbE5ntYDhAQa31OFiRcjOrQVLb29w
d0RehrNBrrleyElaUH48Nu6zMdI/dwvEXSV0UrReORYP7nvtyZeLYUL45CNH2n4gsasT/LKNmi9Y
Fz4BHxGFNQEK/s8TvJFfpFosM1BVdA4EjJi176zDxTXAXMj6vYJUd5oO74U8C9B8UOrlx3ela183
u0YY21If+y0Qn5Ur8/PUIgyNN2eIB4gw/NhBb/y5cBWz+dc+tQkYhVK1WlUHqj+5bqp9Fp3GvUnT
Wm3Z3KGBw8mnuayqvR+e57LqwT7DJzsfBCqqXdPWN2ZByRnZAXFf7eQc9faxNMWw6bErbqBlWpuB
UC2yqwCgjUWebsyK8yyTQ8lODnpag54ktW92XlbV41xU7oMcRICeNQInCnRsXJk5pXCNV6lW1U61
qBQ8Wy40Rs3cNOTpdv0btTk8Wr0Dh08+iXpI7VWbs5D3rNREYV21UvyltoHKcev99UxI6eDGxk4B
/03+8NTDpRrPqNVIjT7l4YlcU5upCqG4bqsDr5uXh3M1blZHqj/K1BD6+pzq+Ovm5eHf/hslRNnl
kP/d8ZNyj6zj8grUrg+v8nLg5TnohpKkEXgmGF9u+gC8uOkB84WrLrcD0x42YYCgVe1Ti14+et1c
PO5O6mC1dv1btdkvdYTjn/gAjrKhIJNuIVepFyzkzsin0mzZtVOrl73X57n+K2SU+jrMMqzwv/6f
+pN/dvCHZ7w+/NtLVH/84fnls6p9U8yVwouJLPh77+3agFNrv21iwQWMOo1UbVWPTt7brv1GtWY7
2MQCZ/6hti49R9WDvB7326Z64F/uKyXMndq6jo2EUZ2lxgu/Pdflv/zTx/vBCdZwgRHz/+oqXl+7
WmvVRUqtXo/BssI3bVHS/PBWr8c4RuhQDAFUPIKbjmHv/GpXqu7lqHV85a5BaVRLxXNVYUQcsh6m
uhrk5cMAyzJHrC1Haao766oh328NwMvOpjACpFgIgX8/SHUFL0+pnuTaJbzsVNv6nE1bTIcosGlj
RJ42rqsRbzxngH/qMjDhuuZ025py88prknBrO421bFGqu2vbQmE6qNveBPTp2ZjajTujWhxsHTWh
0eiXFvSHljTEVgbUUcT79xoiDGZDL7eIm+wTMA96kXItkoZCtWbj8dkz1T9EZsKlUY4ufDWqSkhd
BDlmQpjOyARfa2fD5PoPcp07jurfRUXGkCuW9+9QLtROoaE1HEwcuARTPiE6bHaZHk46CnrvpE8d
LbLec06TXPQ2kQTgVDFP/6X7CAX6mCSMGRqV7CMXo5QeAUTCtls63+wegdMg50HXhdonGCFsLAOS
F2r3mPTtetyWIK64USx4gDRBak+dfF4az9vm6nbsyTuxWrSLQzZN+aZzCeYSIT8JR46r1Aej1tRC
PZBBW8U4Ti0uzsV4uixAFRzahfAadW1UbfgPbfnLqtqrF/HdbCe+lF8PJ18Qtr3KYt5v2MwH1cP/
cLAhr9bXnr5ac6RFgi8D2V/3YUHo+cdN9ajaF9dQ1yFsOBusAlhA/Xk4iQREo28Rcqv2XR9QaxiS
cSZOvr9STVv1/aq160K1b9V3rvapzU5p3q/blzViaqQ/awfIgnPn+gzqj9XfxSEaIWEbNG+4W/by
xsrYsLjkQqhNTd0iIzXZA7RXnGpD3nivh0ZxYZOSO/vrDwdllgRm0OGUgRpAzcjWmGTMhucSsuWb
MnsDOwyzXhnIwQQjWo8ypGOQmR1q0ZPg4WL+PiAEJdUjlCkfatGr1A9b5n/oBIGoy0+t0kGu1zDy
sikmDyh6e7Clp4xkEcKxx5Mlp2iGXFw3e5VKct1Wa+oYdbTarGS4yf8Ua1Vg5n8o1lq2MP9ttfZT
9zX6WKn98w9+lWqpxzr/n73zWm4Vytb1E7GLHG4JEsqSLccblb1sk0QQGZ7+fODu7bW9u/vUuT+1
VuEJAgQIJnOM8QeRbL2I7I9MreEnVSupU6pWtiicIKAkqshF/TNVS34X2Q3d1BEikkBtk+D9Z6rW
wJdTFBVy/pPzJvzr/5dULUhNsr5/V0Ko2WAKKiJ/QSEER5Pf9Zv8Bi40x9Jvp0sYWV1nmyBjCsj+
aupGQ1Q8P4Dfzd8rqFfwCWi8LDrK7inI/vEYhchFV9jvLTOIpnR+1mOba92iydVtMNwinJGFY8iL
10cBYVuWAk48F9VE0n38QqUyOmbwyx1pGNCP6pN4kZcCKtrEzoRiAaJJpTwsYyPYpyOoxi6MX4D6
PIfkVxA/7CLUqqcUTdcv5bS5LVIDuTFkwoAJ3vTEhTYlohLaoRs5nwmIwSw/zE3scszxfm6q6Xht
N1gzQEyYBpuhMKUE54+iKXPxfSn+2s380V9XaV5rXijq5jKqELVtYhTuPWNKGUgJ5tPPc/OCBsVC
VcOzNn0wL5onyRRMi9OA5V8tU7uafMP8yRXE5D+a6hyUz1vOH82b/8zOy36+BkTDlLOYvvZ/Nf/z
t887+tlvEBUa6GxGqQwKGElPI9e51U6zc+vng2oaxf/Mzq1Amwbcc/Nnk5/dzJvMs4BQQgcXeKj7
065/rSzNQ/jfe/xeOm+uzcP9uUl1vp0igXnm1zH9fN+8r19fNc9SBa5sYYpFfrYtvkOV6fzCKX7J
ivYC3GKqLXxnmOdU9F9p/zkrraeEnUEJlWYK0L5X/KkCzKt87+Pf5rD/+vi7htGopEG+m/NGv3Y3
z/77j38fZVBfSC6A6oJZcUWAIJ7euckcV06T2xz6Wrh2uIBk4VPM8/n09p1XmlefZ0chjNfd3bx0
XvCzJwCzxLrz/HUOVv97Mq+YzXHozzam0CBYDVaKXJ5wUKYgvZ7jde2n2UxRfDrF8/Pn/RTjF3O0
P8X92pwBmHIBnSC0bqKeUlyPV0BOqvXFxL4wQ7fJmHIJxpRVGKPeKebchTllNb6b0pTq0Ob8hDjl
J76b89KwNjbqlMeY5+bJvOG83s/sX7ucF84fzyv+bDcvu8hJ68BlDBe3AN87u03z93a4hZOMBLJH
MAzFDDVxXTMi+3KtX3/yaN+ptr8c4CZQBq73ZU21ZBpcTKaEqoHpbzaKbjLc9qN6O+ca5o3QORg8
zU6UurbFDnwAuc3Zz9nxufUzmZdlOmTTfEpYzBaMY6lk4LBuGCMIpfKkgpjnPYExaFjelGUQAt27
TPi9K/bPi2iUzlHadykU5gpV4/ZytnTtVIF2BxfFkLWOSkiSHTCNeTYtb+DfOQu5bWIHh/pxHcOW
g5RpStD927j5Tl3PHEijvFnLwGoQmLh1K6l51JT2TTEbVO2r4LaJMrQWrAres2WRDE9F5bJAnP7+
Ah1ALxrRnz0Z53ScNuVp51ZllqpvyI0z59DMqAw9TSecmBNmc1qyKmCP2XPzZ2HUQqmF0bfop4dn
ngAgob7137Nzqxwwm1RSdT+XL+ZJEpbV0sikFUYnA0YoVIKBPgIBR6lBL0kQCcWU6IYdIjl6UFUO
xF4XiaEjmPzu+0ZUpjv25/abW/Oy27Uc0OmDEwyZf4NeNJj96SkoBmpBWmnhI/EzP7duckOekvQa
gjjK1RWMtl8nhTH9wkpBh5eFsRfN8yFpbvQk8E9KOrl1MtVAWKq6NDcXPenRbsxOgJc4gub8btYE
7E2FUfc4Li4dmNighCYSFBT0goDqTphZlCQl83tya6BMEoCh+Wau67Iy0dAa8W3FoxMUtUKBph9x
HjACQnwUdzwExhnKQ59uI18aThUQ8Ht8vrD5qu77V4S34GnhHR1lzvh49YWvPFwGiosALwUKbsXk
IwL6eYzaZRE8NwAie7cU/aF59v4oBRI1Njq6MAnE0Gt72fGMNvLkytMCfLMNH83nCCEu8SgN3k39
aC5vbTrtOsaiCH/LzLtiHfDYhW4poFb4hpQbUUF2XZv9huDiCpAzQ/Xd1fPnEE+W8VOWvRiroCJc
Y2lL+bbVHZy4ErBeidOaLdWTBx30nLZSFGRAnoxPhPcH7QGEW954peSX8S7XH0Pspq7bC8wvSjAD
NOttFmI/sypE3yzdCswILmuA/uCANjiCKcuKyynjfUaHQ0pg0tG7ob+EM7aDerLwBTgZh+zM7ppn
7GYRzWaPl+KAnWKaLTA8EprtYN5l12XXPKWoEDTBsag/9HZZrs2NkbigT812SVI0nhys3Ay+iKA5
punjq1oD4E3ujKsN1Pgi7gMiVNOvUudi+spbF4yQlpZE/QVc0GSbViR/nBxBQ9SoWspf0BDOkfI4
UgE9DsESr/nKWuJcXn/JV0d8Lh9NYd2LvvKFToXEeO2A4GblClSZNE8PPTi0uYVetNM+xpve8rpD
gG/EQ72LXAVpm9pJkABSMA1fDfqqV5ZFuIJNjIASQui4pAf5DnKaFPn5ZaGPW1N+j0fGkesR2fxq
3IrWKRdc8KBIeoTjujSOSbOJo3WLnAcyQUjoAWj+QltNrXYB99GmsKbrjRGsGCxjzk23hS+qfIaG
/YQLwR4i+BoBxUDxdH5ASmjFRvvimVW1j3AE3IyUmmvWa+krh9yRrGC9KxN0yOE6CThFX+o1d6ds
+BjVxAKJEGdSKG9RyHHq17zZaCj147qFblztYHuLK2wW76IGVCuaTo5hbsTaBwMobos7TfAk9Wxd
16MIJNetUJj2LyXWHwsj31xHj+pxWW+NbrQBrBUgkqEXbsdksL3+tX8IsaXwJwMX7VTLqy7ESrnd
avViiBf9ktMM9MDGwKupV9240TNb+oxfdeSkYER1GNFiMCXfdenW0BfiWRZcVXgRs11kHKJnKFXK
uNTbtaQzAnfSF0tZVzwKwTKVjkVJlh/x6z61RzW3eWrLeCVGWOyFrqQusFPGIAHybNdt5ACuBr4/
dpmsaVMyGxSnaeyZhvheQ3YKcPqQzo15QFOpjP3UQrrG0T9QVLceqLtrnrJH0QK4NfhiWGSXkhGk
V6iL7iXBIQ1Dn4HswKJIl4RF+TNQYxjZ4IIV3RURIgF9LSwR1bDg2vvSnpvZ2Fl7ZZMuMz+vPKHG
uMw2Gxu1dhvGcwBzx8AMxo0EW8m9tn4gcEL7r9g0z5ryDI7YwP/Lb+7kj4viJUjpcVyjXVwQeTL3
6HJxTJdqaSLxoti6YltO8FBgxeuoEdD4zXUjYp4s4jIJbcGpRceaxOi6bdttdXERvjfRHgp706yE
N2r+8M3QRBOWVbRvbauUbSN2oofsKd2RVDuoZ8GrRwCVi9GgePWqKIcQZSj8GnQUdCSP9GZ7w0AQ
+VhUVnblZRPc7LR4QKMFtSmU1K3rCcncPnHSE7VuSfWxaymB81/9+mg9YW1i/ckfjc0VBIGP3OE9
3k6FugpO4wac+IiFypMFdWRYonDTJV4L05VnWXDjZxFRh9GL8CxpLb+68q6DSY9onUv5T2AUzNO3
LYSzBjp+PKvjehhOHUFp9QZpuC55MaAjgY0TP7LD6lqMaaQz4LyZ35+b8DyMa9PU7Flwa91cPUNf
Zs19EGNk8NKqE3NkRPnpKa1IWNc7OTi08KtEZsQF1p4o0l3NOxFBlpufXLY6ijL0LBFENze6vXXF
VsJ9KVlyhVCqQEcRXiWVY3QHEL/EBxvLm5E2Rgkf5htHeQifI3XD3pMNAU2o2AoC1uBez7pzW3Z3
OHxLsjvWXoYgCoRp4mxXuXlIFtfvEqLAy7BcJo17Fm+27uhr2UHDZ2E4POp/NNAbT8Xg6sfEQ071
hCPmuIjdbDMc9dJTXi9+HVOicwyPO83AOMkRP6DJxY/BGTsK8d7Yd7HHkcOzL+zwCamZy8VHqz94
UI/mR+EHu2D3WT6BZdb2yFBiaAWtd8gcgTuWGcFDbMbW7sjqORc/dbimduhINg7ud3/sz8Jr/lQL
3V0Bj5KPyh7a+XGgU2AA8ICqIk9M9hQ/iYotwfB80u5adK/RwVTJEXqXM3xu/obXHaviEFK1K712
k6WSu5cjxOtWhu+xQCitrhyKHxpADNxceid0LYZQuVtjQtp5qyt3XOhD/stfq2VxiPBHsEVxGVR3
hEu5naGmHmCA6kVrkNQOZRDEwPGYabP9uFbw35Dcd8tGqsWPZQ/AvPSEwp7bvV7wENoOXuAb2I/u
hT/iI7lflG2qt4DHAL/5k+anJ/EhWCc7C4+JzIapcQGMDhToIcdfzE6X0cl8ESZUiS09pTi5Iqjy
jnlfABkRoqgd5iuYE4ETQtkIHJZFiINFpyqxqYgbXPYntJu4z1ggPkhnGd7yvfxY7TM3W7RHmPih
3R6Tje5gQjvaiwZQPxfN0bbKttq3x3J1Wb4KeM1vxy36tgtMCQMfis0WQcwdj3c68rAxi4hVeaZ6
0Lb2YmSAMGT3rEGi2ybS2WqL8KVeIelWvUHtWV/Wr9Vbv033wMApsywZfWyROtuGONstcA51Ekfw
ri4cQLux493FwdzFzdx8d11YC9mJj/UKJFdxTvbFWXiO7nq3eYvPlh2fDVv8uj12XrHS7MLF87h+
CZ501GZc64yohI5lUoxOM6YtNlCqRfleP9GTcetwhZFcuIr0styxYAHow7vjeFduTZyUV8le8DXX
2GpnsAouSICldaTesDBeBLat3XCnl874Al3FQZTGoYcSEX6z9RdB8fHP4OXyknJWy2DJoGR13XA7
PMbnett9JXtz2W5vb0DeczJfz+LXc7qP7gbv8hW+ZB+pL3Il6GO0jbZpdpbgjJlN/3nfgMh3Fs2r
+BDhLupgZ8NtxUMV2WfxM3NZUeyd4UGyq94+W+/NK0ZCeMdsbqfUN9/Uh/Jl2NMRTta+b+VL/Ed1
uj1meP19skk28gPUiOPtpD4knuhwUZfyjqmDzglf8F4kDr3PonKQkwptbWv4oCrW4fN00/nCE1I5
dG8NMW1t315VmjuMRFjY2+lJ8rMDr8T17ZN7NX+4ZvZq3MSL6mHcBPQx9VOeePmOt1PyOd/39VN8
gOPG/56nyO03Kb8X+s818MG1ghhU7hQiLGjcH+3oExBr/cRnPExR4+rSxiRG4dJgK8MLi8uE3STv
jPfxPb4XLg6epCjCSu0C8ro6wBCxa2xZH4R3cUe/rDvaol9hasbTckSExO9XPT/IsO8/yhf0KStb
WXC/Z+eOIfkf5L8GJ38UDuhhLAJ/4muhk16VtvjYKc/JUlwFq2jVe7yLWwjJnrIWdsoOKIhn3KWf
AG+1yg2tj2RA2wffMF6Z/TF5QrhPtxbhabgTl6glb5vhlOzKDUMKrU94VsSX3IEB7F+On9Gp41ID
vcXpe3TRUQ7W8SE6jU/93AHOvQTCaXQqFICrh/wzgKZsc+bae8OGN7uGlEf/wWvwvdvpdASPCJ65
/YqCq/lWHyhGvqdXT0BB4g7NRfONVvkSPmvb9qD301GPEJMdyMfY9JYOv3t7bzyJD+UBJcVkXKan
aXzwKr3fXjnEuHAjvHI+22E7PvFCbN/RMeHwhGzqjCfVXthzu4puafDgm+GutR68d6RRoC/b/Z2y
N93Ahu7thE7glQf6Ul6Tr2O6Qz64erji52dfD92O65r4onPzhE2DXtxBXiNIaDMEcqRXcXUtbX1r
eQjw8PsXLCy8m5v5EF1cfWkdoL7tc7+uXe0cPJULsCHkq+Dw8fAG/nvoFp62RLLh4vcnfYteBS+8
+MBx9zdPopNEemlBNPZ0443zbnyML3XnaB/Si3YweXfHC2ufPRUbfVVvQlyj7+TY6/CeiD1eafKR
4SB5GG7ah95X6J7LFYgol8Lvvbm8LRmhsuflEQ9BOBF29wmu6fYarNtNvkSW57Oln/BTv3IQHvPj
RXwfnZKTtskW3d0Cg2vpSeYWSOxecOWHlifzxDN7eSS3yA+ofiqRm0We+Di8DW/FsTwnd+m+3mb0
gsYf6xCeQVMd8DkcV5e1vkz3aJF5kNJe3mNXuMNCkMdZ8ad/em+HyCKXjv4ov12PgubFKDZdfYyJ
IVoKz1TQlMhOGEI5QmQ/m+GON434iCuiWS8YF6/1deIBCyS9uyJeOOEGuWeYyV2LGhlyZ4hR2jl6
iOdgra6s0c1AiCEfbnyKkw1PgC7lwK84GQ6e6zNmvMEaLzI8ILJzfmc9cRDvwZIBfhy3ixmeBpN0
sg4wlImtychrysIJUyIy74Bpz5PvZRUiMya6KnPSaQbnza0ZvDe3vrNRptQs8i4+EYWQhJqxcfNk
zkT9zM6tYMaNdThGzlmo+XhM8bpuQgyJOkO6T7qxX4VBZ98uXbFS0ACT6grJbtwOsjbaVMJrSzIH
n1jYKK2H8kzkD2IerE2e6unwI6HzJcB1Pr4xB5mc/HKWy5gnhC462ker4AY/fgYMz62qUmCuoOg2
A06reALxzLBTEkATFmRCCyeYgfEW6Ogur1W+ymBqYfRFBtN8CEwMLnAYJUMCTzcfbxpwPIWAd5yE
i3AOOJYqucFIJ+MgTYv6qQQfwsZ16yF5l2qd7IuMNSVUB7foAwpUfT8NylOnT667odAZBk1HTFZr
QuzGIpDZBOkA+MgRqqr5XlbQ89HRqCdR65dBeaXj5JiUQCltLX/qW1Ad2MRj+zQhbb/hv3Oz6XFj
yCOYUelcrZsTvTNYem4Zc7Guu9026SVIMbQn/T1PholG/QtKWQggtkv09gNs3EipTNjE+gYpoJ0m
8+w8EQsSV21HBDbnQedJgWqL7M1NaLKnuknbxZyX/c7VyiMwc/kWMYXQLviwPCaxSlDj/ZQpRxDx
Hy3wNOQ+p2Xz5NfsvN68WTIT5mFavUomcGG9+kzE6lPsTdCpBh1A0vCoIkpoY3qH6oGMvlCJF8WE
Bp4xgLOuw01S+mWcY0N5WXVNELtygzDAbcLcF1PVpp+w9HMrMa3NmIFpisf+CLEzkyaxzts6hYTd
bkAVH5pbKS1gmd/WowzQ8kZWnRyp/mjIZrP6nps/gI1juFFAzv6vhfN23/Nzs+3RqzWKjTKSc9Xo
8GUgxesayX4wJtoky/DdnhfPk4xa5fo6TX5mfz69VRcyru11Oa/2s/x7L0oziS78fKR32cls4Mrk
N2PiGEeSg4yRtossqqC2XA2ohJPZvPSqzuWdQPs597agtrKHEd1LftVgeFrq6uezuRVMmhb4uHEO
8waKfqtEb/5ontxkgR9Nra6w3wuEr+aV5o3IXoM8l+Yy4vR9vXFlze9d/Sz9np83mDeddxobE7Vg
bv7s73vNeeHP5j/bfO/+9+q9FmSoYLYAxKdH8L/Pe/7CzihLpwO57vzs5me930f21/yv/Xx/8vPV
Ny3BM9SKqTxP123e5Xdz3vCvs/tuzltefq7xX9/0166/T9BqiDP1K1nbn2P+t9dk/majmrRI5rX/
+uaf8/x1MvOK/+sIfr5ifIXvO0n9vMzYnFmpZIbyzJNfy37N/qtVqAGQ1/q1G2kuWv2sPrd+1pl3
m990IrCfdX4+/lfLfn/NvItfu/1ex1DGuxpo+2IGHEHfoPIbxEO+vFXxNzqrmd6386czROtn1pgr
nDOcaf7EnKuo8+ffzXlpTq5Jhnay/Fe7mNeYJz+7mWf/Opp/u93Pkfzn3czr/awy7+9nGUjV8NvK
6/8TRf8v2CMZoiagoH/PFJ28Av23FN/ZqPz8G4T0jy3/aRgo/pcuSaakA/IBL/RPrqgh/5emmbij
aTKwH2O2yPsnAEn7L8hxEn5ghiKh+qz8AJBU+b90C+QRqCFD0mYa6S9u6H/iimq/4EdYjyG7i/eY
aoqgpMDB/E8itiqA5rmZxuhbQYV/AXR8CPdm5AkPt+3VN3RnlBc3A8i3h8lyc67f1D/BuX4kG4/n
6mAtL8MCIo4hPNWkri9L1MCkDB1X1JHxtfat2E0FFzPZ8CEh3sdA6nJ3XVLSWGRvpFwUxZNiO724
qLV83DaWi+Cei67LX7/JP/ixf/Nh/zdLfzpHyLXWRK7lzy8nuvIiD0BizdEXR+OxkRAHaPA7NpVj
3Kl/mrL5EgQyNUUSvWiRdPefvxwk2f8EeM1XWOWXMjRVNERN+fXteXrpb3GgjL75YHUb8Su/Kw8q
CJrXepF+hRfyh3bzZdyrd/nFVTfUyZJ7/Cd21r1Jmvtwg690kvBm2zJ2fEv34yo5kcmt9hF6DyeE
1CoPjOqbqU6xi3ZvINwWu1CVSKmHW+UoLgvzM4CGP0kEPiafSefpR/Wlwn/ZBs88sg0uCjbjyinL
1bzeHtIHnH8EZUU2NDU8A7bQaEsFQow2xqm4pFXbdNstxA8CZcWvDRt/l8xwAXuZbnl/20uU1zYU
JtaKm77mSM3Y4Z/4zOks+qfsa1wKWJkuot3F1xt4FXb7Fph+t20OsSeai/hz8LGTcEeSqSiNFvaX
vLlVDubb4FJWcFSrd2ziGsMW3PS9QnBFdYVV+YquQyp75QNCSbxZqcjKoR2cc/yCHqiRXOPTcBwN
h0Q0kbJ5zk/JJ7UgakrCLj/jqXNHFESxozuLEDjIHqV2sB2eszd9QQ0XUXrtK75RzdH1FRbsSUCO
nZyq35qYPHBBXOJMUs6UKvThuU25p3ejBORA8jLxhHA7dgfGqXzFG+I9P14ONYHHfafYlBPb3I/I
zdaE99FS2Kfrbk+QPvrBEekerBFdHf1rxSneruubaaO9Hp5yl8Koh+5/g++fLaJN/V7HXtJieGPH
uovqxjOl7iI/orAY7kyUgFwD3LDuxB61gc24VBehp5JQABiQ2dqL9HHZFfhv7sZnhD4tNz1cnOtr
uJN3SsClrQA0UISX0FvDBdqOlwbirDa2iMPGfLJiO1PdIXevn+XpSlpkL0e2ehBf5NbT7oIV3sMh
NS10hmVstRzr3HIlyNvXjmFsbwiK+PFbsyqd9CDfoXRPSPiuY0u1qUkjPl0ezBPW8dzahdPWbqPZ
ykrfp4duhZIdRXnjVKnQrr3Cx1p4kaHj69/867Pl0p9YPiKD8c46Wo/jzc7xoiqc3qudlKfDvn62
e5Wrie/fGfEXxM9X+qG6gmdGThf6o22gLv0sTz8aSjtNa8t2d3Gpxb3pPhopN1vyLOgmXiU4+cI6
oR3c2OGugn1H9QBci4f/OTrBKCJzgvoCg7gVJhkByVHSad0y3g3+pfBVHJ+cck9Bt1mFuyR2JJU+
UKmBYzgt5tWi0+huiz4WpPCP60PokQx5QbafgakNr/RIRKsvsc/QVvFD/Tq4Po7wD1iUIXqNHXtw
QJo9IL1/vrxVXwKqX5ia7Np2NTwRYHmqZVsnIBY92ejlgBdTZPfLPnAq2TYPSvNgndpd/RKuqcAb
L+QWn0Q3dUPVFu/I7HT/l875l1SBiniJrKmmZUiSxGtO+yVfIqPXq3W6fPMrhN8y1AXl1HgyAXn/
5274f3XC09doAMWx/MRoU/9t/VoKQyNepJuvSd15+gpr6FdD0H+OFTXJIa1Bv9x4xf/3WOBfvHdk
BB9+9/2mpMp4+qqIVQL0FSfxlr9kQtCsV/XeqipfEtInZYgmib0s9slXkGjSFeEVezWsda6LS/EY
B6hvSeZbrnSZe9Er9IfIuqjFcM4vlxaRNJlHDZVNbOQzu44UcZs0/aEPYP/ezLJaQKbQnEiMVM/s
ZZNMnlTgxwhiMLlV+7qny7iO1E1yyojKlVTkqNy2wHZMlIyNdaIvLreqepSLRoNISm4RtDw+lVku
eAjl39VoUy64yw0hGHyZ4uNg5g+1ZlAQ1SoZk1LkzmNsPdME5kypBgVqrNW2N7JoOQS8yFC6fLHa
HH2Uw3Wi81y1P02AUn3WXBelDnaBmpqAUmV+q9dimkhLRRxXJFLGhZ6QF1SzcinoYH86Yr7CEiKn
60jLSll7jDJOgZ+9pjsw7QytfLICwjoXca3AZfJJLkrM4KyxcKUy+mrKOtnLXVnZyALdJ/pF3UUt
Ke9sBFORyzL2GJoArX7wtVt50q8RYtFDuugj9MFULVM4SPNLPofShT41A8DBLQdV7lqjsQM1GiHI
UV2qt9Rc9GK2EGS8WxRSTzuycbtYRQrVgLxpJ4Z6GEplWKLd/95ZvbpHFgYxf/xKGuPqt61MgrjW
qlVSUf7u4qOSC38smSPLtPGsyW8Bx2vnZvpR5urF1wpUyHr0+GMK0QB1UqfOdVi7kf7YRBrgH2rs
3QXR26vOIKGtGKOVKlAiXb/XxuBeRPEYJ729aIa+MGhHqf+49drdWAjKUg2Gp14vHov++hYeGjFM
vaqv7vowu48vwVmOqo/Y7HEa4wYe1SbBI/1paqudJ3UR+dZIiBdaqrjQtSVXEwVOMVF9iohdhgWc
NqK0KKPNpQIT91K4RA68qn2IvlwkjzsBfWRHtfilTXmdQ1RfClcVBXccjuO2I/9PAmpS+XjMUEMW
zQ4zwyIwF0L/OXCri8L13BcAKIxh3Q1ZSceXpLaYLIVkcgUNmpIXhX4U4QJDtLev9b7lFxhA2uLf
Z2PrJg2FW+Ax1HT3Bdk+9BQ5DhCszdVVESXKxMadfjOkVhb99dMCHGYgSqeEmtvhz1iOV6fGdg/1
CLThU82yMWlyUHR2igRLIfxhNIonXW/Y+NijWOSkXeRcpFeN/LwBXSxh4JVpn3H4Nvb3Y6u5qGU9
mFW3tQDKIa60wLXNMYA6VONgVwzR2j7SN6lR6hsFc78lgkKHIdSoUCMyLnvE6bw0ykbZXoQGIApE
nlFx43zoVhqab1e70DDfxahsJesZdiJp41cJNgKYcfTNJruVd0IeXJZqHlAIRLUITECIKyqg+nVB
zwfPyaxcs5UDf2hB8zQQy5JLf3Fg9EFWFiE155REK0FezxN9ID+ItTFjNtmqwyWSxxg3tXilCdS6
YonamDoohdeFYrLp1S5B2uQtTnCDIJvJosh8ytqJWRWl1828ZDZ8mVut/IcnIt6MWgZuIZBEALBq
6yHVigJhjcAkWmXXyzps5M9bIAsLWQYieIwcBFbFw3hXdQ7DRYYAhW+61S4/TdXDJZZ9DBkvLwjj
+vJLXHiVW+6uu34nvV0TuwLM4eiWax1Hgcyok7wM9zz7N0roTv9VLiWvZYSwpTL1Yucn6vHiCwgi
9RC+oc686HcN9a19/p5uGLJTdCNx+8xvpD+bm+o+9KlToqtv0M8fjGKJPy49PbACYA4xsM3a7VS3
rBxjLx5hdksMTxO31NcMZ1uwAaREqQSckF4LbMr95YtUAYTcAphgM4MBIsr8lPlM0Brm6vYZtS/h
6OKiq07oZDZsv26Kpz12mEk5Ga5/gMwSRj1OUrvXvbU0HvMzA/ngaNr9o7HEb/AQLY3SMXiJZQw0
lK/r6xgvM8d8H19ByhlkYpDAmrju+AQkvPJ0t96AmboRqizajdyvKUxcET8QMR6N99R1S21JtRbs
TyDDxPN7c6Ewuuo8pdpguACAZeBpqzfWxRF3JeU77ABEmww1hebi5lECK8xpfC54nX7UJKfn9E4A
b8ZN6nUeXrHA2Qyq8JNllIMLFmokFdew8IIn5PIKV2NwujcnfzUGobh8lM9ysVSkRYbmyOCAmb9q
DtQdjfqhGa2YUH23QeRQHNZMQBE21ufPXGPM74ZhCdSqVKChOaa+7ZuF3DlxaKetNwhAjezIi045
V4vR5SepQqXclO8Upfl50F3vPZGyHN34waL4BR438PXsrmtXvfUi7OnCrL2mrcEVFBR9uS1SYcUl
hpGeBsB01A+QI2LiEZLVMHaplSEbPTJmNM/GHnhYFe/NaKN/aJ5wGh8vB+Kn6qXElC67q8996fLd
wStD3+dsW6zaD2KyDIvYT2WBGcAufWtyBxhO/dQ9gNOPdMfa89gkXp37OBKDFMsfikV5HxJq4ZD1
whOgvKcEa4DHQA7NgCdgXbeHG6xaV9snDxpD1REfpg1+Zoh2XNzyqaVW2vlU9BHNIfppdpAPeCYZ
QgleD6BFtM/gx0FSGbgHPEiI34LHxT6hBnlyzKXnPHcmYxdzG2huhNtf4nARDQLJfVICapFunrG5
rJH5xEOWjGEtLtjHjQIEtleueHlskseAUjUIKqzBmo3wrmYe6o2ST2Zcs5Y3BmJ76zCgYDdiqLjr
V+0W/EseLLhzyfgCd1mWG7wP+nUNpgdABSOb6wdESKBs1pYiZoaLp62DIGGwna3yd/D1QBBzqspO
Dqr0mftqGB0sErGBQLBW8GX6jOY99lQf2nS1DX2EgQzTTZ6vy1p3GAwQgHVe/xgVdnJA1D91BNyZ
FBsoroDMOHY4uH8ifUHMgK8t9osI2LvjzuKuIUQlL+BdX0uMfTp0xp3wREQOoyQ5t0tGedbZhOL+
hIcYFR1ADisQJs/SQl7qD9clyRzc3bBotrXVdRctkJcnr+AZ202On+B9l3r98QZT/Xg9Ec+81It4
FUWOukvoxgK3cJHIMD7QsA78dK+y3/ZZXZqvnMOJSNfM/HDd4oADIp2zBgA6ehaMYLc/BGj5YtJm
YGayEPeXO6xCARwQ1eHw4BKW13fVQXi5bbR7ZFvqZ/Nk5fYruPPNhUQKw4TThTIQxsj02u093oko
YdLpr6yF9S576SOv0PpIEV/aArvdB/vyDxqeA7DIXQKs5yAoDrpn6kPx3rjajh5WPSv76CHZgOiS
4V6vsQy5DLY82IPoX5NtUYPwPuondWfc5484ejDARNMOYdkLd53mlx+EBqDhNuVKeob0MB4I6fa8
YUiFECNG7zX1TBl/EBRs7MrAo8u5gqFN3eKy5rqnrvp824BKKIBVPkuKp4CMPph7rUY0a2EIy/bi
h4Lfw+YtAL5i8gHG4yT221zFwNQhSG3JKDSLbEdapcsZLGyJKiVsaN4ZVVg3Fyd39RSegbCatrQw
T/LSupdCF1Z2DlFAdOTExt8m8kosH1eh7CqN3W8jP2JEYO1v+zLkhbS/YdPMU/nVlq6y4rYLnsY/
oL+mbk4FppK+kl3pYlt6TfG5AYPlDcd0CbfqFESIHLyH4CrMU9DtoteOgdd1M1JBxSah3phFw4h3
R+ffDEDW8bs4NxJ3uvBlA1g1DS+Pj/Q/1jAQgp2TdXs/eOEf6QkrWyKCbnd9IQOhPEsHEiAtCMPD
dTUubicJkXzGc6fglfcSnYGivFlgBHbtIb+LKlv7Uy8CPO2fRJT7/w97Z7LcOpKl6VfpF0CaYwa2
JMBBlKh53MB0ryTAMQOO+enrAzMyMzKq26qq17UImnglhijQ4X7Of/4BoQDcWy4AXr4cZeyPMa1g
vMHFJX+eaqbgVOGEtO19zpZqx6Gis9u9px/Q1TNCHzbz/fQWRY8wIODJdEeTFUvkqd0G5E/0m+iD
5D6oUoxG61/Nc/VRRdfWSy0f0jsPNY19sA/p+1p4ajv5OVUbaxWRBq2+yWD/YKe5cFC86od6Z+1J
K0TPAiByEPvuSHsKLwuxRksMy67/9iC0E1VrBxDi4F4SNfgolnP0WB7cMHrvv7t6A+POeBqqDbN/
sw24UeKzCItnV2yjO7JHt/FDfV3g1P/J2Kf5MWGn1eAbP/NV8WmY9+Qv4fkD+3y8GQinZUlv8kfO
PHnvb+e7AYNeeeyuZDh/wJ1sntnVzYJtEvOPq+acndpHjHQ4RcyD98JwPoYgdQug9GnuxDdPyMAb
4+MEzgzEOpFtskmbkLiw6IkMyfJkP9SAJckuye+Lb3Ohig2Lbxvr4Ox+8U+ZvtNCUqZN9ww/m6Bz
5xhxLM7iwwJuya1fwyJoTiAJxW+LUwRYimxQ11SEM3LrSRrb0WKnGw1SCtogpwRqYL1IVKg1geNp
BKymkyNyg+4+f8MfP7ppzR/V/m7RoJBbhKf4SsSLjvE3NUx521Ik3OPpDH2UYBvUqh12uiGcq/o9
7alxN9Y3I9HV7iWj/dj0z1CeWcfJ03A9fLm/4Z2SdhTDE22+6Rp9hQnyNvpRzg6/0Q2Jgt4VWLL9
StoaZ5Ygg3yPPOJmDorrYr+yx4LR2YznjDIDY+HS2lfaTh+C+tRBuD4TKQqTHL/lLxhtRBXtW6I9
T9ZNcwDwY3tpwvicv5fHdA9XWv3q69AF1nxqTpXa5uOGkwL6U3P2UC7sp+/h2zuzKrV4WzwtN8lN
+dt/im+7GxQd2PAf5Ut7PbAKok3zMs27ufzRl7uZRDfYRzmW7scSDVG7m3673r5mTEH+pb6JPRY6
kXGTLJiz4ze4taZZnBbD4jpPjR2T50eaG3lSpzHO9dN0+YYuupuhQOQl1NyGXc5pi++cDm2Mh8vP
Xb66vMwdYzbyLFOrrZh+wjJSh0G3/iCybMxz5rs87ghVSZN7hUUVXtZmgC83XHL2ma5RVuCJ1gjx
MTdpquJpX9SOHqRTQS3vIX9Ob+Nk4sYu1LAtal0GtpvdSz85QUHhvfkdyK1VCIgRnCCLK5AylA3h
yxmSMIPsD/Ajg83DqXbSSKmoNFgH0SxC5XrtJmsFYJRvg3NibB92afeuY1gfNr3C06RINrIo811j
gLALn4K7Y7AVNFE60Qm3j3CCvKCKvE+DTDPKaihjsxm4eRsH8GuMAN+6NhzzFtDciPDCllPyIuXO
blB+aKkL3Sfu2u1gRu2usRl7NyVHYdVU3cOqjvJMiNkkEqIci2nWJot2TY0naEI0r9kCkEL0V5Lm
99rqQzkIPbpJlPlOJjohuuwPaU90TTmDZFpa+oC77pVXuyeXwylKmtNgCoRSObEqDRUyWcj3uYw+
LDNTVx1KqqFCtuOk7H/Yj+wIShhXLzGD1IYsPtFf33VE2ASGhe5tNqBizySYb/yZoqLoEDOM/nOy
Zkinst8lAwI5N0aQNb05WWkch1FjTtY5d1H6mUMMwfdD/8b/iLZs8KZwmFMC8yLJ+YvEpLfyd8uj
WYmygUA1r9Y2WKS3oRZND0t8X5Sl/Vb0b0ojW30S3XvZL8DLYyDT6Kmxf3QN8j6SvJchyTlXG1J4
cLf5aUr3pCvirzQtAjlBthsVs46AwApHw9NofZdXrfOGQzfBymtE8rNEeBuhz2mJuyXgZ0gOEVhe
0y/PjYskrU81aD2at2qDRiYM8fg6r7/MMOhOUecYPjb504QJVLv4KLu6naXDS5YpnC6VGAdRA09L
k+jVzEK1WCaQso1Tv7yOjfY6lMnZ4QwdfBO0cahg9dKMXV5bpPaP8I6ZXrNZj/Tv4GnShcE45d5t
7iCAaGfx1AnrrZyyAzGkTo+rAeV9w6kzL/4Lu3KCIDLmHbi/9Ui9YppwlRQ0xHVJiWpW3XPZEGdX
Wia19uj/ahHYyegXpvJXmRz6k1tRMNcFEwSsdXzrnVxKUm5BHDOc71QnRzSY83U19Lu4pmUwEkYo
aSPdUOb5Xm+L+PiQ2Ct5caajwyJwX+mSZkYhgGjce392X7R0pG1yW+pp8Z7V46904qTxymg/++BB
BWx6STSIQdYCsRo2lOhnmHA4/ZpsKbmgW8aLsAoSueBWbqKDnI3u4MnG2fhk2lwNOgeAGz/1E5JD
lxQk+lKS3MUaU3uPK8tOKR+9mXyKkvTTtnQoonAHQ6/rjkZuIq9QNeei4aONG8AtNNLDjqoB0ZNM
ENkiQ3Nu8PuP+kCYzNvivr71/PJeju2z3swrTIYb36zQgOjdgz+ir2nE+IzbJka+BvzXzJ3hESrG
FlG3TUcCJg3hxgc0LMQsa7tar+5NLi2rk8zC1qKktVsLXU7Wv6YVtgVRziyGPby49psX06NF08v0
3e18xldpNJ+tEjlo7D0NRBEvjgqwO8t2Xin2VUUvPQ2JEdqEHgRpNhu3NXNADX34zvElzFDIW5m/
oBcguT71oD2T/fjZ5HSuVQJbt+dEGvisTN+EbDrBsLKy5lwDM3Rd9J04mBUO/WtdpVClMR6CNpmm
YT0zWBNocxV+OMr4IGb8qa+7d+GcYr0+M9c41G7DAujUtz8xuEcwKVRDgV/eEGEBNlPEN9uHyrOP
ZKM8Ct87T3W7H0YI77IT47Fo2686v/IJFY7jguO0RK3jSSz2NIUOcHbz90zDJ5jpb2snN3k1GMCj
qBhjWpz5/dOZ/XlrNxT2Kmm25QBOamrGNfkFyabV1l7VGx9QA1N4pPJetEj/c7s4mA1j36nqMS30
H+M2LXZ5D2++z+qDUsuxQxQYpa044TyC66PIH6aheyeKoYHGt1CeGDHNMjVRUQ7INjWyt/pwTszb
eChPUCduxwmv+wwd82ZJaSV1tfE0dyK8I3G2ls1TpzDaQ5SJfeLSE5dxTEApwdBB5RfP1TTyTzWw
WjsOpzyJnwVCWIUON1O2vm/GPGe0OoL+DsZesZttHC8D7hjMs74YL/kwO3tpZf1mIdTULpfPxZYn
PV60Yyr0+8KjBoUa+TxOOU200z1OJggu8fb3Pet0O1ts8Ia/Ny2VBSQS0zcxa40t2qrBtbGZrndZ
YxKbVx9MU9vLGqDPzH0d4+DyaOb1afDko8bf/4JPxyarsrfMzRJO4oRqkYNML00imTD4P1qDOAkf
arVhkqs8pCb7VLsmQtY09q5qV8Ksw7Gv9RVWX/QdC7JsEadyF5XDcJtBDRxS6JXOGA98JH5A0A2q
eeY62xkACCdkWkNn/rTIEt6OU5FvK5TBi9APReUdrbTDylLTcVvrswxw3AmcZQpGGBt4d84oAwy1
VYLP34mWnZnQl+mQWJBBaXez1RVHu0bv0ZLxhBUFesPKLffpaPyMzQCMm6vt+DRowg49Bwr8nNI6
qP5GGUQj9EMSLlZ5mL3uURUeuGaHnKlHS+1KMIjWvh8Ljtx66Y9y8s8Zl2grI/e6diIi2BH/YpSx
yXP5SH48d4yyX42ptrciK96zSDyPbYJkxEE+KP1XV8QAfcO0s80RUYqviuMQO28W5PCtSrXA1s2M
IU3pIo50d3zc4w4/9bduIPTFccAEvBWzto38YdG0U1IvjwRqWVS6lm2Fes1tXFjjk1ei0os9/asv
+vbGStUeHB9JHh6kO/xzHmJ1rHL3l2NIEagSyUox/6RVnOw8gjE2EVeosqywn8DXdI2KTZLcs8Ww
dttM3NVu89ttGk42hyWREOccdJNygjXIM8PUb0D/Vxr6cyT6+HroaRQs2BFV1COIS+VjVqT9jgEN
iX0erKCGUTYx5SaKLplHfjAx0ZhHcI24c28Mk8qAjQ3j8QnJrX8fRaradvOy7GU53A7mTvMM5vJJ
byLFLa0rVYwWCm6++svTKScFK6loXJvsl2QyFOpmY1+NXvLnh8u/eS1ZZlLEH/8KqGoG7gA2LD0s
aqq2SDdIacTlQzkl8X5C7fzMN4JBoGYVTdxd2ckAwpfENKU6jeyaMUaAhRZCqgLTzOncVvO8gXCO
owXqZOf9CuLmfzz0c32vFaa7w/bQuVLpjCbKsCsXg0ATweb6UJbwT7p3+L7ulfbPBwm9wFrs5ngJ
BctXR/FLHpjd9GiObfFQjB6omGmXdyIaCfjt7ew6bzJrf5l2/y9J8L8gCcItg2zwT15A8Nl9/p/v
i7PZ+bMghmJbleX3707+7v89hOLysn8QBPW/QegTOjEypmOSJwFH7I9ACdf8m2vQbQqYa5bu+o7/
by5lNnsDeRaW4boXb7M/XMos8TefZBLcxmzb1Q3P1/8nLmVQ1f7KY3BNk7gTg8hwloww/kKfIOTH
8Z1KDoc2FyhhwR76GPaAdEmvxpJna3fdW6f9ZK354AkWZF2tWuR+gsyWOnTDHgCi1BQSBg9ZUwVL
qPOevMFjkFTW0WlofqY+vx48yjRID2dZAQYIMunXaG+XhIXt3FsI7mOfp0M0bfLKwr9sTZFwiCou
l2fpE+tFiPxZT7T7C0GgNt1PjMueXd+4z8nPATMdb7BKR9l7J0I7GjvshqnPGpdSQudNtgXEtnEX
mfpnqsMomis499Nz5NE/GdKi8n4YwAlbUEZtKZ8IE/5JWufs2OmvfvRvlZOQ+B1dTx19gGjPGWqb
bd3B3u9JVtjWQ/u2JPVTElWIlJt3lbf7GddBJbo+KCL3xTKTO9LlgEFhNzh2/ZZXEquJDtuJisvs
Osa9U9un1taxVeY6ZTHvOXbbN6sKa5lgVGPs2SnDdCzPnd+GQgcxtzGv8dO3fIj2bEogUIsSQVx+
mU0KauQdpeCysb1CxeQlacSoayAdLKYtIMw5C3EKvzEyJpWOs24z2cGzGOsmUCsEofCbfKhN8MD8
IOigYgLLpsTxwpr+y5qcj8jtfkctr5MD+DIJzdtqLDD6KRglRAbl12WlaEzpnOVDd5YgtVrqmmSt
WKaYpHdHbgdcoRYXvw8SzZj8YINhRd7m8mkTnfVl1a/xzHWocxNf1sl7TXvAdZVOCACr/B5joSu7
mcBJkHw6bMoZ0bJHe8TecZg2ylIMdtV47ksf6HApQwQlKjBrHOrEEj9jlT5tIpdhkF+VP8qkT81T
3BxkfJYuS4f/9p2nbAiJ2P10lfva0iFjdxD/psUAy2nJjXVbMmqgHpoA9Pm0JYMc0E9Q3ydFuuys
zqM8cuc7bdB/G+1vPZPag6EiRhU+HMYebROgR+MzE7KjK2sR2a51XXnwJ06xFsxY8V5HG45Z5B4T
pueXmyXyfZwIkiFcGt1ixPdTu8TB6jMwK3XhthX+UzPFr3LJz5nk89W5QMK+HyTqP0OP75uulDuy
AqE5MJNIyejtvHoXp7BWZ0ALurzfE0J7JvtD4JTGg98RPhY/wGyBRuW7Z6MijsFjCtDn/neEqacs
HmoDrm8573NL/DgR4r/FWG+8JjvmCc0uzl/nac5+Jp9K3DC4Kq1RvdrjIUGaElmr6Yp41RGzsEZh
nupEYFst9CWWiDtUKLGIZtnEJUOxZYzf9Ep5ARwYbBga5W9b1b6NqaNvtCPRM2A5ObeYxk1HtO6+
qYvryGQ5SPPJ9QE0hjo7xDqx0dmvjPiDzCu2BB+a2N1kP0KPf6xWD/pxZy3ySS7TjvjIO48wua3n
ctO0A85GCdxMMpmPjTVR2BbRiQS3LMwTvk8+1S9TZ4LP3ohHUBO9lVSKh56P0LXcJ6M1ta1n9SHf
IbbPR68mmykLcof91CSBFOcTBFb2SKanq96o6Vfb/4ZOpZ/2iZqvPXbPzEEhPdZ3Zc0OVCiiqZti
JNg8K35pbGTbtGuORc3GUrqYVFfY7RoKE4yYeZzBCLcWibNrc/0By5ucRhgvkkKlNWGLTGHGdh62
vrHesz0t9izd85SyWVZt+2lU/o8x5ejzVR7QCRLH2cxMlOqI8Dnt5Clt2nexeZet1jqEAodmc7Hr
eFGK7Shz4YnOo3ktx1Xg21dqLdbX6a21a1OJ8ldkNyYXYmMXHqmRJyHJMvWl+ahZHeNfzUKdBLRH
lm4gcOkxIV5vE7I6d0Nin0fczzaDZSNLj2EeDyXFNgmYz6K3D5WnM2OzN82NKBjUVMSpQa3tVeC7
WAmJAhNvUl/COBHlfow6C4HhEA46YYdD5lU47fh3hETtLPNWK/gotAjDgjr6TZIHlaDOEKVOv/Dv
fMRyDK2z/TZ2tI0LzB3i8VrGxnP9C8Ebf7OynwYO361jJtx6+dqUYMlgWiyXdS+JlXE/twBRsd/h
v5Q8irb/mvrpuXVyqJtdx2bhxHdu9nVZ5ZN/6DKk8SmUiM7Zj9aYsBpmpoFudStNdN/FyHZLrvSx
MT2sddcDy074SDAJ5BPVCBEdVMOkwcfPJLXlL3Oob6e5+4SX95NYSBuX/p3gCZAWPf9CIgqFyexw
ojGYFFiGHcrBOkZKEEvnY46diwSOoN+cJhXt7clmXl7v5ggPmljOm8hwzsvo3owjAE0q2IEjSGIN
FjxQ2EKKI86pRXwLp3vxFsLUk3y+X0wSKpeyeZc9BPY65jDScPVkHg2C6zrcy8vQthxO+VlTPn9X
6VFfpMWnGLPXthZXOn4JcuKczLjZBMndVpKSoTd9dBGzt4xIV1zcPi3LGrZDfW2P70lXYR7U2gqn
oWYBiMZaZ3TYbHwyWX2ipvAg7sqdrspDXNBntZDUNFy5VxZSF/Y1m8/oak9qAIgDOCX/sTfuBwTx
TT9Nu2XdIJ2JdntQnMSY0OZbHFCbiQYzZm4UDfwRYw9ykSYj3lkMaHP9bAIrF7lATUCm3uZyHHLz
MMql4sjX6ouYJsTc+n6QbIharD0tc/eGWV+G3hMPrxL3mda27ontIQxXJDu/56RMzBu7q9b6jbJB
s+tHbeRvSfwbU8FaI61HBEkjymsIinGlJee1dJE1ThBKwaYxdPwjxNtl5fgmvAuidLeeNl8lpeaE
7gTeAGrv76zSycJsIce21dTtOESvMi0OucX8IT6jjclYSLhf2xOE5imJ7owFZ7YuxWExEQzO9Bob
kW7etLL89ka9IaHaqUkhiT673rbDgR4/6UFaQN8a96WoKJUyjTLLyXY2iM0aG7Jx6iHddbr1wCXH
XcZxICMZ0x8PzVx1JwAgxro0ZOugzZkGn7EzCoeu1g9U4O9J43BKwF5WqrgUx+NVS6JrOFb5ay6m
gAyc9f/2YCfuZ8z4ZufVtQGpoIU5d6HP/f25UFAWywHStVEvkNOq/DZNLdxLTPH4L9+/izlm5e46
UpdC2eskDa/u6vbqs15L0qUuTy8P/fqNaDfHqr9yoJn+M8/GacjTdei3IUYYySkrvFvCne3dJY3K
9+jv21TH6xd6lW+0wJsIwD2iZRbCtyZlnRkD6XshATeSLEoCy2pgoaVZ7+8Lo9wrq4Nmd0m6uiRb
Afk82y08hubyjWZNqO7WrGp9bZqXTo+v5j6UDbZGqQ630Md8/CiVj1lWm52S8jyjIg9LI2aIMOsx
HmLddd3D8G/zCDAf88hrMtautcoQe3Ntk721sfYtMwROnQ6OxuCgLB8jsiGnMnpUSNaxnBt+Y785
XCeuGK6X+zxxznVjEoqT43bPb3l2ko/ai1cTEZvs8yE/5nj9hk3LgvGUgMAzRDgmXr7MXIMSx8l/
Ls9QWWN23ruIZgg2SlfT+XSNgLp8xcTFLt345DoIjdMKVGEy3PdSWwCmWKxbpnJvrnCYHBu6ialy
hsGVMIHR/vXcmGIDm5Dkq+hm44q0IRedzuVLK7MgwmXUjhG/R2tr40rXImQJeeKfilHJgDIHhfzk
LfuqMK6JdNJObUp6Q2yX28szY5S0U34MXWvyhjoYvFwDSuQB4POPr4axfjFlhFVN1bkhjYrcVEU3
nhg86qExosAWrjOcCkFgEdb8U5CVEtexaKUioQRAprR6Rgv7RJasfWqK0vn7V0Svu3AONYbE679d
fqRvIhJZlisdD/zw8i+EMtoYzDHzddt62vZK3OimfRON6fBd8z7rSbQIJaIy8GzhnMcILGnwezgF
zejczJp2jZp86y7W+Ehep3buCowvRmPaNCbUkcbt9SdNlX5gVE68vzy1l+SMJo5J9UhtRh6E8ZTL
VL9WCxSVccgR6uhFvct90rJh5Y8f9RLv3YmZbGYb2bbNpveid8nd6n07xLsXCk5pU547ydbsudqJ
6zz9CV/4v+gO9P+USgsW4JgeWZMsFoSCf1Gc5b5mYJfX9oeuUOXeiKAiJz8yW6n+pffUk/S2MTFT
kwNkWktyev3//H4LINZwPJwBxF/QAn+2jNnvagjE7vRsLxB9XIpJGkFTZl8U+4bCAa8nBj3Sl7+j
UP+Whflnrd9/0nmsf7rr6I7BuJBJxl9+NcW/Zsml7A/5TJ+4Noyq95+mfGbyb83bxRIHkah4+7/Y
13/HnN8gdJjF9f8Gv26kApFq5b9pY//+oj+gLw9/ft/2LddwbOdP4ljf/hvIGob4FzDqH7LYi5B2
TVp2PZNeZP3l//Dld/DlR2vDZ68LwrY963+CeBnGBdL6U0IxfSpVikU8oeeZJDyLdaX9SbrTsuc0
fRMnV0bX05LF97VedrhI4gifJ0Z3NWe5vbdJq7g8uzw4iR62QqQHMWdQZPUve80SvDx41awgia7P
RevVkLYXeu8iiKwEx7suJ6rQqz46EeEgSRt7rS92kJjFtwP0HcuyvaGRBUfxxx3BQkR7CzpMWaTX
0QS1YgKGdnqdVKxGbicHZE7AUSzbsSaVDM+gWUcE7/XL4zDr2b5ellOP4T2zM8c/EtlH50MrEOgV
DVcCvwFdMoIZXIQxe8luGWo5o3vVIKF55eAryTDb9n5+XWW8uIx+qdpxAFui68UnrZsjzVGkuTtL
U2B3mKHu8GY2Y9IWNpd8DMMGvouieggnDQVwF/vmITkO7SqFaKANe8TIGRp9rymyrVRRx84K7XSA
B6MbEXKn5FOXGeVjm3JI1eLbNJ58pc+7dC4NVHlzFoLEoXezoQYsHkZjlQWnOKesXOrhuSYbd9tF
dht6xkwWwqnGKXmf4uropO5DBrHl2GXMPjB4DOna7xj8QaWb8dWA4iIczsoMkz2rgXlu9MPeQwjo
LcltnEPcDgUtbFDM1akpJQZz8xjdjKuQKzHiKEwb9444QeSTHQpTP1O3rQZ4I3UY5QO+0th7cj2y
KHtayrTfSH0crmScXhXVQ6r3y6cydlMzfk++jI5FhGOujpfhOLe02jkTrrzKH+3RD2qvEUDSsIia
bu2e6Vo3mV9NOB9FEK/bNNoVHR0hjj84Bmn4wU73s1cmh5wp9CpMevIZB19FncZo0LvBUkU7cmlO
blPpp9g2v4elQIIbdRDB8G+nNdBwYuZt2vAAZn0P5YSFk+fDAX6CQy/hMhbECvwQ4RETxLVQ2wWv
m+NYzTLMWv1+WXR3W6VG8sR0NixnSOVGA7WioaWhsum0W2Gsbn1ZfLTF8D719hyYHHvbnJ611J0y
HLFJH9UQeBa0uFjLq/3AyIrCofyS0IuT3OcdiPl2GVHnII96Hiqfd2/YVyIdi21lCrxjp+6oGaB4
ptk+ODE6pMSArNBxn3ntyBW37fmhduASe9ZXHunFR6JWUsOptwpYvWg19CEj5X7BPNV7ipfyXS97
nQGttA6JZHapqoe4nuWuwpzaN0sIgVo/I7WBAo8OjPl0sbOp9/aFG0Bj4tNLQF07MUB5Sqpoo80Y
Ryb9aZDwh2VenytIcF0Dg7abMZ5F+TS0+36J78zJ2Rm2s8M3Cd/3weIHSos73EjgdRZID10DO7Zq
ZsArmpD2q4T/E+/qvNgOhDZvDdM/2nmS3Ri6vGWkWYXWVlLWnIv5mYJp2ds1nD7NOxiFFj+a/PhN
ikpDCO/dHThtRzzFdc29rgrrbmLqtwGZG061Yf9iyhzIpar3juIzvmZmvYKyqiSDUvjHWD7LUTHG
zdpkFxfqPtL7oCPvIwbxCs2lAlosATjzXsvhseMmUNh387Ast4NSb9qQvKZWhhufVc3hoprq2EYe
U9Q+qG149HRVunBQ+eZeaMTIy+MSFEjzITzoeDQ224hufWNFYxyqDlU+oUO9X39FgKBngzEthR7+
k3ZmQ2iYMEWo5yWBdaIxN2VUv6UvQG2Ce2dfNlsLdlnQ1V67zd3xptPkwV5Sd2dBAFwW55baud5X
Tl2HWa9+WYVW7Srf/5aN9dY3KMGMUjJuN+pb8Foq6GlpgsQQCE5GwE2LaXfJ1hbM0sFGq9d284wR
G0qprVsvh2hw1UEU1RAKmSDhNk/jEJucRFC6ZQ+cUo7dzssKDIsGDHOlcQfRsDWjQ+qKal93K51+
Rl1ex/OZkIlueXEnZEBgOHroLd7XCPhXGRwRBA1fA0TeNW7cHCDVfDWD/J2WXnqKhqTfVFqJJH1+
dbvMC9vZSwMbHls74wFq2ctnK+Hc6S3KGaU7/r7WBPGKRgYVTObjIRPjzzxVVahn1s2o/HkHSQXe
7NRsh3LRwnJqmyNHy72wHpuqsr/c8cWR+VvnZtnjKH1749ucmtaI5Wkuxu/OL4b7Mh0eItvxAs9n
qFya/kkthra1dPEh2+vRQ45RRleimoKJINkWulvQRzqNR4zsD9+sPIpxp1jHSD44Ew51w+8CkmwR
I59MVodnxa5SnGffMPdimREZ+eLFVPe92eahg03cOrOowynGVtP/paMm0mFyMa4fh/0MhimqAl1q
krAxN9mhqyd350JrtCao5JJUMECW5kObZ6whcwNxjT9GOwFSvc0jcpsTZ6JjXbAIrsGDJY7oo01n
kfYfFQnxYQUNsHM8b7s4GFF2OpYAXY6tpl7tXHPC0zoHJbL1Jd5CM4PRIxWeBLp8M10jPdmO9mV7
HTCNLVTYwiELsLwAKSRn7yxnDUw4juTN6OehjRTJKzoTrc1YHOOSj9Uli68vIVHNuBcRjUrvmkFj
sq0lxX8ZoDerbWwCKTYYSXNSKBHtOWtvbWJhPHzMQA0rAmKM/Kj1eM1NsV9fk7QOMdxWh6aNS0jV
uYOHuXjpxfBmQqsuZ1WGSJwFltMYzlWZ+TuZGVS0Nihgba0Szn1Z6/l2xXq2dQny3msPjjfcMU3I
EbCeRKu4jaVCc5sCv47aky9g3ZpDfLOo7oyyKu+W7sqXEsGA9Nh15uUtq7l5LQN3oBi/oQ05hm+c
OvaunNsomDwOMyar46YV0By6BYzAxFKDbTO+rYAzFVqFyFXlldZOOBFU+lXZQQNh/ql2A5EB7aQ+
oqVieDO78ooh4LfsqDOipTxAREn38PV2jVmhflGeONpxsYR2AVuogRWydS1dv9MFjC3NRnawtqvA
z/rWNUR0bscSGiDdK7YMS3adkeEdFNQK2+RN08033uW8VT4zUIlw4UXZ7Ry6PrpgiIE9zm5OW5Xb
2iVsISvs9Irbi6RBAcBtV8tR5LiP25zWgSoKdjDPvLZg1Wy8THIK1jE2qDKjIh2N7L4Cr7DBYX2B
p2lWEAuy6DF1qIPtNtCp0u2DGkz9QHdxTn1pnMTEgGq0ra/W86uDQ54guYDeTW8/sT6xqxkRKswO
SLJV4dQ4FB4C214/cnizMrBaaIy4Q4filZRmB3MAnfbN1TizbyhgNOM7zkwVFrrzYXVWE0xMBqcy
G49NPDFBhVWJecy8q7Nqx5mTBJMWA1NDysZYYwnnaiWIr1tn7vrEQysCcqwPZPnRRlqkxfgFhN/M
/mAw3oWzqwYYqYkIjJ7j8fK0gVCzGVLuxq4RnCC+f8do0yA6wj523BxBn8LuTPOKIYBVAv3K5XoU
6/4NELFFrYxEy4FoZ43VQ2NCQzKyfJcNQ/NSxOoKRbcd2g3IKeVIehKY8TMUKgJs7tCGNkHT3GPk
Vwd56SY7OwOshpxOY9CkYC8uAnG2xUhrZWjykRcpOzcUGUB9t3oZmgI3kUjemjCGa80Cy9I16wQB
OTaCxlOrHBDppuvgyu6mGVS2nmq4iqBaGtmvKYUSlSdptnGIoQly3zhZWD1eU4jc+gkCMt0voIhB
NzQhG3sYKt44CMVvyRqOJ6cJM4Vk3cfgwsEFm54DMXo+UVWjESaDnaJAVI/VZEahniAh7cbyhFeh
cz1mC5P4rN1bENl8G568ZzzgmPCupH80ElwwCFeF25UQKVDZQOuMZdKRbXT6D/bOIztuZFvXU7kT
QC0gEHDd9Jn0FEmZDhZFSvAeCJjRvy9SVackSld6p38bgtIw4RGxzW8s2h1BitRvjQ+QncTs6VVr
LNk16HMiVLzYnIjWnd91iF1+irGJOuGXk4ZkMCQOH1pfpvtOMK2KXu0ZGl+StpDgFYqLtkBghXjp
aPdTof2u3ZN0kFM/xZ0X7uNIvSAS5V9ZTOxrgLirdJbwhFL1mgdgPycQwHgL3CuM0Z9ix0UqPH6l
AWfu6HFPl8uSXuSGuBDzaZETMrjDx8Ap1A2pjLkEyZWHmyIVv3FF7IqkdKv8dbN8UFy15zmlQjdl
5dcI5X91xTXHRcG0hn3QLDd17/FMxxB3hBJil08L+p8BBHoqX55zRPygWuWtiI6ti0WcP0RbLrgL
NMN/ES582RE7L6BojIyN6h6juksPDiQCi4c0LlvKcjP30RLc00a/LCNYUSl+3YfG84+VtOa99Lt7
w0TWBUNM+QwUHIpXtQWqV74KxOpdBV61rZuGCBf+7VLwJJMDb6Mxo/k8XUZRAr1G5A+9mzBAO1oU
CijcCeJ9vjZEeMwN3ALa0iRW5rysBU/3ZjGpgC65Ve0zFEbNubup3fHdkMDZJN2P9iYV5jCbbCxS
mFbpJ9xM4/LRrovbyRSYVyLhCBEDiHXRyXVelTqw6mABgagA/LMgAQOBmdbunVA2Uj5m/gTFX+5c
kvtJCjq1zgzUxoMErGp3l0hn2g8FsvWuK973FNy2cTiORyMHnRFYL53v5zynxdc0a3YxfdUrCxSn
INkmyswM9G5FB5hAPQSZ5V60Es3sOGOOn2xvExEXXJZiJBgrmhzeW0hoWUVXdd19AYTobivQpU7u
vUsGTnZqI8+TwfzfzDUVgKCsm6sGg4xpbJ9aL0q2AePADj1LG4FtZV359IB6OHOqCUD7QYCeck9u
A6hTuMG/b10EEhYDSLRhindxD4msU95pNrxxs3j0clOUJRLPABLDvnHZ1JcusR67KZJHQNt2G12Y
IVzEviaFMbcA8Y14kysGkxpNxv0gsns5ywtN9tmNiMhuqUH0gE4RzbCmsrowoYF4SMhAoEYmKKmw
2zEyXAxq6JeuUz6KKvmyCFYHnp70GO3xfMo/E/k+CwFBvQ/7y2jk3i4rnjazCKwVWBdkPwAgMRzh
mO5hZU7wRsmZx8HjEMoorKCvm+9d6gNxHRHco4XkNO0NhO1kzNBLxiSN4vNwW7poKTQm0gqMU/QD
zu/PjmTnV+dFTcdpKIeT78L9nY27pgV6HxhIOJwXjdNYp0ovzm8ZvBEWECM0hyIXp1ov4nyUTEet
pl646V7IGImwPLh1wyw8nrcGUFeczovaxqwXxYR/d8Ls4aw6IA22k3YIVnpxfvWrtx1whao0uqOn
d9AsHBPCzHNlYrx1fnP+eBLThPRV+8VsrXJDCELqPdNTO+/x+RX0g5ucMH83TKEN7kt/ayQLEiNJ
dMz1SSuiAW8B/cpOYRNaAvkyqV2s3H5A+jqwvRSR5du+p0Pp9QJuj2HiykIr8Cy7WzH6nM6vAupz
3161XKbzX/QEAEiRtaCI3VGKFdFsfzp34ewO0Shl4mtpDAps5lny2Na/m6aOBJTLJMPAPLQK9pP2
Aabr+fdi6rMAdu1/PlTMKNwlOEeQ694abTaeQtNThJG8CvTi389KovVDKdO1O4XjqXetvxe5oVpg
LsnD5OpyG27QZ+Fkqn9gu+PRWtUDrNGzzPO/i7O+M0E2tuZBP0JZg/Q2Vm5ytMBSBb0BiP+sd5xr
p06PGJ0bGllA2eITWEJSWhN4oe2i3xoZNLhggLcvB9zwzp2yjCfxaLkfhygaT6Buyn0TJ5eTDWlL
6cX5cx9LPTQGEnC3mIY666ovdQSsfYPxZ1OnJg8G7uesp8VcfLTSq3NfNJucvDucm6UGsAKUhOiE
dhqb++8ipwOMJtIMy3sqgZHxJdtPT3BaUnMBooDWD3RsY+hOdWnGVPFgC8yzVe8jILu2A1k3relR
Fmc47n8W567otwbp+ZtbW6/h3AhN9AobvaFhzk1iaP1eq1atyxw1jbCtMATkvksl7UBjSjaRxzDp
jXBJTNKksjTdlR+hexr3T8FYE64HGWO6JT+pCe5lCudoS/nhRTRUZ73UPo6ZcRWq7ui3UDCNcAaR
lcHxdYxsWY8Vqnv4wX/0veouggSsTOXssCx419jB+7koxy30Pfyt4n3VpLfJrCZS6Qa9gR4RssJ1
X1PjnQxEs50KBA3pkj/NTnRpp7ACB6L1VRCPwa6YX4tkwuWO57gAWrlKRX6dG9LZpSiVHMZSwVEg
aTiA+RMb1z8Zoki3lZ0/RT6ELomTQ5YXu34I0EMsoB/INn9X1T5iQ0X/lZBuOCK3u+eInpIMxwE3
Zbw09yqfnQ1aTuXa1eVyOgMr/KbVLvA9+CgVq/UNYD0LXmH2hPxd0YzZLm1hr+SjQpbJRavKfu1p
I+d9QD7hormSCuOjNLkvqhk3sZ7+qY32zUaNtPtAzj4b+VNXeAvEbRfhBOy2euHXtMCg1VSjd+yC
1Dn5aQsxO2/dK69sj1mqnoJSXam2mk9NRXomObJV3jXDLbCodWfYj02BqcRAsFyMxvvKLh8gaSwA
E3SWWao93V8oAohGo4OzrT6qAGMT20N761SU7fsEAPqJ2j21DUMcPcv6ONjMqh4S99uqnAScxacU
n9UHKlkrV4x7eE0D9lajTjvzuylyPGgEiDsBaVg3gNK3njV8UI5PuNdQgOrdZxo2+WdXDR9Lb4JU
4MWfezAEq3oxArRfuBhGNKBBN5afOeHvRZ5u/dzbBT0qXJ5d7SMlXlWh3iVjhJ0TMkZReLsg5rSZ
BuqeAaTuHtpzTlliNbkTXGOUuLJC+ozggCxBcWEPF7o35XgIzQlxRBWCEKi8bB/IMV2j+B7v8yn6
YmcgGWwCcnoLurqm7pbGWA4WzdulGcjszBpiRpVfQshqNnYXPJIhTLC3SDExh8KQ/BO1gk/jlMLQ
cSYAYVQYaYUwlcRJdTvTaKPK0eFp59MNmeNH1aLj0UExwcWjrtZdGV/gddbeL1p+LPPHK0Lwj4uN
zYFb07csBkUhtNm4UzVe2XaWbh38NtftFY8WdxcQ33SGbRg5zkdZJMWhHO6rApjcZE9PplXIXaT6
T2g+YRDpQFElerRAyIKMSVICH+jbcVx+jLgw5OHOBkKI3KU9KLSBjLHz02Nbwi3DDDpfW41uQhUh
ACL2NHT8amd5KdIMkMJ4uFa6lZF7A1Jm/pyvVeEdbbhIuzwBReoVQ3ovb+siyTe2F8EP4XRTi8E1
tfERAa3MyxAJetJz56YWUNGdNFTrgVLf7BoRwLFPs8QaMKwBRlkgfqIkXidxbt1ZoYm4TvaJwrYm
xVfIGtXH2reiC8bWbYn/NUHcNm57JFAnUrvYrS0geRMgDRXtnT4BxSjah5jGCqnJq2Hwfxjb80pN
gNaYvTadabs7QBAvjtZiB0r7VcO6cFywnqpkXHaxCADhyuLBHaGOupmiUhBmw9aTgbtD/dVcz4r6
c8AwTDwdglkcAT/HBWA6A7+K+VTHLiz9Xtyah67ZdhV3Xlg3DoomdKozw30uu+qxnPJNBrpsA/Gr
2EUIizUO0KgyQ7YrmVGOWRjYRQ4sqITogvIgNbKREXyI1c7vZ3ziHMT4AwEcjORG2APbpjRJcnkd
50+OStD9a5snsaThycCWoQnQ+uisZHkalY8XFgrA3ATOsQWoB6uQEq3Y1XY7H3IrgQkQPGU1sga9
L8XegqxLPaTYYx5+pbIIUz7CT5lrtv/8OTK6ZZ+GE7pJyoWS3Lw3Y9ugjDXtvYD5v4pb/PCQE8ih
LSYJLFczeD+EcwrLAOMd/uQpDmuqyd7JHCFt53WARsHsvRsl0jKzuQd9YK9S+jEkfE5Nqlw9V7l6
39A5WFnIx4yeesZJWZDXWvfdBAawF1ComhAt0irCJM8cbroi/0IxUCp3HWu9cCWpi9G3xOavCpNj
qj87f3FeJNoqucj98pTCrKaume5ilBdP50WDOyAB0Knwi5iy2FxGB1wtrkeojmbQ3hdFN+4jZ902
I6pX7bB3Kyg850UIwPPbqzns0XuJ4RnvutDC72LrQ6EFb0drZTDUxRzKCEUT2qfWchzgMW0TapK0
6SSCFw2kdXD4ACCq5eTJbjrkYXZV5Ew8QYAp6MQ0HqSWD4NrBKlU5/KYmeZMhI8t8RSAN6ZeJDZ5
RfzKJImcKJCsk4sDqEhx9Th/3iy52IMyJqn37xrK9ygM0J5MsnsQs7g+2gWoOTcgsFbrqcdYtBba
uxbzeIo/RXr0tNOt20GYzXtn3JYGrC1hmvV2NnNE0fBbvlisobiQ0UhFhPQqmkFarUYXBZwmgvgG
GYZnT3RoIUXYbKDu15zOr86LMc1Jqc4vS+12oUHBiMiVWjxuymzUWFLrSz2AhZp9nu1cEsDNFk6a
VMteIzNFUkbbTDhV157Ob0n16hXYskM7j9Q/9CXzwuTvq+WpZdzLtL1sJg+lP6GNudoUIqen7SpD
NCUDkr91ojclp5LaeVSuFk5HGo13ZpEYe1u6xQGo+7aYCQP/XdglmLlOgNxfnV+ev5ndZhcK8oUM
ZsZF3EeIH5TJdRnXHzN9T0IzQQ8hS9oroxy93Xef9W53pcCp8aCS+YExjwCkKRqq3N2W/un5Ff3o
/jiUT0Do7RMjp30qVMSTkK0MjWeQ2h7lvLAm/OCXRfut4M2+CeyC2ozOIgJtQ3F+dV446STQlKrq
TQcs7UIoZA1K6tRJCkjbpp53Mrp9GXbRKQlAI7o2VpmibnyqzTqsl9oMXXgt95gO9c8LLxlwf0PT
sNDJXJ/4X6qZKinT+hHUYjLY8QksFElIwr1TaaCkFyGY5JsTZQON6aBhh+DE1OH5MdRI7VmuJpmX
ZX36dwHcKD9YsISnMsbthvOKhU1ifJWKG8dIY1IZvQj+88pu0LGyYZbjtxcjCZoM15n2uPmGFkF8
IM/c+rCZY2Q6wBGb4tC7ePxopGahs8XAsclnIuq45wsRaZPqfNFm9l3ruRuf9jWVj36kiU9IXlcg
0vy2BFVnWxc9LSAKlMVk7BfHwbM3XainBvUh9rTPe1RXaj/M8nC2DyjQZYc1ggWUvvRjUUQ8W44e
8roulHCixrveR0YDbxti9bCi8Ct7dlbJg48s4HhOhAyo/SqrPnSKJ8w+Q10Sh7g1QPZSsyHxLMFj
ptHfnt8i6tpjVtofe53kQQdFMRAw2WpcJAOlrXPBIG4SZo6BDKRb6AzFNJ7QmLyQ9vDZFfN9uqTd
Tugs1HNwkMnPfjzn91OkqHm2CedC4ZTr5U1yxJt7dYbgTOUU599eVvr+bDvtZcREet71uPkwuzmo
eL2nMNFIiGzRg2zmEqpM4G1inO/nfENzNsA0NLmozNk+xu7hvPZ50JYd55fnhZkl37ZNq6o5nRcC
h4qcqus/75XCBKeUy50xZJ/iyN67Y+zvOzVzmwl9d3GHWAtcO+MQTnpw0Z+1EmM/jy7E5nzEElh+
TpOJ84D2xocFgB6qMdPK1KcnviwB45wwcXFPPb7k1ZjZ357N8y7iY4/a5NzQp9NpeVv4n1HafMx1
eaRr8Gl2dSlFvwvn5FVN6BV6S4gLDe1DjKlDpN88xaOid+v8vJzfnheL/mIEsLtBrYMISP/JNBvN
zrbFZdA515HMQZdwdVNPu+w4yFrX9i5LSALVOBxVUSA2ZPPIFwP98Hr+wAyGfalb5Ps6a++MfJc3
9TsbtsohyIZrq7RIHyJ09clpYBajaw4d7kol5i0RBMVIRi6Raw9gBWsiaaJ5ZbuUrxsLX+zROIH8
pHpdq5eauiYCHsW9X4sPae9+dHHebWor2JBRyn1Qo9LnOc4lik7Lvk5TpnOzPzl1ddF59UdnsOl3
OOa94UCUKzxQOXMMxqArPkWBAHqtRLHNUXAtsQCgUmIiMebjB5vIx2G+gBlzpaUqKuGg3CKG63TM
P1Vdzjgrr4axgAaZVS+U47t7Ra1SIb/eTvF8n4fmoSce86OmXxMVHr0GA0rPN5FPRAqNMv2tn4Zw
++4sD6W7WmYzk3tyM+VExkndI8w2y62Na9SaIJVApR+PdVu98ERCPzAIykQCrlKYHfS5VIDp74A/
0C3ALrZxEIZC6mMum+FzZd46Xihf4rCdaU3oFk9FjKqKaOOP5lMkjZuAwsU2tbLs6I79Vysgrm9i
dTc1aN53lRHszg8jRefhkKYoBpWtuR9df38eRYJWpAvGPwwocAXFsZmPwBAY1+beurHyxdgFMR71
U+GZx//Dev7/YD0DwA2/g3puqP63yUv/P9XX/1lX+VB8Tp6/h31++/0/hGf3L9C5xHsoFZ35zt+5
onh/WZaHILyJLUkAAhNF+L/hn7b/V0DzDmazjVmK9Fy++gf+6f/lmyCd+dJ1PEHr/r+Cf77lOwem
6ZjSthyB94pr6yP/Hvw5W2VmxfNkHgwSJtRsiuirA2oyinYmLVkLBJwJEif1/U1ofXE6LJvVO8Sx
V+byKqAsg2JAdhYLSgBX43g71gczuembDxZVqD65/e40/wLujbnQG3a23lvA3hYc7UCKwHoDVa2w
9yDsjtjbCU5T7CMFWtToWgueWflhBjLRKSRIaW473sEozHuPB6Vermf0nBgfPgvycyUheBR0RpDZ
lXl4lVT4W9jucYbwOxJmJIghDKBKgxvP/tLVMxRdYo/whtU0qKFlISF5Wd/q1c1usQ71Z/xF1sKU
bKoX/Tew5VCexfGNzVVOcBi1YO9isGp/11MRr+1Ln8KG/kj/iV4lwy00JzAb9bjTqxpRhe38YWvW
L5K1/7NTDc0yvU96B887DIi0AhTpegUesMCpWF0EFzEc3U1Y87dINIUBINFE6KFm1fC6Q5oDch+b
xjo1wlrSN2/038SFu20hq8X8lK8RByJ24if6TyM+S2EtNiBc+xs0f45iKNYNonRNi/86vyYxBpAV
fiK1gT7COpKqBNuHDBwqkA2/bQDnRfO+Ya/GIrjSqwN0M6juIHUSztssGe8a/hqiE+K2bHbsza+C
olyEUIwtbwCsSEAI/CIrWQHbOO8XG28sD9zht0PV26P/u/JIlnvQhyUAML6CdX7+fzo45ucuxaO4
GbbnA2A9UoNSjGSvT48+dr1xfQwA3LZNme30a30KQ/2a7zqKLwFiVtmDqTVs7PJJmhM+enHHjAtZ
TUTmvsCye0AIK4Jz4fJaVbepeICmsjETbgc0HrWUjtODYMPamT/orAkxZR+/SuAyZPANSEWZIriZ
Yp4xMO/weYiPjVIhToGfErah19thipJk+CqzOr0KweugR9ORIELvlQvY85+f+gLVtxRiO07mADZx
moWmwmobvVomSY6MtWUyQXrR6t+ZiFMX/Fzvgf7ZmCP+9NGykfpww4Nq5p0KiA1SVdGCpmCBxD2c
BerIaOnUlwJYmgmp+5koat0O2f1khA9BBE0pt+tPGa3H3EKIa7ZvwyJ/GmsXx24gB6Xv7MlYLrrZ
u2paekbIK/YoGHuxuBpILDalP1hoRe6pSRIz+v5DVuIFg4YcJqWYZqewSWdzfClltClibOJd4KjQ
JeNbxBG2TLXcZ8PWHvs7wsV17XZbasmcQeSUivT/+BJ/S378QSsEaoIm4/zvfIldXrXJ6w/z5t+/
+YcuYf5lMvnB+nKsH/gSvvcXM6kLEIgmJTOhlvD4Z9q0oEZAjPJdYbomXiRIiPw9bQr5l4PkSKCd
v6jsg235r6ZN+XYicsn7bGnhs8VdbWp6xvfTZjROJoKE1XDAQhGAVdEmN0ZapRdd3dz0k7JwNIpj
jAmM7DIJTZ4gAZi+0grb9a2sl/hCDMO10aPIBvZvROuyLS8dvMmbnFpxMJQdOHx11TkNhq1m2eyB
BP2JvMS5qL+jfTha4wQBFtglEE+oFbyZS5sGeIlapn5vcqnW3YAQglGgk4244aoUQtETEIgSea/I
/OX/JXHq28YD8M6mJyWX5M3GWztVllU4/b5tkGVSmBbmmEC01K9zAU55CCPAJUw+WQNABK7FNxrT
/0qeekscO2+fyxbY2o3OlfYbM57FmrKa+bPfF353C/AxA0iK9rcunBQeaL02OzbJyEgNzM130LH7
7l7/RSRjvbl/vm2fo5fc3tSj/TfHj74bTQeHk+9QL1mnrbqPWqZ0jG0sAi6tGW+jbur5yQuIpJyi
yIz6G/RtQJ+F3a3sujX+cEp+vUdQ7PXDZQXOmzPSQzoO7brv90aF8yokkHhbEsVd/uHA30RwHLgj
eFwAbElX2BRqf3xwusi3O9WEA8bE0HDw1kGeZXLTpzpELdLto5MZlQh/A2v2hUJvfjTGW69tJyDm
jbisbYQa88l1L9JE+v8do+68a0TbpoBtxS0p9Rn6jgflYBZtI8Q47Lvm1QuhrLtG/CJtOnhz+JBI
EDtumNZ/uBN+Pu2OECKAD+pbYLDdN/F3GEM7922su1IIWij8Bvm6NoNq+/vT/quzLgiYKVqbAYG+
/v67QzMRU9T5J4cWIRiz+BxGWwGFzm3gPb/flL5zfxxWOKDvNvXmArvSjJqIjuven+E2DbnaREP6
WqdQm2xK8quZiCCJ56vfb9XGrfKnzfpYHjq2tj103w7Ic5zB3B55oIUHbCk2+vIQFOZFn3jFbqnB
Iyks29N5AMM1PvSehCvWqANDQ7CqDQDbKnfs7ZjiuzO64oA2Ysh+CxDJjLv+oFBMnbLLxqG7q4YA
3zIj+dpidbg3QnEFpEAhLhB9BeS/HObstoUEh/gr/o4WipaX/god5DtrMD7JxkkOfzhyfULfnHAb
22k0tRzQvj/dtn4XuYKGRb/PRY9I3YRmdo+SXhxxVAZlBs3saUbk2TwVPHQ5yuipnG/BHHibaXIU
FOt3eYd7gGmA1RqgbdU+eB17TjtwcIRjiptFKEVBp0XVNHeqa22iWVOBbRotJCzsS5LL9GoC0lmA
ZgPpbx5CCotQX0U6XBoiff/7Q7asn+cusNTMXXqwcvj35lFNg9zNFgcxUdQOiu0wLLCe0y9TBc23
Gx+XtKKjPSDmOzrOdIBphVyG83UOOhDtya5eUuMyql5LEOCXpvkR9yicV2rrYxwu1jaxwZ4HjrVz
B6da27R0Ijv3HoIhPATm59Tw48diojw00ulaGQ1cE8Fo1isQCjKkpmv2xUURdP1qMPhOpsXdpLT5
Qv3YD5dWhrZUOTeYIiL/15vWEd8eOV2kS4SGbOxRphsbaojqLqrHRySWsgk5iYp64KaS70iOH30n
f9emjnMIXAMGRDkgxOlT6C8pCZfxupUGwnpebW8qgczvIJMnkPQ+hUK/R3bDjx7tNEF9S920Gg+h
JfX8eXyZaURjqVfOWytqCs4d3e3sJPxbb0OOaxxUPTxIEzeF0ehvojG5yDqJV1j9iJrvQiKKHEel
qNmZGoCz9BSnnBblVGXcWxWw8Cp4iVvnpfLaW0c+uBVKUkXjfBKW+4CM9AeviME9BNMRDLoLOcCG
ugEPY9Wq4dGNfIVBRJvA5Ef1hPGKFn3b3+SQbn5/V/08cPmOQ9TKUEy7Gk4sz9l3Y+TURc7gkFPs
B9nv6gKnD5UZayuZHsKpRWWLommYl+Ufxv9fbtVh1nVMXc0J3mw1aLk7AvBIe8N86mg+DFX+dUBs
bVqMx1Zm77PA/fD74/xF7OM7aPJ5VmAFgQuT+McD7aJAlUY+EHtJBZ4Kp7B5St+1Rg/p5dmhpbcN
UErtyUBrZ/lDCefnB9fHyVeH50Ggy15vHtxocFQ6KqAKhld9qFsBmVXAv1yABwEwPQE59IxXY/SK
P5xmy/5plGTDEkNE4du2zan+8aALrMvQbuA8y8G7DnjCtnZRINkZ4Y6IbsMz3TR37SjQyXm8XHcM
nvQd82dXPaUO6eYfLsHPsz5741uWLxzP8giJftwbtM8Wy62Dbj9NREGmHjaiOtviTJyskGjlyRw7
67rz4BXRy76hQIQhop9ui3h8qFy0RxxUaX6/T+JXl4Z42HJ8bU9JOfLHfWqaCqEvaHV7QR1znefG
tnaltVOJeoIl91V1o7uCbhhCxxUR817+vrCr+9kLzcsutz5mkxWtDkD+TjHyN3R8LJoGLjgZrusG
SOyDlYqrPjERTQOxsJ9GCi1hcdVocUFJhZ6OX/iH03wOa36cGn0HdrvOCG1QUm9jWmrviLzHdrf3
5BLsyw21t2vaAcW2VAOTMgJa6AAnsO1s8L5pjkz60lG4pEXAg1+QrXWm+ywWQhdXweTMMBOu6x7i
RBdsF6z+PLSRd6aDPlYWAREfpP9gisrbRlDUNqj2M4QFlwGSPgcHlWUu5TGymVanPD9EnKMqiYs/
RF9S+2z+dMiBRYUUfQiGszc+nKHVBoXu7O8VBkN9HNMEpVUWG/MBibxL1WMZ4sTyGI8Iuw8lJkpV
/DVNUOaNCfjhxRpwj6gforHvbkgAMVaztYGimvExTKsPxUT7LNXJbI92Wp+DZxsf2zj3T3lpUUkZ
dfzj4ohc0+AWDiosjqht4CnZyY/gnNZhh+JSMj8vHU67eSbhjoadDcO0eweo9vX39/Q56vvd2Xjz
nI0wy2SEIME+GgCpzfmMCv0C5wLs+LipEbzbMi5gmESf2bVg6QaiE7DDnEeV9je/3xfnVyM9ATiT
NKOQ5b0d+vxZyXF2hm4fFJ7ajyDHLqTIwPtgCtBY82XiACNHfzcE8hUxIOTWTTFV2Y0XYDEq8wP0
8RbkGOZkTo0qfVfOF16ghfgWAyV8HeOkcHInmX12BCtJmuq5twZ1DCKsDcMGRign44HVPrT+kMIl
CPN1rECfWIiCbQs/+ZqX/bzG4eEG58Bw5xTuh6KGXekH0KfsJZz2KFYSv5sYHDFE+Tb+YahJ4Hcd
wGxKzPe2DJ8tr3p0h5S5vQ62Xt+8H3rcKzWkOWmoDrbRq2+l+ekP5/bnm941kfmUxMAwcN7KwDjC
Rw0oZTj1ZfYchViUGgs9imohpv/9ln4xSAJOcGRAosxa32pldMAYkF5EFKuOyq9p3awLrz4wdN76
Y0yXAD34skA8Upby4fcb/kXISy0MfVsRSGqo5tvEuQnRyPRCh+G5dLYDhDmsGybwS333ImwEJhc/
3Hhi6FdumbkrBzINkBoy+ZC4fp1hglB7/qt0hmS/1JNLi7YFYYy2uYvz2+939Rc3uotAiYuSLsEF
ie2PE0kfJY1A2A5gSxwFaF1geZM+KzO/BWa4LpLka+dVfypmnYOWN086FT8R+HDdbOTG3zzpgTK6
KUl4uiw1XKMnR+ne2CAgullc7zLyYXnCkat3BiIcVBnuRegfRYeq54gKF4ZUUPjttt/Eca92bUig
uSTzA1h3PLr/FAL9nK9xIR2mTiSQPWm+Db+SoVcIaDMmjX7Vb4DcArfOQKZD4ExQJUy//v5q/PKO
JUVCGZlyG5W+H6+GG6RQB4ap29vAr3pxJSVbFaV7zeAMypr7dx2AyNoYf7phf87IfRp1BNMQmzhc
ZGp+iKfTzooqS9bdHtOW9+MsacSTHaKOBVp4am9IV9ZWRP6ZTbGB+CCM+RQ/VKTFycPDqFj7EAfW
tql2JuLJAPrrP0yV1s9FEXbQI3k0eZh95+2oMc4DilddxhNlyGdGFdhCOG/sQDBfkTd+iROiYyX9
nYsOgO/N72oaCqHEScxr6Tcyin21Z07h7y+X/NX1IkLmSpHd+vLtjdxHKhR2aaKZPETpzizm+Ggg
5Zt3C8iAmeC16zU3g+4PcGf0PAgcj7WgiAiZp7idiz2qCck7e5q+DGgnvsMH7g7USncdlReBYS8X
jR9fL4w0l03QDBs3dMp9QqB5XTIvgI286n3kTTBZCq6WmmkCjwvImebsQr0P1PuuuSprMgTYDMP+
2PX9cz45H5Yhr46I3HhPoolelwa9E2XF+xHb6KvcYlqz26W+1Ci4hhjg9yfsF+cL/W8X9STTI5a2
3tzfseEns1O6zR4PgbW9JOkWcQ+QfSXUgWpwHpJ4uHON9iu4ks3vt2z9ItZCylxiue1Zpu+/LWKj
jUa5v/UalCxz75CagzwkRhiiQ2Zna79yrePYtielCvCuIfVNW2vyx/S7fr8fvzgD5FIO+AHdjfhp
ZqhRvwXTJ5t9lsw3rcSNqQHVuk1GTYiPrefJLxGprMrLVIruD7frr5JJNk41lyTGo5b/5ikXSxil
aGs2+97DpmGI4r3wq89pHUWXRdSIbWIE5TpalmOq0F6Jm/gPT/EvRpnApOQnUUKzpBO8ufxESmUf
xE6DTelSYJh+BPWYQkJeIa8pNq35xyMmFfpFLkmEjeuXF3g+GsZv5hofn6YhWiy2qYrgcyXOIsS9
eztRtEHCo32XlyrfWFMTPBiOD7ZpCF/RLo0vvCls9tEUBrep8VymSAkMxRytxgSIfzba0e0genRG
G7mKqsGA9IR9B0Y7xqMP7qye4VEQJ2eXRjZ5SAkDWjfD+p2I8/fdrOa117Xpcz8FO3vuUATPwW7Y
duUwA5qkveWUPJZ9jQ1wjb0kxgn2+0xi6efGznYUE16c5ERXkaVXJK3wOcM1M1UQBU3znmqO8SBD
wkhvdJ7gW6VHyl/hVZjkdOsradwiWNTeLdCEV8No39HYaB57hIlRC0om5b737adhsdIvirp+q/Ho
Q/LgkUHcVaNjXCEmj4A8riBod8VhcJ96wQwHZr6Ih+R2QWPkqSsttGJmO/gQdmm5tz0EHyApypsy
yJ+IZIYjZurL9STMC6ce8I7og08kQdlVbU3ppb8gkcEMWWKelz6YbYQO/QhZO7D6+WNM3FbM/fQs
Kydn7MD2vF+0C6WZj5phV71LE+9F4EXyYmbWHToGH3uAy7sS0PjV7A0JTen+tZ7x0kbxPF9WflGB
pq4TPFslGF5gEGRgfb60OPFqiJhVTC6CwWgz5iCekQkiqh/y972RDntLvzt/5MULKiahLJCA8pJr
Zvbkuq8q1Ngok5w/svzaOfW+2OdadjLVi8qU6tur82eQscF5tuEeJcxdmtnOJaVH9/L86t/FCKFs
W4/U5HynLnYIXTPtwfJFahJSQyQnap3RjJ8hVP6LeMKiZhUYWpLDaz9NLtQjdwHom0QjmHD9aimK
fJvnkM0yFS03RtUuN4iTiSpsbv4fV2ey3CjTdtsrIoK+mapBvWTZLrvKE6JaekgSSBKu/l/SO/hO
nIlCUlW5ZEnA0+y99vMZNn/zLa8KFLVLuW+lfx6axHv53w2pTIjyBvsa1H228fpSE4FAc97PjabG
Fe43lOzZfghqNADjAt0A9T+aBjc8RnAfZj6BOAsCWGiWl7y5D/MOce+fRtaiWMzoZQzKZFMI43XA
9f6q2+6uqmC4tEVjvFgEKwMGwEwDto2cLS95T7OyA0aAReX5sKbEv+AS2oy9Pkhl1MYKCOb0Qpkg
p7kCekL23QtxRoFZnOw+S+7YM72HJqU6KNEla4uMsrgw/eLutqq4M2CCETfny2aZfcbvvspOjpmr
U7LgbhycIPqo5gINaCuC7dDYyYdf9AYi2gH69IJ41tfLx+zi+C9StVwaI1k+EIEcDcCR99qU8qP+
qh5Pun1WHfQIkssRhJPTvnxLk2h+83FDysAiknqWmIDKFFAOiLat346s6GiJb36fO7fnPUrXiV4D
9lefx9Y0UCMVsyPP6FoB+XTl1xMsG4SDf6wzIl8W0smRsbdXRCApvo5B7jyCc2t+l2+PGSVylRBT
u5equGgc682sG9T26gU+CBlVC792pJLom8oaf2PqMNg5Jf+xyjF5aWsSF3Bhy0mLPu7tkyWnMmV7
ntyhFo1fqXa/q3E6wb5ubv5kO9e253vS2qHekI4xXHoYDa4vsj+ZD17bdlOPGYTZxW3q1VtgW7yh
zVC/LfUIOE77P+oCOkOvhD4YGt2xpz/IJKlhxCIkFQaDY9hLELu68MeYHTuSRL7Y/+pYy2XY90Za
fvd8Fu2P532HKrcSpKIpzWnVCdv+m+8ahAVKG0Y+GV5CLsVHM+dfnEiqrwaQRyXKt8Ju5UtITuVH
VsROmtcfepzGuxPml2z+EG5nvUM1bm9hrb+lo0y+eTmEjmIwfj8fVW6eX5q+ItQ3AeA3NQafBrPX
OxcZlMR+8gYRN3mbBxeYYLa4p4oV6EYgf92TcwV2huHSXtjW/C1KSHDLc+Gwb2vnb3Cswf4H5i9N
8NW6a4v+bdSZdYnc/FUi2HobHjfWQ4uuATWBOisHsBseY2eyuY5TYz84GDwsxqF4yxsweJP5BZ9P
7bpQB/vJj75rpyFXfvI5Fm2SgA03wKFQ5r/6v3zQ0x6GB0y1KXRfEj+gH4fsWKG5Zi0HJkCX4S7s
BtYUk+ywuij/7Bmh2GKKw/aYp/MNm9l8e95TGYVMW8JHWowinrXDPk/35YuuRXbzq4+oQxxZq0fY
sJMC5wHVA/WNiU3Q4XuFDmEf/YduMuqiZR/NdXBymK+VIrti3WoJsivFyRUIEGHDRrsJt9dYek3M
ira/2zl4Cke7wanDNnuqfZdvaQCr5Hmxa90HvKKYaPQTQomfNx57A6uMzJ3Zy/TsRt2WDCT74CbJ
zyUfTsRN1lB//raG+u0ngJAq5mz8AqcIQ/RYZTKmo442baC3uTukJ8sETO01VgG/AXjavOwlbcTK
c/OtoUhpc8QfOEavZZkQE1HNcbrkf41Z7kAUY6ie3C08Rl4FdZ/C4N8G4X6B0LtSUG/6rP8cOuD2
tvxTqLPLdZwGBo+U+wNe+6tpzNWG8dedcn7TaCQpQUn26qy8dNNRQxq1ew7H4dOeh5dlemyVxa0K
0sdVl81S4qIkgTkdlJ+hneyJifpNcuvO7fOdRsqvIk5rxr9G5dfZDv8sA26Bxmmx5WIcHoNwgrEN
ycwcxJpVaI5+D7JcMC5ybczYXLKoOFrt8jHO/kvnq4XQEnEo5XJw5uoOPcEdaZkqMR1wxjargphx
p1l2fW5sZ2VDUsWSW7FyDOa/dJx3ga1/MweS/HLhMoHE2sTbRskKVYzoTWplDFtqULCkxbey7NTa
L7zXwjXR0vcu9mJFJpnjMa9NagLO8vB3aFV4IHNCa4l1vTdR8urP0PQMDaayL6hMDLN+DBmD9cQ0
Do/1rSrGEJf8NMBNrQ8DOK7a8fGVN8Yt1/pnvvgxWCtrY8qZX8ixvhphXhmVYEoJd41pb4KF3jPq
lz/ZlAMlUNBEFd8vrklqjam4wnIIUB33A6krZrFBEUJUs3BeTAn3uveqYq2sYl3Z3+2R6OMe4Y/y
+KrCLxJbuyx6JKTdlQSBJja1JWNWVdi7DXzyaWtfPYM+opEiRwxqRydsYUfbDf6i2hebNnT+GY1D
JLnXQqBeSLRTy93sIzpkVNCP+Leta5NxVzZElJcJnmUG/3AOMix5ivQ/KFUsLfzlEmRqPOosA8fi
gMie2jOkyG/DshCh3XhAE5p/DaPkFJ1sP9Z/w6L45/QtrkuCGlYjlQUOWnATNZ+xq/oPXzlfnSUQ
GEjMOa/uLTdYRqcRwLZp0piv0Z7mkPrCUJgIGKBGiWI4RbAdy15siJypLipJ48X2f6LiwOvReWTk
+B7q2lFx2bX8jVVM4aqbhyd/YFOY+rtnGcYumKabFMoh6A65g9VNp7HluiRUcKjtXO4S3DROai4H
LPe/Gy6ABfzO+zDLmyoqxNB5FmyaTugTaAV9et7rH5EPaYRppefSo6W7m5ZUACV32lMe0OYyZ/Qs
IU5V6BpIQUCONV276kxikcl6aTatycw4LJoNRgl5go8kURn0KdRFjxH888mxcLoTqMazo6eQPJWx
O8EoYqIozG5jRmV3sulvkKxPwt4RC3AJHv9h587i9MTO15b2OErDVQtHca1b/PLP157VkADhnfxm
NZCfilTnJ5/eHcdcj3VHEvnJ+4zbFhLOyUP2irzvIfuQetmqPLy2Zbm3U2lsiQb8pVLRbDF5d6ta
wdiFSypOZcFyAV2sxxbFGE/kwM77dvZ2Gcv2WtvToSbSgCXQ4y/QBB5D6Tc4c3oDZOO4nwWykWnC
BAuUsD89b9gLxgHRm3tpeAQT1PlBDp6LRK2G7lRl7P87kiFPuWd8SiOZ4v7x6PkULfg5b4Jiu0gC
qdquOS1oYk+hXr5Cj2LJwRiHLscX29HHDdQmC1DI4vEud33fbiyxNCdeXnNYAFMEhGUdipALf2ZW
p4Gg61P5uGdNGc67bECWPX4PVdLGPEqOz5t2IXTbbayPpkpRPkvC5p/PF1XEqfJ5F/vdljFdsO+a
OT3NeDvBCnMvypa9ASh5SSY37l1r2kNS3QWyc+GPyu4zE72O/3toZFGFNW2Es+J4mNgyujxMnaQf
Pehf3MwGoaS6/azatP7v6XBww1XjE/Q5LaJq4sF1enoNGF31OBpHSZCiRWNKajKQHAcAIOdxdXVK
AqmyoL90+S4kT4Qdmon7OeS6RtbRCC4Rg7fFJ77C/1/uLTo4ogJc+EAVTNjQDC8VE6tLpYkoLyKT
CA9D2BzkJYINQAlxmv1dQis5MeSTeCalXEsy5P3OjL3Eo7l2QkhQEdySkuAol92D0dGrVqX5exqN
aW1Bu0TsHf0h5zjWYQY2CAjhNA3NWkZWBv3l4d+GgQ3J43l3yd22P3EQN0f/+Sz6bCwT6ukEfzw7
Pv6B11nF1kkYVRhEZS+mme2fzztZA7fr+a9NH1sagpPHX3/ePH/88x7edaKYIjwRz4f//T//3T7/
aWtYsEdGQ67/e/L5t7C683Kfd/97/LCB2rib/5/Xpp8v/vnH/70Sb64+PXvBnPl46f/7JTK8Alut
3c/WVlCRnn9aGmAWPc1lOhXD8Rng8bz3BOL87+Hz3vO5/+/vIeUA8TI2357PP2+mVNoP7SxEnedj
jLdeDKD59nxqyaGhyLr99cQe+SHQqzoK3M3z4f9unoikdun4tJ93OacDSYq0twkr50haqtxnhLCu
catjdWs7TPyGe0FDCeBr8fq4HIp6p2sr2QgdhCvzsQvUIPNIbxr+6cIa1jq1vHVe+7+5EImVycl5
B4r44NTNsiH+yXkZZquPq6TRFx90Ce7zKq5rhjOyx1LhClT3EwIru5z+kvpi7paMEFQf0GtBXuDI
tjc3f4W0LreMUQd99lsd/KBiyzaSE/mKRONg3dcQwE04ZEAkqr+9Hq7Ss+8IVpB9argZSZZ8gh9E
jexjcDOX4CsKXjzLBFLU/YIEX+HOxL4B157uPxm+wczlvybSqlB+vqvb/JDJxd/B439rBsRFzdLt
aa1eltmJ80gRnJcmMPgYnjjWcK5kNazD0ZzXEWo/x0/UqiSE0ZlYAudthH+ykWsV1FATqu5X/jap
7p5D6lkJx6F+Sl+cVr/YRftvcPGxQ4tecf38q5QFvXCg8QhhcKrePRYLMDmvYIugUVjQ2DEsYsbC
RExSIQ00pYbaWm0bnmtHwP++jWbzmpTdtJMpBiyGkdELGXC/VAPUpAy7PyId342hm7cjDMt13uhT
WmRYMWKjlgGf7EOWOLobfClyW3fjLmib6JRKtAk5tZHVTMZ+tP/6TWLtM/UtQ771mpK7swJxeTbQ
p5ys+TCrFjWSY56jaIDkHAG8y8c235iEl2zw/1pcnq+F+NO6KWRJWuDY8lIipby2Wi85Bg+ISsEu
SiXe0NJcVXParq0e42kvS8ZaVnk1yODd98nyF41jeQ3ch9Nehqda6RwdmZruDsKzvBafRiX6UwA6
i13HSLWD3epS5WLvKdc8zGWOrav+MHgJJ4/Rx0okZAESoggR3q3cuA2KZN/b4ifdrdqww4G7E9jq
Rpi5OVLyNQZreTEO6brRgSR13mG3jlF4Z9UBDWFL784IrN5KpgP8Qf5OQzMDm8zVCn5BDw/6jo4p
ojKhNkBqcPKl/03ZeNSwns5GhcTF3BRjbRwWBPXrnJzrQ+03Ar+y4EpUC+rgkpFt4hDjzSQRVVT2
IyggLFXwNjdOIeV5YD7Uhyiz3DqUa+Hh0A+n8Lu2CDUPf5UEVNw67MWJLNaLZ1/HlAkDHuJ8X5ot
oE7UH8qzOPVnmV4Xs6pjfLURnCiPNOvS/ZoqIszwuWbwfKj3MZmltBXrxco/HXhscd6M3qZoaZyy
liIVKDGxXV0VG0bVM/0gCiBoJzCFM+lerRhfCHKW24wfEjHnOoxjv3LNfuJbA5x8bog2qEL7Wtms
hUvTpbT3fQ+nKyfmyvz50IAJQ1KM8O7Q1zHRr5Z/Datko81/GK34N07aPY4WJjoqedDKPnKteiG+
0YtqDiP+faQHe4vz5zdwz1g3Xrel5G43WR4Fl2wiMa5ygOJ0DXJOT7KTZu53RucUgkok1K1kqhi7
Us972UKbKoa83CT29CfP2/nOGRAhjBrHlez0eMzLoovnCRKLXGr/YNDNWSi+CfchMsHv2pOlKMAc
0/5wiWOMa3wtBzh2hF0vRrSfVXLqxgLiJ0SFt0E7fxLv0oprX7DHMZTnPCbBxcvSWtEla511vXjU
ZrLm0H4cRZPTQevV1i1IJU1cpGp2lMHOd2ZkmRTKl+5xM62LzPWOQTMExyGI3J3RyXMfifLy343N
uXFwon9Jl1FgsYSARjOx+oMkww8LuuzcNshUvJzoN9aBAStAhoOk5nlTOZ56hPNQ32lk7JD9RZ3C
cUNBB9Og5kz1qCbtnSfTA6Q+eNR5jR7BaHBJwu9sggAsZGPEMu8OQzJKIuB/uhZRW0RW5KzJM3vz
0avGjytEWIy2kgd4FXZ+S3Z3a3O2NuaCwVA07V1z/Dk3S3YIEsXPAt+fRA+UrgXSZ8m2ocjFVoww
bcNHSp4ZDNUpfwCxmiyP/Tztf0+1+m2bek2GEFcNE7qB1PCJG3/+29oOhCZnN5ezzyw0XGlpiDMq
552ign2xyNEr6GXIu+QbaY8kSnIN+p7bKZSpvPlchuKSJSw10qkGQyI9g68bRo96bPcpU68Y5ZWc
38kBEQRoDsRUuukPho3emuIW7Q7MJ0MvNtucSJ4a0F7SBhdtc44aOTLBLO8cTo+3jrdvzm6UqVMs
RkiUuKGKdV0+DJLFN0bemI/gljXOLVrCCGVtUDFSBwAUiOk6pdCcTUQW26l+9FhhNR+jCnyxMeqX
rD8NMyma9hDeSirAtDLkXTrid15GfOlcVV502X8vuyLfzQxf4nZUscfUbEudTNAIwM6tnEUYd6V1
yVy6EHDg6wk+wylgmb6tOGlv0tRd4kkqcIza3s5M6tce6ucbAbXb3lGvoNvRzxVdxiWW6kEJQsvn
H1g6avAATYAjE7hl0IC8axl5kUGBgA282FmjESeKvvwzWalYO5bvgiQqWfBUzq8K+PLOnSTnWGZd
e0suyRbeILG3vTwwl5kP3khAGyCStRpEcjDqBbtkqH8ZXuScuqGIzjqK0rhCU4kay2bZpiH/kYw1
XBkFmOey6tYW6XwvnUsPm8z2zSKnJFwBsSte7lBvietlvbpPveIRjQa/fOX52t7j3JIvTvKqpFO/
iSolGiC1X9AoNG9o48s4JGBlY40/5JiId68oxovO8h8cbt37EI6U9V4G2TP5Z6ui/p6PqjuZwiCQ
6/EQZRzB9r5dHqGGkI9SMWMg4yCe9GT9M/LqFIphKyO9UZ0XfK/nPn2IAJmSBPSqc6tv4NYl9oaB
noBRkpcUxd62u4nogGm5ObzNK69w60OFW3M984N2EfwKSDVfnlaHqgjVXfhZemVneh20qN/zatwz
grKQo1X/Bm9QgK+J63Br81853ApE/Odu+sVAor+UBTatoUJa+SAfFDU5ew8IxbbI9cG0+pGjCwxE
CnL0VLDMmlDA7GpEPey2KDvnDuhkpCaWJDQvwGfzvfMIQiZSYufxxT2a9u8c57U3KzJRq9TaunlC
g5sMX7bTXn27bq+exbgwqQd98PrlQIwrxBvMSuW8xAaMsxcFcI6oCv/A0navhunVc73hOhfS5Api
qVi0s41nnqtrQh4u2r1sBw8mIq2eGnZqvks7w8jL8BJVZbSvhf0rGEznAH/7op1HvJh2yCoCFmM+
uEAV+yYCkkluG0P3XEP6w1rHQDQIpm1ZLD5I6mlHvIB/GLK8idOKnKdl9EeyOl0uuMlcMU/Q7t4h
JUElcIDlVNyIAdlYueXd89yD05/UAejzwo3thomIwQoMoclM4IPrrM0JcsVCSuEBKc9hySoQWmGF
rIozxST92GFUtfFaE7h/6c0rWMMfWWd5JwfHwqoG6bLJdB3FTSirte5z8WZV9bb3GSm3qFt2wicB
hkVVvkrRO94ixuMru+vnTcDizTL7A2ckjfTDVww+VPYaEgVjIqvuveiv5SbqoBwmw70DG37OKfqm
Qmxsumzg8TnVQshl1KxdY2u748UqjTkGjE/6Bf3naaGdRe5K9qP28i+bEevBDaOvdErURXpbKyuy
l1RjFqlG4qZZtNcUFwETFUF3R0cr9yZibUd3zXmajwin2ZEWPezJzJM7J893iDBRnPv6kJREUnd9
MMdT84DslS8FOUpX2QEdsUz9jTShpJDGp6XZygTyXsxdEhuO/j1TK56blsaT4doZ5slC3ArJQHww
yV66n0nrJVuc0caXP/1Jgsb/tIrfYq6TbeTp+eyGZNnIZmEPR3RTkJfZJWtwwFhu861udH9JhtJ6
VdO7KG0MEMgSLlkRltd64EzCKH9XIji519nIeKjK/Yuqrl5IL5eGqKZDoGJUtv1wT6hg/s2VDK5G
PjPB9hCv+pCK89Dg+ysYLwBhhTxcL7iJHje9mw6xDEi7pWyMrpF5Z+11rmdzn8q23MtleRfZUJxZ
UcyvkjgfYzHoNZ5Odc/93vULdLbHDWO7fVHafwXY0G1vVgEiVFLmqd0xA6Xz+5IU+sL1QL26yjxm
dvY1MSZmaq3Y0GSo0gIj6i/LmNT0BYbcoAbibXWae+sQLGEE48RoeGTHvlQOtBC0zyAcwgMVA4xr
mUiSXDejF0doF7du48zbwDebeMyINHOyfktuzHICai63uW06K20y8zQNxToHoJTXednOmpPpXqIb
mVhSdgS+n/GO6iMkNZK8xUSeDinvjl7cLWgFDbmNdU6e9xuVddhq65QMb2K5Yotc4ck6lVUq3hov
X3eopTAtnWcSSQAYZLH0RAInAgzPkoCyHYwkPedhQ4i1k+8zFgxMQAHAOeI7y3fOIi7R6boo6o2f
D/PNaWcio2a/AFKVjNtmLCQ8QZZBlvcLLapx8DIR7rSVw9xi4Pu8MeQUrYXmjRFtXt/JE9vCSbHe
FUf8sVBkJJWjqY5zHv5okvSvgXnzpXIcpJKNAI3HPHmG10XJ2IjtUtb1hlDtcdNK0NtR56eHekgJ
kKs7UiqXsdt7AoZwAgoXCBzRI0b22PGTr+t58VAk/W6YqA67PPy+9MulAgqwIkFVnnSQC5YizXeM
sQNfiSjfZob1a3ZBjM5zNR0HeuIdVMFuA6rpbi+jvNYq17ckaU+Qku3NXDuko3AW2jVTSZY2nHPU
Q9kneVYWJ8mq3zoGAr4kLCiFiomAZyYSNy/9Gdn/ukA5n1E7oevzqx/AgjhFurr4wVxdwM5cd5Pr
H2isfc7eGP6mzOmQDDgyzurpvbYKeSHPYfHqfDf6wwOcnEQHLDBMB3bloPI9Hvv3hlD3TUKgz3oK
CET2hhC8fjmMB9D5SFcgfl/Hk1kHf0Po8eusS7yN7c3vkPvcwziMq9DsESs8Uu7BXfOJDgN9R4hO
YETwhtRmIFnW8FPWtcsf30WF27Icp3uEfWr3gBxaYyD2gVjcR3rnkLYiTooKTFkXIFmnKyoHAM8D
IjzmWsSOMa/o4NyPzabMrZ9dsu0tm0rfYO03iGhXCYAbCUEpwp1bhAbZuBboTHdVsuxVI8QGFO0j
jWczhSnbT1K63Nb9N5ElA9apZNLvJbnzYliWOiadsW9N4P4VgytbM//xk/Eia+OHrvXv1GYWUo/g
KZoFqLSAQ3ZoDdLXVBBdhFGSbdgO4QY1Vc1CkyVqZ1lx49j5luv949Al0kfXMnb096K1KVPIHhxq
zveEsEi/67jUA/R3o0LsHcqpfJ7g8DZ6Pzg45P3ERnLJSIZaAn2dIOgInGhct0W4KovsOwxQJrXM
+GlS0fMIWP2ogK6VXKCwmuWuTOaAlLvYsgBcLUbfbIKG4ZftRQMooNxeDW3j7BIJQ0xxjYKYP/xh
Hm7uQgc0LkbpaTuxZKvK9idrMn83pw5jLQNrDVXQNrUzklR881Q/gm408a+vHcOlWbOvHXEvnAw1
ZLR5w2tXZlAGyhQ5xGi4b0PzM7Dd6ogMVq2GerYeCBlvPz76eoPBmiJ4dj9j710bOa4Fj1E4ntuC
MXpH5VgHn5lBKgxQIDDqZqY3nSCACDJtEHM2PPFhaXwN5K4h83BuJM8csd9VK7aqE7UsInEJk4io
mMVdZ1lPhg+qnEM91S9RMLTnpimY/PRSXoOAmhOi7JmTMPzhpIxuVc4cJGe2lhed98ArvlNBwZNu
HMQyROg5oV1sXLz8LD/TbTrIaLeYNXIKvQq7NtgYdSfJFl/eLTZlj4lUcLTsqt64Ywv2LuSNm8RM
+/8IDxkS670rCWbiDEcmn19iupl+jpNNOnXRGuveYbyXbUHrZ1u7o3xLW+tXBgqOLUfzp6dp32lB
YJHR/m3KPjsjsQvjwCv+TDCuEcik1b7Acu+FU7uBwkR6eZj8su3mlhTPuS2D7JnYE+ZImH9HvtWR
YfoHq8k80sDYv9Rt1a/TQZCmDAFzZWMtfGQhupxn67/seWmygNDGyQLZzFAMi0KjYLAg9MUZvphh
rAsKkc9gOsyDDI6lNVhryyv4dMKOrWhWd1sM/MdocX7KoDDj3MxIeCezECE/ycy5Gg/dI1lSS04l
1JH3JvlnQdG8m643o4YI5bYBY7fzU45MSLwrZo4RDTUC1QjbSEomIyLJ6FBW04+hAnqYDvOd+Kx1
KjtxrnAWrAu/ZUO40A+HxOjtJrg1aUs9kFcMg+bS/Z1YjGjccuBTnrx9GwBU9z0NCRE24NELjV8V
RmKy0Dh+af4fvVV40g6/nqtDH/9IN2xqgqI3KSvHWzRneydA0sWENt24XeLsApYthH4d0zpsV9Ns
tYfQ8KtdwdgvVu4PczbCU6eHCAPrlB8C99oyZCHWudSGcU8tD6aEDZXKsHsO5Ep+OkEyHTH2EY63
mP66Zf2kXZ+FvtMJVCTkr2XuEJ2eN9Xk/RHM1pj95V3M8CI/sC96SULhnjPp/KKmNH9X0r17iZld
s7kLYysjakdBHepyZW0ZCam4Seh/cJzxAfdJRa/pww6r8s8iaq/LBC4dQPalEI/12JC+D8hZKZiq
AupifehKCIGpmcpDo727A3V9B8nPBuzfsd5bc8nIUrDK6Dx+D5Rroww/k0pSnE9OudOlW67rCArz
PDvfiqDZ12P/02778l0wEtqxLkPhoZzuWo/ynaJqPmgTwNfSVB8NNdKcDcTBRGQRYATfJkFJmyaI
kzLyCaQpCMz1HGKw78ivzAY7O0qTqyjBHPSGnYfBvC9pBYh53FiEnnYADc5ksccPITuJf2l477NW
rQ0tTCIPo68A4draJKgTjjjeA6xbI+E5A0jL1jnpOYWtTi82FIzfSrAIDBomK5YOPc3SmpdosbgO
BmJXp+xi5kfADaOx4ALKf9e3JBOM+Mv5jJPXa5UQL1dEo711O47yXthMaLImudSm3pvajY4VtfRB
VbjMfSjvq4AQg0xVxl6nMa+DvtwoXuc2AH+q5uwaYRnMCvwTdmpVu5o9JSso3R8W4dIqG5eiBX8I
m67YONYiDkMzTHGIxQtUbbLCDqIYafrfK46Vl9qaQZj12aFBQXWrhUFGp1QHUgV6gmVS0Aciqy4T
x2XmaOtIHhxiE50AQkALl5XXbCAPta+8/FwmgChnNdg72VScrRqzWD9P/KGimwwMSMvtQPoY1w4i
/ygVzU68tGlxc2yGvourNhXJUyc+TDBXfC+3qRDmXpTjhal8B9pa+m+Jz3Iik/YbEUeAXifER6pk
M6Ry61dTiOYlD/qtajv3R8igZY0ViJeEv2PbdLXzYar9oP4OYnDfO8ccoFgO702Pfop+GESak4Iw
r7K/re+rv23LfM+bo9Ui0cN6xMgATJ7PyvCdQ2/r8hLa7m6Bvf+Dy2CDBtEuIHcRMzg6kun4OAfX
rERT8oDJr7UayZ/qyB9klZ7k9juRYK9ZvfAlMunO59YhlEfhEETJ6VwHyfUjKQbvpsSi1hkggpZR
3q173MxmXeGWlfrF1ZPNfMB0vy2oxlfZ9IFPLnr0uGA1puplFo7e91r8q0XZrcMi6MgxNBEUubN+
mSIrvUqTEKqsfW0SOl9GN8HJY84JEZigmcrJirVNBPSWfAUCzYreO3S9zDEB4G1bBHW/REtbUNSi
g2thKAw0dfZk4ONNyy/Ls8jxso0dts0stiUiN073X/BnCbgz2uGQt9Mj6l6WWyLbfBxUGbA6vE5v
Zb38E3y/81A17240Qpilj16VHMuLqczbpDn9kAOJZnUBfU04VUvA8EPY4oYjq9UlOZE3zJZlyc8Y
GgnEtM6pZLndDk6NgCS6D1Xa3ia/lcdS8a3DMdSfQj8xL8pt+iu4s4PZtW+OZzB+xplDuImkoBm8
tR1QcVlR6nzTc/TKsH84qjDbuFgEVnObJm9ohD/cKQTsWHblqfOJuLB7DvjWifJN4ORMyJjmXaKC
iFBlY9DVmV2f2dHSYwm1J9FpjsdisO+tfpqCvU1H6M1Z+2l/HU3zYnHO2PRja5PUzFXEqBjd+mmO
8g5t08QCy6vIeqvQk76mRmveo+zY+zvMVtXvkvHU2tdm/9Krl3aoqnOFuYDGs7S+I0zEwG1JBOas
GT7pF9V0SYQb/nCKoWX7w0XRYvxDdRiwXYI9x8xy/NnoAumiL9xjbRFfMbfmyZZcE6Lc2ZrYwYOJ
FOsBPTmfCienslLZy6Sd9zak1nNBYxJ1zE3IggrkxngvuH6/YIO4W06+8mGEHN0CsndRWPlJzVGw
Hjr8Rr03rWhZJ7613KRg4JlPTNO+GsedUqV1AJddvCYI43yyiQPOixAA1XLyGWDsZz+dGMnUx8nA
FigiJ/2QOWPXtO6TM596g4OxYwDtls1XlVCIAOvI73Uz2rue7egHu21kencme75b3kgvdlb1cBRh
ID5q8OCrR7wLqbgGtqGLm5rfEhaa/1qn4xIYeC/+yKRP9SY/NQmdK1uhewmv8RAOybydoURt2rG+
tovKqZ9o0dtSmBeTWf+D0vg2IFDmfW3yz6xjvNOF+MWI7o5dMn7paK01yQaxqpW4CAJgNjWqTPZQ
hI9ahZe8yNr/GaZ+u8t89Wb/H2Xntds6u17re8k5s1k/kkCSA0lUb5blekLY0zZ7/divPg/9J1lZ
C9gbawMTmu6WJYp8yxjPUIJLHSK4bZN82PhzfnLi82tqM32wRsc5sKcv2ASTcGJVqb/NU8A/nTl2
Dz3ukh7fwauoGXwmSfSg4TZkUaILaMICl4e/w/23FlIXX/CIgRl6ScFs6vcmtjT7bAameoLGtApW
Cvug19Ss6oNIOeC1JFdfmxp8Z5eFzsEgDsNrZWhvCJfKToQtod22rPYp5OBm2Js8I6aKN4wPaamm
wN6VMoCU2Lvl58iKaIw09RjGoA9Kx7X2ukHyTFPAiDQkq3ojM/44SIWeyMHRqQasamnb8DDVsh9u
4yiKg9L43wPjoFvkx9O6zBEquL/zqhyNaV4S4/g7vhK1zI7O+GPbyjCsDANlJ1AZbQnhDh50M7sO
oth4sojfWkbE7+2l35G6o6n/9a4oud5BixvXddq1W7WYM+XyIduRCYBZIAvex9aIntLy5pYu0Zi6
H9x6o0dzEccPbh8qF8AHmzL070x1xqM03JAkGNd+SHI/fNZ+dxHtUO47sgZdfJ/3MJ2OjWvZjFOS
8Z4QdqVgMjvUKSIM2hzj0NtYogK3rl4JysELkAXlHm9mt6lrZg4uajbAApDyk5YW2kKETZBp/DhZ
9bCRWe/gL0nzszXig8wNNrkjUnOvAyy4ZruLotKSxVkvsh9GDc6m0lUUDHpv7KjIeUlQbCyGjAW/
PyqcZqh0l2ozTOvWpZelth5PgoJ/WRY9yVyWom1dzWwu3UTLWyaB/jyye2hap71xx37GmrTHCXmI
1yZhT2oZ6/+6Sfwjsu/GY6vJgtWvxSVBUewky6Zr/UMXUPBmsv3h6WRAGIA5B6xtrPMsmS/FmnGl
0zWvtJWER47WIVOswWuGAuDty2hlyb0KlPpO/RYsAI2GJJ1TH5GOW677qZnO1sCgrBntl9ZQ2yck
trS4djY+sNrRzsDQV21ixycsHBYbyPG9Fo12+r1ROo1lDx5I5hd8jDXZtq7cbuNE04HnKt2j1tNI
p95HbZs8lNI3Dn42cE7TaGuEbdwn7bFxFf1F+5PK9uwMbvAcKnpwgSjyMgi3XKWkcOJvC/tLW8v+
kjnTEQes7+5B3gAoJdeBxmKkRJ0wvrImztW1rGr5SzQg2hCwf2wQTmmVkX5tzfQjdtFeDnFpvKCT
IgHWf2w6OpJYaMG6MLr6FMr8YpudcqFhQAQUdsx4prg+aIGylyXPPNCUFzFp7dbsbBCKdvdGZ6Ht
MI4ZB0Z2wXYYtGztDnhm6nTKPRcdKIOTxBQDrWpoe3rgV6sC7xxus/o5ZCq+ZNn9kZp6+DS1V9GE
mYfxv/cm2X53ZXMbS3j3g0lGEqSKfVcYFvC44ClwK/XQZo0JWF6ZVlwnnE2vm91fhsv/83fsRPkf
/8b7fwrWU1EQNv/w7n/ci4x//zZ/z/98zd9/x3+cIBMWEsnT//OrNt/F+SP7lv/4RX/3k/nt/3Xv
Vh/Nx9+94/3yvB/a73q8fcs2bX7vRfBdzF/5z37ynySaYnTE3Pp/J5ryt5DF9PdE07++529EU8eE
OQmrTUf8YRqAEfpv2fz7vyiO9a8CMB/nEbYeM5KST/030xTbuizaJvz3fzHUf4VcBNXUgvQGp0f/
/0KYwqvAgf+/mAnEUQAm56epOGdNOGqzQf5/Ea9cnUPEL5x0y7zsu4hJgwb8pU7VD3TI/aDoMMzc
5CnKqqOKAH6clfDOrIlPJ+00/m6x0s4LANDRCKOgT2ctvaOrwbZX4nKZ+bbn1y75J7P2Xvbag9Mq
Z1yZ86iEVwAhbz/1qJYr3PnfExJ+VSjuISbKcp2G7MGL2EQahuJfztp/bXYBDLMfoMYYQDaY9NLZ
K9DProFp9g+Qi3DO9NceW0Ez+wtkzAlBFNa1VFD747Gh2DLkSQGPsya4mPyF2avA2hyyDfAevLzK
Ikz0LyYKAXxlA8fINlQjrCGJfs4L812bvRBidkWwU12PsfphpuHVTxGgyNlAgZFinB0VyeytKDFZ
dIy9ogQgsq3NcQM9nFfb0tjMMeCNw/CROuih8qF2ExSIdxAjB8hCRrA4O9TZ49HMbg/27xP3EgPI
7ASxyqd2doZMyaGYnSImlpFs9o5Ms4sknf0kzInNpRu0/QoB2YOCcsXEfBJjQoGuvEmygBXuhCVU
W/ezWyWcfSsGBhb+6dhZEsEkfKrQlmvTisfqqmJ8cWYHDJLLvZg9MYAdOq+efTL97Jip2IWTU4eh
VZBCDxRqiZ12WKBx/GIPcq4x3uggqxtlX6ioVLDlWNhzXGw64NReyPDieBAQeqw/ic2YU2nKC0qq
Fajrq43hx8f4U2IAigjDWYnZE4S/u6a/F+y52odp9g3FmXPrG/NNaVXWe8XGMI96036VyPrYY8DY
iY/4BJH4Y0gSkrRzA4sSMcRHc/YsYW1Y+GO9UVBtNpiaHDs0ORSSm47dCe/QxqQz7CrsNQaGqAJj
VEO46GIYkGQgGAgOvTt64L7cVTM7qhysVd3ssRKYrazZFKOOfwzre2zR0A+h6npgChYaFSYSMx71
NMEHYms4vUqzBEPPS8bv0xMYRpZprU8+fM5QT1rCXTgFSTBhnK0j6YenVo135Fq08BuhsifVlhNL
9gBwpUGCDPpyuA8do1wlJkRcMjJnSOPvLNd/nRpEPc6IG2ZA6Fsh0HNiossdIr27zkAcrED2iWUA
JAhhjhEghmWlqODOxu+mAOdd8GRWoDw2sm1dT205fEdf3qXThrswrMZV3vbvYMf9IPeSpnKWccWU
NRTFSSbqe64E7o7N2FM8GNoisgXzKiZh/TQdYyU6FgXH7sBYH5bL9BaS5uiFXX3MG1LopT8shUIQ
VYP5u0gQQWJuSRD6tVvfx29FAl64bm350DmRutW+lBEkQJMEFg6kQWBlqTqcjey+oVQd8mb+o8vh
6uRxj0e4I4YvqrYBs+mtQv4GcxZ302uaslJb6Sz1sCfjJ6nKJRXWdGcYyWEUfkaI/dhiVo/D6CQX
OEWM/dx0X9tWScXUVXwOZ0HMbo9FGHEu+KDXwn5NwG2eMauvUnamtN7WsbaCP7JJsJAW+jNyJLEt
eh7YsK3QzwUYVHhVQIk02Sg6iBTXGau+MSuQ1XdVj5KO7LpBL9/S1rbWpmK2h5RdV13oy2n4Y05Z
dLeGZAVECmNv32VIJ2iDzTlLHiLcLMm2j70CtQvFNX/PbNBUkoNiH7oKV3g2oR2oa6/SBGbxzj3F
TWfz3Tp+vnlXx4Rnycac0WAinrFS2CuSldbdvOeTerIemrC+FYG2CxCmeWqZSlogQT6igPNeoSJF
NVNdRK1tZZA/IWXx1/TSG4MkyAP4rp0ZRu9cQDFSTf4t6sm10ezhAdrkKpwMl5nWUB97U+ItmZDz
KlOePTc5qyR1OMWYQy+awwXFcf0/Wazw+2sSyvI6ZFTxqcRoColcKj1h1dbS0bQnotWeM2xqa5lH
B+polGcEc29ctU+9TC0vDoeBDhAOugfsHPDlWyvqRsg1ue7JORVUH1scNgH2AJ+YYaVSy0UUvimw
Ca8jZpJwVM01RvV2wdwpg3U/vIV2W0CmC567keRkN7IXqBxGnLdOuLQ0J1o1unKzJhmzNVVRj1U3
bHdklArZv5q6nM5oGm5dYeX7oeGuaqHPYtnuw5XmzC5FGU1PhaJeHZxMpMA5SG2HKtuU7rQq4ilk
xNUNr2GpnbigSZo2I9qP5TUvptRjl6FhMvHlQdBgyFmXlEwsyxl8yUtY7HQiETiTJuD1MHmnsfXR
6m2ExYku22jqNwtt+9ySqBBlef7ysT+2gQwvKCHPelCSD2sxd5RW8cm1RrxMtvk06ve06YYDm5fc
y3X3scuRaJID8ZJM6Z/OoNpHz0tKe+JuJ2daC9xW6HngpmfWplbtL1nUeDKFeI1DHb9bGZ97rDZ7
9hvN1G1CA7rEaEJmD6S5pASeSBYkD0DpbrBu2Val7sUJy25luEO8cTU2Cg4X4zRrkzNTxxPrJ5fS
39SpRNCQzJNMlD7KXeUFTQnfvMW2nRAFouYblCoQnpzR4IHFV4srldYUmzQJJTCP7MRALVqipbXK
3F1lomYwGxMhkTS7MUaDMtQ9GYnKxueo2tUT18BOSaOzAB9YdfWummbhBJcTHcz2YYh8qpO33313
UpRvqpu2Z32+GdXqw2E6oKGBhiHAUC/B+cyLtkRYthRmHWI7V0hBh63B6qJEd1NkPDKuPiwnAtE3
qRa/J0rHiUQU83UJxMHgtGJZunbiGUlY0y+ROepPnC1hWW74G8KXoH5uwx/ZvI8uPDbVlbTmdnUP
bB3AB77G0GDDVINwKIrZcBtqgVcnE2mjY9psSxEkF5NYTWEjpckDCrnBAD9CKaKqjBk7yCTZOCh7
xHgnIFMkndtNfUgK+yMMWJBo4fwcJyl2QOzkdXrwA7wHpo7QSg84NG211DxRpt+UQy7L5op1SeLA
kKh5MKZY46I56S+1nndeY1jNylCUdt00vFRMoDI1oP6mtHaoVvbA+bsfnVQWzd52BNy+mtmgbUQW
mQs4SdRYJIWTptnh/rK6waOu9LeRSZ2t+325bvWyXiW5/ENMXLA1iHzd6oiFUPpsI3QgVWv1p7Q/
O5oYD0jwnIf5kGFyZgEVvvUV6/ZqSuqVItC5C0wuHmK+PbBArlNtJPauXnNh7tJba4gGIX7CMRsE
p8Gm1NcHf9OXAgqkBullTAqUMI69Lsc8v9Z5vEoc+cA2TF4zvS4uc5AeTa61RZt1d4z2niCXxgVR
stjVqopkNHvYaukstHPjaVGkjeuxcjWQEYlmIwSiddkKm0Og/EThkRzo5tlbRnwZNh/VM8PEK0kd
uLjiPQsbm/AaPd3aGfj/UA6vaEKOY6a/WbNYu+nDfBl3CS4dFN7ksTu4tLlId+2kLR0/N72y5FLA
zm6vOcOlyOBzdqP9znh2qZVZspmm+BKQi9Zp7LCtujWWbr4bKF0UUrdzth5J3n1AKd4poY87f/RP
oJG/0Qhuq+q50txPu2b7lbeblk1R0pMg1xffYYMDPnpznfYyRtA2O9qN59q1cLR+EDm7U1hTDYGx
iywX8nN7UVRz5/ti2fnNZRj6bR2qJJ0jiWmIKzcoIloCERyGAfUo1ww8NkQ9LitFbpSpXjdKs2nE
9GwNcqEUsb5SkWShaHbhcU9b07BuhkQk49j2p9VOKydojoMswUescJ504brUywcnE3eutCS94FWi
8MaaI19gca7rNmxw1fuH2XmEttLmEccqmrfaqVyVVvU8f5HOVBL46nYYSZSM+1tl+kcns6JVbmqP
hVYfpI4MMyJoABIlV1rDPaQjvJ/R2XNk/7SW6wUBSbwJC/B5noYeZEkc7bpMI9JozLVTl49NEbz0
9UPgssipsnsTXC22/cjAcK4Hh8owv4V5lQRFL+ZfWBlyq3X0HS5AED5vdSwNyWF/rkwoM/xeGupF
ogF3s7nGKyPeAfOxHsF/dhpxkEqoe0A+EEb1RPjahr9QHN/Lemw/aLjnFwhL02xWSK3EGB1skg6L
gvV/GOTLsYy2cHlWtB471AMNUkwmlpPpbiw0V5MenTJTNn9AoUQO+pI8cZ875O1Nrr0NUr72tUSg
vh606gMB65OCzT+52b6mn0ulXI/W8Edxx93kvJu2/eKHxOihlybe54Z4412aw1mhuo6yieV7uTGH
cFvK4tMY1Wun6ydRU7BgCnBECI8djF0+OHfsFsZGCfRXrMsnMRrbWGt3BJBnzewlKy8U9J6DAY+Y
u3FZarZn5end6tJteClrLq6TjxwnM0Ysa3jHlXxHR5YuA4X1clxgbcXRxKshbtboH8myv0qfI6XU
KQ/VkubBtqqFHNxLtreoKe2CGTyd3sEMNHeJ9sDqlYVy68r5BalfK7IYhaYuoPCQ1JMAOpm8UksX
SCFujHJ5MJrhEWjy3Zmyoy2jvUjaNfuptdVa5z5v5rHwRYXuUet2xupc2TZOda7saqHRhokogtlh
HRkNvHSYk8F3sKW0UP2apL/K6K1N1IeYFMJx1oqIZh9b5k0o7StBSQdOQsuuk98ABg+mkp9cES3j
aTjzlx5NrtIDSb2qlr2PtnFWRudsmdV3MtxrLbtWKArwxOyD6alR5aZm8E59tzAdB1cfek5Du7oi
eFJsuYvseOWSKly0HGkI5Knd1nEGagvZ3SbNsms9ONuAjX+QJ87SN8e3Lox/T5k5tjeZyjepqDfh
hB8q7GKfuF2r/YP3wlOF8Zhh/x374lNFojgq7aru5B1bZJikFxd9nErSPKvDZZNlO8eMHgoCsGgY
2RTIH+BKD6L139Vq4TrDu91UzwEnuCkRXtGIe52KrybEgTLpzlOXmU9I87/cRvlETbPPbbaxvroq
XPcYo9UWPXK6bKPGoGbngwUrxFsR49VzKN5CE7kx26QsfIXGlEscbCQqburO3A1VcDILwANdryyH
HoTCZPGyHzOJPtcJEHX96D0vObtSX/Jhzqe35gp4pqFqr03jPGWJ5UnFPQ8UE3lpvfZGteKctgzK
7twmhlemb60Sf+Q8J76bPLZF6OHbPo5mAY/CzTctSWOKSo9utY+cMIj7UrSVQmw1qZl7RQxXkSAb
zMKNNKqt2oybmMbCICwL9c1jHIe72NQ2gT6eWotDm5mw1V4HZv54cUvQ+nZMS6QDR0+jrd1VHiQq
ZgiKPCjmu31m0Hgh0ktfMhzDwhYRyj4C/K9wzJUpjKukDb9qtL9VB20COxttuwmKZLAIj+SEmXZb
zcFKYZLNVXF2JaCb0bhLzJsyfGVp/FyCVtsEkEWRFKI2Roc8wt5fVIlyr7lsLvysPI21vq9UY11o
9vNUclSPJVrVSF0T5oPFTZwb96GMq4fEYrEhy/wNcdrajmuatuk6mWTLYQzvR/XWuwydjGodifrF
HYqHyoDaYMU5nakJsyvFq4wcj5Qv9qiBsmUiR/JAz4mD6YQaMyIcyh6ufCPftUI8gHuewB7mUXrJ
mmwnFHWjNf0lnyf5VkbkNbawhNZoqFZW8mT2xM6L8jDa3bE14tXI8iCW+as7Tvc40x7NErtONZ7K
SckWPbL3hYHNaZHFtESFxVoUotxc6FX+tCloA02xbTiZiNhf6awzGefgbCJb1z5WWfMaGnDfkXYN
5s0y+mtt569hdlGi/BCbXHHp/lQoA2OPzB11Tmu8asA2weyhpksoDcS6svx9HNavOHnu5SKEvhFw
jugG+8To8YzRnJd9IZ8byvM6ku+OCE4UwFRafYL8ENKfeLBqv/Hmn5Wr4zFkSpGPYlg2kfKgi1Vm
F19Q8rzY+D3w8UJtKZx4VljZ9pb5TVw5hoz2R+r2PofenUyFp7vjS6L1Dx1/XcuFQssPAwnbjlp9
BwlRM6MOV9SaXuoqR9g6eenkU+J0VyFsHjelxBcCOioOg6U9DMf5+ara4q0T3bOrN++ZTM+4SDZ4
0TdtgSOnvOklG3q0QjrX4/qUj1+pGfxEcbJo1PTDt7UIVQymUtdo8VDTCptTHK181B9zjci+2VgR
DkdSBV2UMInqaAz/Eij2Y977D5re7OG52LB8qokKq3hs6sfJZ3s9aotUwd9nI+3RB5IIzZyk7Ggt
mWTjKkfabQFBX+cwlgFQVRwCTDenas1AZdbctydf61XPzXtrRYP+GJvvaAUudK4UTGlBxTY+pNPO
dvNH9Gicrrrpte4M3GRFuUEC4Vkiv6iKeGPRniyGpluNRvaVyHE/tN8B4DxO4M9pB5zLSBWdQzbd
9Ab2vEFjblq1QOuUmDWqz1yhdTA21nT1mP7dlSmwC+OW05quuBayOxUcy/vUokFPBtbOUefsTVQN
ShapJ6bOVHXF6PWV2NoT0+0CT0YRUx+BCv1Jm/xX+raVLiTWViEhYOL8KTQqIyuXa6IY3WsDzIoB
CKc6OeESrWjhQe+SZuxaOOvbMQ84q407OoCFs+oa16ZzbhyWCfJxKPTaQ70dehbJva3AsiTD4E5H
8DmFJgmNMq53bcfIPMCTYddsZQ0HAaIeQuTH2HqPhXv1tUrf9KZxFb15kTUh1a6hPFduCqkvCO6T
gnjJz599C0Cy1YD+N4ZWWYVNZW7jEiJhCkpk8RtWluYutNEZAILcVmhAQZJeolpI8YKzRAV8CHQg
BxXIdas2xaulGJQ/tHrYysKFXweKZ1Y3S1GJowb5s9LbjshLhOFZoKbLWtJPOTpuaZj6CCYdd1NV
kkcoGteM2Zvzwi9td0V++A6MpvFUpH9YMnzU/dlsAWiY9lNdtmSmRM42t3kKMf6oOko5dKZ0yJiQ
LHF0bYtKaN7hsETka/HGMjSYIxdRogRF/BGWGa/grN1ZGlCGxi4BjwNXXMZZtTPSinQURfWg/I1H
IpZsno0WSKREY+TH/rvVU54GEcI7RdZgcGx6zoFDyUiQcBWiQzTZQZewBrLuO5EdrCJ5TNv0O+6I
GUpduXYFd4+NMhc1cQ3r4SdzHC53L8j86ACKaZkaT0psPhchFiUgOI9yPpLrmrVI48zcUA1Dcwp3
Dn9csxgCkueLHJNljSo84WCrkeguZtt91oYrOlXcaLMmFgeWcSef4zlE0G5eQRgf7DK/lLnjJRqH
rNXB6JB+/4Z6+msyN8LJtsT+QdFR/JHqH59/+g2XCJ1wvGg1l0fQCgosBvlz2YNtUqxx1+omiKPq
k0vcSYWutNRUOlyz7olxlXg3NHwBxh8N9YF5JXDwM9PlimCjCn0qJyY4Qgj55Y3+Gpl+g1TGnkeH
JVQMmGWo+Yyv2VvF4zMTBUEORhQJuOsh3+WZvVJDZWOSc8bKG8l2grRL3w0sHRA4b/rBviM8e/Ml
WPuoWExlsjOFtUMz/eQTmISoG7yxi9SdI+bcO622YGG41cEH+f3wRVs1J2XhyE+waRToCfoUQKWa
5G+a2+2cqV/1qnbr4+hL7bMlfNHHIDY+9Xo8xRAvVsBH/qiDtU2c/tmIaEps22M69KT2XH3c+o9S
vBidGe58rryyEXJp8kpmJA18k4HdmqMxhO7FH4udlO6iSuK9xVWRRHCBn0/5tAN1L+PyRu7ikiHI
IuyGM0uuF8G0cDGJ4TsM64eIqV/v3NihrCrVX6tKDZBiqh+DIb3rWXvRYIiocfhQtOnBavzy2Dfq
jglzR5cIV4B5dc52v1mWithjmWUVIuodw+kv0fhbwrzRZMEzjVAmuX3DK0E/VV36EVDfEyVlPfRJ
vxk6BNZqzw/TdoMAuCKSN8tvXlXVujQK0bthlj5io05E/DXm30HMQCOnbjQbxum2dbAz7aS4wtMN
ZYHsJ1iAED/X5ALxh4xbBL0fmJZJOB9tfP5kq5ZqnC7JPHuUIInRDX+gp+XMqE7UMSCNyYucD85T
0OMFRtB4cFUNJUpZfmN92I/sFOtJP5tF+BA19pvbuU8+onSSujBhFBGwmZ5ipJYeRpGro5j1Iqub
56BipQg5s3pCo3yJ7c5ZunW4FVM6y6aL7zSvdtqQXzEKeJHWsJUlVdduNKzqLhJiBcU1015Isb5q
49mZb6AM9H+99fuuMr/7Dx/7h3f/4dt+v+OvnxfJTTIarJ6y2VgiHqO40EDS8BDWFWhzX8vyPXyL
fJ+zK2DFPN3yGNeMmQKg0ueb37f+dvNPfGxgeZIufMYidh8lkPWCYj+Gk1ghC0jhtuTl3kGH89fN
77uk4DQ7e3qq1bZrYJrpxR7DLz8AeiZAx5BgT1jR6YRi1aAvme+uOaCe8X7fLDObBJTfNydS5X3T
Gda+E3FSdrMh2//eYCH977ckEFXh4zhLXdJDy2rnWC339/du/vVmMv+W3/fLsZkHdtgoS8C6lHD1
fgDcALej/6+b34/9vvv7CdsJOp73//m0nN+yU6gRXC/6JRS3QmVmyQdLUpeHrmGjGZV7NmjlvjHh
5+HlQWGQhNWedWq1/33rbze/H8ugZu3c9tMpu6uv9F8pScA7UUMG8Z3k6ASM4xDCfk6sb874LkYK
ALRYUY8C1dwmMD0XGcO3FI1k50hmVXr/nTROT5fKDTwlaP0F6DptHFeuCwxm4jRpWMhiswGiV5Jo
/i5w8ksXleO+NkeQAyon17E7J/UAusOyhyXC3bfBKvEIcBGkWwZiZ72o3ZjuO5oAbB7FGUkW6mfZ
jd5UIOcPwI6kyY9qV3tjcMy92/YjEqrp5sR9stdNvzmEBfmaY/VZx2G17XIfdAjbdNnnZ1mV7bkx
K5czqjiwZSgWDOe9wup2dtX52LI1fo2Orl5JeDKLDMhQwOaSmtTmUuUo8lyMWEEzdIYm7Oed0qsP
Rq/Jc2fVJ61ANTLhPy91pL/U4YsnZMfpSUUlHeSNce50wzjDEuDVbwwkhovLZJQ/dpZEHt/SnrGR
rbLcPNVRJGYn+zVqBmdna4Z/THSfCgjzmTK8a0gNl06pf0u9yU55Qf0O8enUhpQs/B87g8+0YORR
TVzGv2HNmdqVH/1Q4401ivyiyCm/TNEPwQEWsuMJ4TXTxbhTE68RPCvw4Shx1QaPdZLl59C2s7Oq
3NkuDSdrCupVWKasVBi35UTMrjsNOz/9uX1Csk6atcnzHuU3PahsRlnVeBRbAoN+DEYEEyu2hahc
Ahf1KcA+QM7UyIWJUjWbVvgwKRl15v1aSbsZZuMZI/hizF1yg+Z7wu5JYTtHeaOpSIV922k3v4rs
Ajr50i2zmiuRm8LC1F+53qlbxnR3ChBPnZ9ENkooTVioZOzk+Kow58hKKmF4vx/769O/n0FJiRe+
LXhgDlO0zUsjhb+YvRiu89WK6VjgYluQCPAIN4cRWn2GvLaPFf9pGGDPDR+iMr7VNr6PWXBKyLag
jz70g3aPmiBbNKb2jKu6Wihu+W7rEDi0ialsNd36qWsPWWqsTEUlJ5lKURPgzlnAbBV7WVXpvjSi
o8yp8+IKczXUysgAs2ljm4nUzloWdvdiFvq2Iy8HsqNe4qHDJRwikBU+dSoq2VsVpMOSTC5zmTuk
hJtad3e5VimD89CDCGbYMF4rIh8YaO1pb4EwYBF2Guu59/uTMyZvvWJSptJ4qkJetQzpjFbv0y2r
bcqSwfV8C25JH0sUekZ5yexTwxoVLGfnwo6pk+gR7tYKkgBVvk2QIrzjBuRB+aevKMLsTH1vS4w8
duZ6PdrElaIdHKKbyIQ3fix6u0WlEcpoBcPNjzjzj0PBpC+QSwwGO01cfVSjBFtGa0UvhkOfTM5y
yLrXVhg3c7pNM9gjrINrq+jpMXbRbKSAdnQ9WZQdOuMowuGqnFWYF5wIMVBNZIBVnfLil2xe9TBn
t5sU29qaPnzwUzSu9Y3EWyJVb5Z15ox/dxuy2HFbPY0YsZTROFaVhnTaEg+OFu7KBh6ndgUTNzIk
Z2dROM17juIjKcS4Hm1av3b4zsvC3aGOVa7KAJS0bFmpqbp+0BCFEvO+nSB0rSz6PDQg8WWaVBP7
MQ9DOqLA1o9qTEUp9V3LImzItXYhG3CiRV4uNUIyFgZNjhGRh2QUiGBLeLth1J+K4GBTxa0iqYLi
yhL0+gNOHCOrvuFnfNpoMxctu0oVU82mjt1H/DzDNrR0vKK5pR2q4KMLNf2ltRi4WHKfQabfRe1g
rLBjvWjKuaI+KwsUKGZdfaWVxmm62xdl+KMRprWwVdzKdXp1Kc46vaMzDtCKKZGGkQvcTEEDrYTJ
Mq25Aody2s+lpDTUw2ixstPtCE99jdK7JmQZC7H8iJ2GST1K8YVv0ZaRN7UIvhwp8gPYHKRqND+L
QBjFZWCcsNBHZ2sL6Hl0u/mtluUTiqnPzoy/4/aLADpr3emjvxJTsOW8a14zHizYIwsdovd6oONn
HzA8wV0aV6k72szOmmb9QWReu64YLzfCxEpaucTJNcNFC4fWqwTLx8pHF5jMiQXWR0hqzdqio+Tp
vpTIq998S/uuwukiokwHtFA7XjzIZc6GflGHrupNvcpru2FWKHTKZoYe4VgGbDRbBSeEb65CoySU
NDRb7o8cVgQUOQsRVA+E2yaeomN9xW2ke7U9eq5CvlYHqlpJp7syxeBNsPRByTtbRRNtAlV7DC1q
Zh1YxhJtT7e0QQ1gOKN+S/PvQUn6hYxH2mHObIx0xSm2kOgUODkcE5tBifLNBchuydpkd4b2ywod
z9br9xaO50aU9QNjWXdrONolYilVW+EtnaGeBpsKgjqDGzvrLZMh5xzYGKRlU6q7mLQKqHNttnWB
ZHiOBTGuSPF4yaHfG0b7I6rpOSMCmJ8t9oTDH1t/jJ/T9hKa8isYunuF9oBCDQxer/pe7aubNvav
TFnANwUV02d8YJxtTGIGgYz5gfZZ/yd7Z7LcOJZk0V9pqz3SADyMi9oQ4ExKCo0hbWBSDJjnGV/f
5yGyMyKzs6us9m1lhSQpikGBIODP/d5zlWnc5JpcLdTWt5IO8IaidNxOkkQKkVSVaNJBQkpTaKU4
6/kT4JcaheFs4k6ahjPaExJyGkvcaV0cU/4yr+nwEM0SiaqE34oWRCrnPAE8DF9ozHV3l0qUahoB
VY0c1bmSv+BrEriqSvRqKSGsBK/OjIoBs6p2i8dNwlo7iW21JcAVwhglDLwPWq7kJ9zQfcn2poS+
qhL/WsOBxbWjnAyJhm1R5/vDyovNJTrWlhDZVAJmUwmWHcsXMs5Ix10fkZtFYmj16FFILG2hAqiF
rZGdrabmUhVWAGx7SLY/7qI52TcGmFuAH8aORTbDRVn8gcKdJBR3vWXRRD5gZdjOErEbrxTd9ebS
0HDOJWRXSNruAnZ3fXzdgPUhcQI6L/e6gwqvN5Hg3lYifCN5K4bqa0m870w/la9gcVQl+reSEOBY
4oCLlQzcWUCCdRtcsC7BwbZECNuwhGcJFY4kXpiT+zmSwGE+oEslOcRwwIERSyxxBJ94fSiVyGKU
JYVXd5JjPLYgjWvYxjhy3IMD7ViX7ON1M0gU8lQBRbahI2ODI9atQbQfSHTyKCHKGW0QP5Ng5XAA
4whpOeQTRw8IfNmRGGYgJSOhLqCZMa+UZ7Ql8LkluBm6wYcWgmssYDr3sJ17CXmuJO7ZkODnVCKg
kTuqfi+x0LkERJsqSrxYQqOFxEcT/vOFZWuxy1GRnkeWJ2BiGFwkjQwYBUBNf5vxlIRS01uozh2c
6mys9L22sqtxRdbnYQVay72MYw2qtcRdl3CvOwnA7iUupTDxDmoSj22vpOz1QRt6NocUTfAYoDbW
5WbrSMi2DW07ldhtY/0HYzpuALlLieYe5E4IJwYGPdzuWgK8G0je63tPJNx7vUUogu33Ev3dwgDH
px1/aga+aVrzRZeYcJeZbybB4SUE8U6ixFWY4pEBXLyWmHFl6W+7nDcQ45zSGcH7WO4vVdE6G9yR
cGrhldcSXN6uCPOQcm6Gas6O3mH8zq6MtSvfAXyOTihUAKHbDt0kawp9LQglJh/KYMgcPm7UeGd8
Mu6DkVpvdmtonNabgLWeSOi6orY7AizxD0oguy7R7DaM9lXj//92iMe5+vbPf7x/zeOC0qZr4i/d
P353Shy//vMfumaq5F7933aIa9wii4TWVcV/83v/Y4lwftNUgxxkNP6aJe0If1giXO03yzBIItax
JfzhhfgN/ZjAJGHyr1OakAb20xtBf51Mazqhrk5ry/mPzBG69r/MEabpAhtyhCWEa6jmX0K+Yjp4
JlGAKcYAVhlUVW+9Yd24OUgFo5iCk4MM11WGZY/3wTlAeDyG05zKTgHAAR0uowFigu/iXdoI5G7u
cusSTMogsiIyD3xyqPXfpjygDgmX8pTmxHCP4fh9KPXi0s4y2yIhvi1MF2SoCYk9SPPCeU9sBD0/
BRB58lmdy12q66W/TK3jq43NrCei7ujwVejZssPHcDbGnN7kXR8imlCr9g0Y0riZ+trGv8DkZxmR
F38JIxF5nWM8WAXE4CZmaiZQW6DAz3Zc/pdDPqBd6iugk2oTgfaJlYOlle5tkhJjtShFsUtIMnbJ
hL4Bq53eTWYLiR1TGzYDun7Eb0E8yMMvCp3Hk8Es/7HrgEp1dfAakUd/Q/uMdJQgROeqqZiQp4BB
gr2M22YYWJdK6lou0OAXQAm2TaLA3ncrQX0RqvRROSk39Kr2bt0yEcII7wTkTcXoCLmq51f0h61n
pgOWFTSP2FVhAcbjHTHfD45Fw1hP0vTBIbpmKI/EDA3f8Cx6Sxu8jgZugtxdJk/RAqCCSQ2NZvTr
OAZRCa1dAnVyP7X05yLg8qlr86PGNXrvtg0vhHK7VmbboyQMwGwOZ4fT1t1i84FWIpr3JSqE41LT
W1qU7ILMdFM2vLBwZJu+bN5FVHrrs+cuotZcXBSe96g+zk5g1CelUpyNygsygUG1DMvSHwOgXzO2
7Y2oJFO2SU8wnZq9I/gjCYo+zZlFBJ1Des3YxV8GytZzJzdqNP6+aaM4/eXu+tP1eetT/u7u+gPY
tCrrK+Oy3lMkxTcfJpLekp450F/+jfX1qvUn680lN1xqSuv+L2/DYKHC2KF/QdeVgwP90xtdX5Om
40yIeC0YZPAX/J9vb/3d9adGKjQm0oyE1t/4+YP1bkj5V/74yS/v78czFbR2FmU6wUVE0/184i83
f76Jpa1Qw5qVNyFP9SIalpd10zJWZhjkdJ6F4OEyhkgYDSIEUSem3cl0yfMQ4fRY5BcrHdJfNsps
pBfsmjymsOwOM8AwrnxsGkloFwHyuPF1/Z310d5ZEEw4Omj+0DiZY/vSqFm5rXViK+BI1y3A4UtE
NEs8lcU2cjmUNDVXLkE3Kpf1lohyRHaB2mxWK0lmT6jSx4WUPX3cdtARWeszzdEOAJfFxYVwflHk
hvaCfqF/EuqCsE9S7UxbFfv157TBmBW3wyWwlflcKCa7Gt7MbqhG4xIyk7ust7qsCCg75nvJlG0F
H7DCgbXoiQlriclKoLIPfz5mR0i3e5WmsnzG3ARfGqC6fpYKBLSjda7ywjpHI1gPLUrLHQnczKKn
SJR+UlGTQKkq3ATcWIOMrKVEXzJHvazPWjeqlWk/7jJAxsA8pp911sacPLP3MUBCL3KSFMhQK06L
TXWKh5s5Pv9nfHrIGQV2Wih2gVF8SQM67IhGcgQXWnUFp/9cVJ21b+oxx6LKKn4uc32r9pCoxFJO
FyJMpsucRA554eVjTgAe/GU2U6K3m0prEM7KZ+gNPZNFnHPO9KfRBLdzR3vG8pWg0zYqloAjrPdj
NBcRo1k2w5Tg7k4jj+mats0EoSMokzBG8YJD3ADyl6wKUbxZQs0uS7Bn4kZzqjUboB3KckFpu1zU
oFkubZKnwFyCU7Tw0Pr4MtKbUA0HmLF8WiKP/PXWR23QoXdKaIPHUQG2EYcUqkKWheR/SaVSpd8W
hjrQB4KApjrNTouxbAxDk10Cl3cSEsZ1oAYvzO5hYHCUct64zNOC0zaH+4zgrPJNF8FWUY0c/EqI
VkSYCNI4sBqhTDsrAnTYOEFGG7bMr0s7IEcyQBOsdw1MPLvZAEE5qHN+ZdFZ+iPCxI3S0EBr0XXF
SfiJ1dVdgwtVBlvBQUgRHaUhmimRVBlNpbn1kGa5mx6ny61tIm0XInuJFRQiIkhudSvSDuv0ZzIT
JQU8mJanSSZtrMOhOUhGL2zGgSK4Urd1B+plk8jnjG1Xojvk1o8Hf95ffzFZBz3rz//y9PWuzsez
QwVzu/7Ttt7BF6SN7v3lF3556R83izx7agPJcf75TtZ/b/3nl3VE1YwgCEMrZr3z80388vwGsZ6n
h2g5aJSQG6HUbXNaN47Cl/bn3VRPmtNfHlt/2jPlxX8XZZmzZ+Sse/QiEC2F9o3owbnPYPXLIOEL
Z33URfiBRxBudV5/WGRGaFMzXPsESUU6xJKN9ZkQ3e3Efj1m6M+3LD1zz4DMCVHa2BuAeQ9NkNJW
RLtDo5xZB22c7bRAiW2zDC1Kpb0obnO00NLE7YKiSHNW54KHSOR+sIoDjfP7ThulVI4OcqhEt0q1
1fqUpaQJw78C+b4ReK+U0BqBouR4Ax2E951GYynP6HbFQXdg7NnauOw17eQynKFIc+ojKTa+arB4
ajtevrRMwN41Ng40vGOREHgfJfYut7d5k6tXW69dltbto2ZsICy8RAM4La7L3QEh/uyPRk0wzOLc
JCX5VFAHvChX3vIqp7uIPN0L0ZPWmAWw5SB6LdHn+A6Ji5c+51LLiXCjqhZrsVIb+NiPSkPKazG0
7rFk67n2Qox5GZBMH8kSxYy3QQ1gOha4puhL+zrIGU/ISXXpiGOETJtUAHXaanUL92epmVm2aOlr
F2le3I4vmUYFFmTmBPzI/qTwOaBpSw6gbBHgpeTuJSZeZGj+7IQxe69wX6b0AIgixkkjvsZmGcHb
f6AXmfihgWBREepez9vP4EvoXAbGsI3RBaWz654C+BJHBpUZTQ/FhU0HEkxn7jMtSbXrFustXIbw
HKlNi2C8hsgTWHez2eeXIm3eimcbEI6/ZNUe+kjr5SoqYYuGtDvZH6OtMoKZ6Gqy1NpXFvEipKeR
/1GMxNooFBVTuLdB8vDXV286sgLfvRJMd1fZVbCFZJEdNegjC6LAYUwrD6eV4Tndy7IE36LePdhl
WxMLCCos7q0jaLwDe0xcmyKcNioRmEN27TgcO3pm/ji6LBoylt0lepTMhJxRqs1T1O4iFyZbV363
jQbiZNDTRo54evFeFkHst6ps8EOYmPPu4ibWRa366FqoZHQ27EHcel5XWAyN48EfRAO/JB6Ohm7J
yYR4m5Z5/oTMmh5t2lzjkWMJoNHBJvQFKzYHKIv820ZBhN6fbFhZCMGwTpcgOwBguHxSqOv90X1y
IzLaamNCfZQEGycQ2Z4wWdQNPFE1oeHhj1X8gpOOn4bTJR3JtmSKto9M/kucGqD+J622n40E4rsa
hIehUcUBeOIh6q34ZMNPREJxDeei9l311Ohdti218taeeY/mcGgLOheaYxi7HKvRoRfjQUOZLgKq
7MwgP0Y9DAmIa9fsniwRv08W3dcpS0McXrogp/oG5wImxY7TihkTIF/gIfAti8YlhBd7i4/saWrF
c5K2xMYggNqGTZ3uKzA1yBXdBcQLVdjeLAifCXLWgMjVjHOC9VRLrU0dRcBN1GLxqgJFtDGULI4S
vpbh56DPVFpt0+exlvL+sbuBVe1c4K68Ol1xa6oOGq6swzQ4dvrBmlzlfYqabFfEHTMmvCP5zPtO
Koltq/N4m7ujl9NHZOSUwiSzIWhHkKPBoyie7rJ/+hlikEjga2Hl25EaVRGBFRLFEABUpsTJcHtb
JopOEpLRv3StdYotjP9hCORWneEmV8p1Mf044LSPAW2ndaXid2N4H1iuc4Y5hDzb5njErOsNM/Eq
lpyY4Ci/U6jkiXFJvQmgELMOS3Hcg8k5REl0HMaFC+VcpZQv9OpUQSk4MobVAxtvlp03PvQoDIQM
XXdwjG81lFUswtm1urYnPZWMZHRgCCmZDJt4QUVcfQ3NS9J9OAIZIZba1C/i6Y0VK6ZnGXNYLJyr
nKjElLmUwWGpENgZgLk9aAdXEJaenuStrxgWr9qq4qrR1NNcazh27qJu0AHdR4v9WgwYVGMcAptc
nvFaqQrp6uSzhiZ7C73v5FA/IbRMqb8NkGhkMXJiz7zAdcTWbDB3DYrxNeylbCR4aGUsNZpvqwiI
JAgRA4bG94gWBgPrGBQ/LrqR2S1nKjQC7ivT1GOTRSzTUZ7rSpOcSAJjgQy2OKtf4SwhDOq671UM
DjdnR284r+o+2AC+j/p4jZRo4JQTP+LTY2WBaUFAg2Q2m0PK5AroCvRHTdFD3smTA5MJr3QYgyQm
7h/lKOj4G0Cr9jNe0dJlwtrPCLcw8KO6LNQbjoKLcPJbNXbuQSxfQ/U+HPurSsgeMywlQpXfdOcC
9jcJ2a+hnj2PJh+DpSU4x2M/ycJncxksEMvjsB+K+4qVJxprlJBmxdgphjSUkqCtaaRo2QG998J6
M/K+88rBxToDBcuNvhAABRnHAACBIu4c2FjX1BakGpCqOgWt3Ft3bYvDXAHB1SS4qoxZq3Z32PzF
1qmth8JRwSHx9VOiCIBl0X7NClAaiLn33WR+sZZIvTeUb04+HPo2dO+nGlXkwmrImsy9qOE8msPn
JqGwkPRJPaTyz8P3gkEomg1s73kUUiIvXtmRtFgZO3Y7RDidYexSxd/G2ni1AItvOIkwyKoCmHcJ
Tw+Cc1bS18pCnQ9RsREsAKDlwlj41sBptzLL9y6Hv19afQyzg8ii2Hwn+AX8/0RjSxfFY0SnPQmf
KkzkETrCbWoA3+otQNtWpR3KSDkE+nJblnyuEYgwjOxSxjm9dfCMNjh7kgNZ91003cd1B3yi+ILV
0ceZ4NQVr6ocZrV462qFyW+ncE4cylOcNDeDk8THNiKtNU9JDCAXcrkZAiR8KCzfCno0hZrez2Px
pphVcoi7yp8HIBAd0Sx04sInAHCzt5ZcOBTQczVcoLWE1SnMY0gppotVwXVONnhxA3wuiu4rSmt1
n9VKucP3t6sZluzcMN6Rm8r5QwXNVSJoadrlBXZHtRlQUQpgd17WVe4tzNANiEpxRgt7IJQGCOzo
Bpu6cRdUgJDI2ia4c7MJNsZ3E2f1bsqVgjzXFP3RUifkjkUvvVSgGY3xUPTq8xw1Yu9ELOETcg0y
cEShOJlCHY9vKRbujWs17OaGBAjDkTMHqdc3sW8Y9WfX5qKamzJRtfwWAiQBJcecuIpiDTtmmaA6
1EuAeTela4y3c06rQwEma5UGq8/IiY+GczQqx2GUw4AIrvnCSHnsLsQWtItKbnSi+ZlTLnf9YiDr
R+xq187sl9VinesqejoItXyrLGzSmUBJlNzFWMO2UCjB5EEoKNAr70taHQh2swrQZBdQXwcH3TbC
21HgR6iIscpBcca98V3PVfTvMaBUvZthXRfx4LmJ2l6o60D2fkQUTX0w4T+1G3OX1DaDGxalu00M
cPXao4+t+fafYqOl78CfPifTfuztlzRwqa71fPD7paWeFhcoc37umMxalmZCYQt4l5yWq6qET0VZ
C9wPToPWM4swkuWvqG+ATbUxV9pa3ZouXnlyaY5oWfHNGan+paczg5hhiY+dAAgxo9sHOOxrjXDg
pt4SN6MhbUZiGvVnN8HlYCnhtSNPZUATBvetobA2S2MrqvoC1vrABJeZ4+L6M8ogZA9zvzHThOOw
vhv06B4+UQ5WU+dyNXWPanixtGJg7AmRrmUqlusae19mdTGHw6qa43ZHQ84+cacNrdKXFkENFhv5
UbDCCUzrxm7pBI5VcmvlKmgGmNCAOO5Mwz2bpK8DKZCzqv7KfmKUGNzqEZ56q3Ne5gmTyoSBpXLH
+7QynmvRU/F2ROUWSnqfaT2ml2o2t9kWunGwid6yMRq82M4GnxyufWm5xKWT1DSN93ESOIdKia6q
U9vnpU8sfwMlJzm1Dp5OfaeKtjj2iI12AqXwxmogiGpDctP3xU3WTshLOFtU1cxqjmS2Q0uXP9qN
qKjcsE68YMyjbSX0G0Cy02aIUkEpHTqoBvSvlQU8g0XQBgz3gm2SKhnVnpeTggK2F6FFdVZSRgck
01gbMsueyfmKXgjsrk6TcJDuc/mhtf5VZA99nc605ENScJ30PtareDs3UC5zLg5+FX7Lq3681CB/
MOlCRKwmX0WFsXUqkMJBk8XbEZEon2KR7xjMH6aci6KFCo9uIi2s7uDQJ8d9n1leSk1s5MxMa8vt
tqhvD0GLlsji1BHU0u0Y6QOly21oG8TwQHHmSDbRDI6PejLcNQ6YFKB4KM5d5dF2yWqy1JLFdHtk
PE7t2lMddeTl5Iclms9OGYGmN4KcS6t+WTLMt0oLiW5uG40VNBFsWHdRCDoL+D17ORJQ/j1Qh+wQ
k/TEmRwFQdGT3mdTbhiLe0ID1aAE5hw8cC3cunARvdrtFhoy3WMi3ZZtxKInT3SC2QAoMGtgTKEq
rAttIJkdmpQ5edQsAYSw7u4JfoDvO4wIOHqLXpyWQyDId4PtFD7u6sLr7dPQt8XOjmeK4MKRfpCd
qonqYOtMHEMXfZ0dM4mcRzlsxgXngVb1BnfRvZ6rZY3udONo5jd8fPG5GsPXODkA8nG52BnJLurN
ty4rOX9Io14aLJvYtt/nsMo8J+upg+3x0DfzjUu/2QvbxPDmMuGKleFKXlD3S607QKrDMGHGDAp0
ET3Wi6pTscZy6ser94rWnFKlcJ6Ja+vZxwXdGlepPdGzeFYL/ZT2VQ2hJPqEp+BI/cbwSFVrxF9v
gpa11j7jcaoxELbldYmVmY/oczoj4WKo/tHQpNDUiSwXCAHkrxExFu6cvLbvlYxcArrvcJSmijbg
HNCGML65S/g8t13u59GUMk7S4UKI8b2s2nwXqcnzUt+ESRdeGxJq7uIsrXcLtTnxYs8FMkSuJzRy
bFKm0LHuzEzl+oHIa5PmiePXixrshzF/FPjWtlNHWQo3+KUV9IAXpD5LCuAmPCwmLIKCoVEFCQsN
JiGlGoLC+E6MlNAdwXDpNJGI7VqfjDr5nk7GLRCvx0YZbXJdGHloXUUCQGYkLLiGrXiHV5QDOLUU
+qosSBeBnRwX42PGyuyoGe59j5hQ4stjR7+SWpXsmf+h7iYKJomfaRqBDjTUZ7qiuEKM7r6TX1L6
kVIbqiB5Mk5jF8ZnWBHpx0LEIIeaAVtqRFlZAkrZxVnmJT3o7T4y9pOyHByh99hAyRlyO45Ml5Hq
XrVHyQJ7Hq3Q5AglL96Klu/LCCcLwyhffEf16i9BOOyJfXhwZLBHOH01l37aRzNRyU79mUxWQl/K
yoXA7UpXjPs97+1pV9Xm20I2+YHLJk6vDCsxw5NbDosObWlhQDgooOPkIYQ4eXV0ZuVOZTCLiOgj
a8NL41SPYmDMHyPUkqHqtKLTT6pqPI7SxoobLKdnb7/UesoQ0sB3lmvQPUBCxMuHZhAHMNXNOSL8
mIqNpWLY4DkK1GKbGRZMsKjf2NrESmcsb+Hewy0OQPhmYxjRPc4+N0JUW7g4wuNiS6KjTteWHovi
1YXrQo1HlaDmwSm056Mgq4jVhZ+ExldTsXE/97c48EhTSKf3wqlgMs9OvbXwoyVde6U96SthC2ck
fxjaDwLtRgAG4i3vim01MXvFjIEOUW3VozV9pcZMHmz8Rb7ZD+fFKXG3oa9ld7MoH7fYvbepabJo
i1H6hXTBSEcbWjkV/bYMmIgtw7zRcXKLum3pvBR3mI/dTWQoUIuakbfGGbsCYH3jEqBwIKE2QmQt
vqZhX+y0JvvaQQc5RHUf+LZpMWTsQd4ZlJeIE3H8TwStbdBIxb7SKfQlUck3S5nv0iW8qtbcHEs4
SYo2OvvKCfd8gTZaMvYEC4JQUEgScmIjPqRZzKFRz09z10rZqUZYXOMcu7hOTgYsDSD3zKBKp95H
Pe+4BCG3GQothuB2bROgn2qT3xpJe5kLmoeNnZZ7m9bxSYDMQQ/5UgYj0emFyfzBam5iyldiOM4G
mSMgSsY79JT2gW8MXYMu/eT2QKNHRCXbfuwwGOXKrk60cWMIDA+lhnkxU18tk7BULSp3w1C6F2E9
ZTHQmayVyyOU5qRH9tC2hn2uFu+srK6LetQXhUS0Grf5XAW0BZW3rqIXNtAp2M9OLjxBup1CLB4x
GkmNxItIszJSQWYXN0PxNZ4rDFzjUZfUDhi6nj3gWx1c40ts9YQbwAPP7kZ0gzTJFerZIOy2lYJz
SikMIuLNufAUugyKcu+Iw9jC52i0Fg5imvs0geibQ4iiW7ovFBevkgmKz83ENTasR9tu9qbT9fsG
2i06VGjAdYyKvMfA6OLWDWh3Dj2JF6LSPhXOfEYSOW+qyR6OcTZddadGoGTQejTj0sM9TDca2Fo7
xVsRF5+WVCe1E5emfdTLedrlDeI4LcWxWI9SD6h+IOsM7zk3f7dXspXLoD9J9GGXsVDaNtoxduzs
Ls7LizTMpV1YXDDjADFW8qMGIOegC3jiqDmY4hBvDKybqiGwaORkNKqHOuW7WLhXdRrAVrPTli5l
B6dgHIdusuikRxIiInydgxrkJxFIWXxcWlqqs/IW2O0ugFH52Z6tvaIO413cGplnWJ2ym9VyBqyP
QStobDzcCPqgeoe0EYaw33MVp/3ZTu82RwIDiUOnRgPHR4veQTJ80GVi2Qb4MJdPvZwTdWu6ehuT
yL6Gtf+8v95q5I9/Prb+irPmuaP2IpZdvsR66y/PiZlie4sZq3wVeIViDUnPl4RAG0d/+OVlfvyr
f/uShJMDoJlb3f/xpPXf4WrIEPrnP/7jN9GtnbtyBFxfjawpgwBVvhNS8P75/f14naLTLqqrurtf
Xhb2wJk1UyxFbL//Wb+8px9PXP+S1kE+TFbfdn3piNZTSufof/bCz12x7rj1bpQXEfmh+DfXuz/3
qGpqxT4W2jlulKcADw7TRnqVcVK9ZXqDMVi1Sh9xDWaXfog2Q6awchm4Yk66zkoSxHSna5qfDyyK
qZk/3cCBVX2H8LMjmTp7S5Xhpx2dsHnpnzLOcBBMfEMLv7DkDzcRdFaMq/24TayZ03xOBLvL+B5E
qxL0CcSKlmq+KJ5cxMezQM8CXj4bPoasUBGY5GAdoJepqhyZzNi6ZsXGVh1etGKG75d8kSMMUDiy
VoDMLpb3tEXj19fmBYLw3kVLsqHEgCuoFMqNyCeZrSJ18kk4+u3QIezlejLmwZ0qOKEm0DbwOxGE
EuDhcJYKumBEAejeWiGnyAJ2+lKaoLncU1NDN46FQcC3te+ZxW+KLLpOMZESloUcv8p1sIn5x9Kw
e0tGXKKyt6E6kWsq2qcOlTlWL8Y1NgctjIjpyIUNsr2zp5GmbSJrfhf08uZR+YxOR/FCfbogzfEE
PVu8W9irTWSMVUoIDlaQndnOr8hyWDlAroFri8ALN+zUBlgeAIOpBgR9qCblKGQu6vx1tPOOBSIR
mIg5QUuHXAO1vsu3uPajUH8sM8rbijOZPwxV6pcvvUoXdFpg8JNTpKtEvyuxeSA/OdgWWgLfs2GA
npBcge7I2QMO5PXSM2RLzW9m6XIVsBL7jrPpgOp109uaduxGdJcLRJp61OHoGOnjGFBXWFXiMex5
XTIM27h9GUc1H7Mf9tnHzEVtqyDx2HWFgu0TK43d6H5smA9YSCCrkoQE4IB8m6W44TS2dUm4YkaD
azzJQdpgUzohr5YAb9KJB+APU2s9Y6DycFFYXkESyq7DMBlwQVjcBjNyD0FscZ/bpTqZafeeT/Hd
MjO1NKL+VZ16CHhaZqDlse3dqnmyKlxlv6gP735gjf+r6PO7Mi66FoGiFOz9iXaMjt0UQoKXKZXQ
9fHzX2jHEWCcLCamE/IoQ5d8UNyTjfvbi7XsLlNRd8RG8GhWtdgqeaEznwFCiRfR2pPQDH5eHFsS
l5mhALsNw/6s5Yr7yZjmDUaU/DblQCjt9oFTQfhv3rim/s0bt3CxMFo1hUXf/89vfImLxprp0R4Z
BKdHxQKeVNDOg8nO5IwkDlqDCcCXOItuzSQC3ShAq/3rnaf9zc6j/2EJ6NXM0Kjy/vwe4jpOrClC
pY1YY77F5HZMNeA1VH6a5y42MXk4pXcBqwOlpmTo1RMWvqioXv/1+xASSf2XDxGpqOECOVWh3llS
tfnLh5iW82w0YIKPfRXMu8hpZAIh43k8Zf7YJp8ROJf7MrMeNSesr06qTYeYZssAsKAKWuU6uF19
oaDHmuOM2JjNiOtVxhVdI9DOIMGCyZ7QroEdngPDPDnd2F4rBfF1ZTMPx+NQ+0UWlKTLaO8W5q3D
VNb71C3ty7qJ5a0uWz7/6z/7b45dsIjC0Gxbw8Rg2/Lj+eXP7tXOibohCo8kPMEga6sSChE5e1oI
sc8kZ8lYmstQj6wtgSaYenVEks58P1so26dLkYcEt6ijcdDMfCDFABzAEEY4mKsAhBSWlkOvjw99
UIrd+s7/Xx79b+TRGnpm8cuHLHn0v6unJfD+n/84fn2Pyl+F0b//xu/CaE3TflMNwf80Q6iWZWh/
CKNxff2mw/8yDd21+Cr+oY42XKmOdlXbAeyOCFpDTP27OtrQfnNdChJVF8iapejuP1FH29pfD0gs
MyqB1BZjVkGbWTjynPXLAYmDue5NO7ButDkZDmlRMiyM+VbqC0HEnIrox2QREJ11U8XdsLPC6J6O
aHvKtLiFVilvrpukhRrZJnQOqTea07pZlKiFQM9mvVtOCWtaKoNdNurxQVCWndZNj7HwFAv997s/
HiOcek8/61ykIeNYwpBr8ibYrLf0dpIzWvoKHuNectmnhglwYiO6WW8GtfyCDbbtGeXLUlvNJlJo
q9TSKYPoHAENyHcDiDEnkpvJHeECRzkXbgfLUWuDJyKwEye65YbjrnPya0SDopgm5moulmnR0Trv
C0sl1sc+tnP64RYsqCEcDKcIChHQp2g4EaOh7Wq9vUP62J+aruhPhmKzEgrr6p6gzWGn2LynMHFY
FrhHm1ibGOLgUSD12qQtEEbTdOgiLy514nqzbVpukrSNUV6byE1VmsP6PpXKKk/rLXJP7CO44joL
l9O60ZY6Qv4X305DWx7iZj6EgA1OaQNOA3hFLZPTJxBPWcUylcmF070n6IcjWrZq17KWI5S0gnJ6
DNGcs3+mI6k6D3ke14hgYKj/sZjRRmF42MccKjjsUj83odS8/bw7y9LdL8bk0+Ro/Y4oFYTzcqNK
IsJ6y5ZYhPWW7qA3zQzmXBLQsL7zdWOvvAa5URYLCmouNQ1DJpticvWU0EsIU6Rmh+xh2STahqa3
jUomTLz6EyOe1kfzVT/p5oMUF3wl0B38GGDRsqMFseuGzaDsNHhFm2wX7CNPod8Paf29I7BPeah1
MPv9Pbdcuq3Cy58HWIrorIgTUG/h+m9G1pLWuWVwoF1RQhWf0++aD6nmpbxG8TYhlwyQaoq83C/x
oLbLrZgejOprae6c9NDIFX3aIyNhWeVr3SkaNqNXn6fRI64PTQEeIqS/x+VDfYqqTb9AM9/E93CY
bMS2G8JSNgTlWOoRVBUiO5pLSuMvKI8R6FJxchQWW+tbckd7DriojsAdohwxrt2meCgeRLKznq0e
KpbcbdBpTEzCBqgfCstTNu4Tpg4LFFr3AA4ogwUB9g2Zl+014U3lflRfKZvZfbfDY/zJelZoAYbb
7oLac6BRvgH3TMhBvzdqOtTbVL/OTBowYp3LT2RTtvc8Xr0it9i+p0em0mciAiegMJvqFVwY/KwM
VfIADcOHSE6nHPT+go56Y5A9tpmG/RzfgbIljn7+xkRhbL4kOXMuGDwbKz2WNLy/qGCdOkhiG/Zu
R/QpSQeup75XzP4h4mXb9oYoHvJgJiKA9BOkwf5eTGdabU/iJQdwwjCDdRwO6NBvP6F2gAdXPQQn
AhWbLf1IgY8w3Fl8N+8rBlblht5zDOIxh5OzzR4swmc33UvxYT8Vz+42u02IAB63NpO/5tWNN/YB
ZqHCp8jSKtjjSycOz+GMNHyxdc8F1bqPr/9N13nsNq5la/iJCIhR1JRZOVnBmhCWA8WcxfD092N1
Az26wEHBx2WrJHJz77XWnxLg7MNQWmljYTetf8DZvtPC8mFYtsqX8tt/4JdDbMGKNEYsesw3yWmS
BY0j+clrJ+Bx8N3oOy1REzBIsdKtJLNTeMoVa3tE+/Qjxzg/vzfltT9ID9yQqjtwOxnfLLb3Ri9w
KTDQniY4cprwdBY1gei2mjgSvT/x9fM1zARdM4NHtbbDJfP7/ANPvZA7QWNhgYehFxft5qi8rPGP
OEoTCq/k6LU9N+OV9rf4Rme5rn+VH3Dur/BncWTfGWpbOwd2URikHaTjhdaI7lXqrFm+Lg41TnxQ
Cm7I7ktzsQKvwYyInAVln3kMhvYD01iOgwlHMYgI/Uqp/BJPZz2kDiDc66eECIgjs/UD0RQh/xbj
R+2mbEhKwYXovV1YWO+kFnkTsQXdxr9Di4hsoioLE7CLoAar+ii3zYiUlT0D70VP/8tGZ7jOSINE
Lt7ca/mTvYMoUR0SmfYDRJvMTyrZvqlVoWdfMjlj7ryCacTRk/ByPe3uaFefIi24F/00gauRAWtg
z3YS4RTWdv2Fp6EjPvNf0rFwodIJnHNQ1L3ZoqCW3YcLVHtCs3gM3MBWlh06bkykTfUSfo6l2Tk5
HDaje7wjZ1wWh6jBddeofJd7+QIi9xkzLIsPfyX6NOFechC+8Yfm/naCza3n2cs+ekiFPImhyb/T
b9qrPy7xQ5xNFgu03I7O50AdUIEXGEK/VltTir2Mg459R1wlH1DR3tgnCnbwxUCHMlas7BdcCsxo
Ii/2be3I431Mt9GTeMjFd3Bq/JVKihMbiPwL1ukwln8xDu/v+fsSldsYf60znlq94PAyMJrhPg3C
Zi486oHheO/k9ab6Fs/N3d8CJEyaroH62Qqu3cxNc5QhmCQgLYKVrjh56jbidSgYcx7rfj+f/RFA
3uL/CFOK3Ta1fYVgEDtNfiE6MQ4gAUM69ncmu3jy8bHn5/Hsvx9S/Ts5OPP0kqYhTXMP410wXV4Y
EYCJlh54DSVYGBBnsbtls5iiAvEabOCuQHM06gV3xkr8x+t9Iz8SwNsHMPiD+bxMoEM4PoTbHpqB
AVjqaKvXd4Cg2/jAiu4YJPdY2ZJ5w9ttzHHbLU3/Xq2IPwk5+taz0sEAnhTCPvh+axu073G6zPBH
aB3MYSWg3Zkj5bb4OuTVWgjhBGzfncvbg7FVDxZiLjHfxvAB8OA2sB1urEmNa1xQfPeIlNnGLKU+
zmNggmIdfy5W8io6aevBU3byftz7F33FioYgtxbu88Yu2WJiDM8ANO+8BZwyiPuCLP2astZ3RZ1Y
SWSLzBjDXSadJZwO1ZWYmf4psbsPUABLdmiXYddmTogtGvapzS7uSZPY4oGCUMWOnSsjJO6g+iO+
vpWX40teP7lpGfC9iMfUK8ovWAgwkcdwrZ0WJK3Xa0TLJU7n2JUydIeuQEouZtdYUURuiQYJq7vS
7aKPMXdadQvx/K1YerKFGc3PS4UdJEdyFYLWiAWoj0ZxYiO6TC+Fxn4Pp0enujUWS2KbyIq/CAel
dEUS7zh6NZO7hP9U9BvGR8gcfPkCjBjcBkRAWks47JP40aJbczGDxc0CbDaS14v4CpwsSTjjEWFn
hN/KrdguPlPdyI58F2KUv36tewKcqDRM/VYWFm/pJCEpNoZN7+pP5YbN/yY5DQBE03ba/Alzq9oR
9UK+iwuM8nZRTLooNB7NUXDfx9EODoK4apf1vlvLn6V3hJaS/VaPfofBjr4veI3Rfq0VLyMGwXq1
VtRtEdzdZzgnflQACdi9r7lGcPwGJl+CEZ4h2wGOSpSrC3qFJVZ97/gqH3BTqYiDg3qKTg47DXf2
XHzObm19eyMyvBAyhRWCA32nPg9raiXeBTHRBKm5reYSCZ6sUCUjmTgq6+Q43LpbdeH684+F7bo4
CppR7Tg4MCMx82X90X2gT2fFFjDr8GgEoNxlq/lVvIy/rx7Ew0uzLVZdK9qArrAankHJDr7bQ/Gl
ONWEUeBbwRqyZmAZvgEd7HVql8EZRsUPC6dyxcusuUEhVa8imafwuxGUTUyLmz6ekaeSl/v+wodB
vBKzwpyzbLzqfULzr+auaiIpn8sORttx7ADjbSqTRQpDasDPOHtEx0bBxdapWzvx2pmTt8w3T6Fm
t29XI+cqdZArNZojf5EdyAxK/LLrcp//cE4D+w6pI18rJBFu/oO1mNvs2oakbFPyL3RV5b65zJ7Q
DRd3ncx2B8QWR0xYWICSuIKTj512VLeH96k6VdJWDM33Sc7dRbyMPyEegIcSaX6ABE+sY3mOv/nw
DOu6Pf/AANafmItwVR7gp2BRU5NHwe/Pd9LMEsJVqxv1HnttfjTXbEiH2UlplvBBswQ9oMWCjx6o
d/xdvPdvvKN26HiY4dHu3zmEUAtGFm3T4k+lPJ9CJ8xCIRXVrcLzvHj2qdf+lJmTd/cEdy/ZaskB
c6gmxH235JpDG1E23YhzBFZX1JwvsmeMSh4VKH01tvST14QMvWtVtMsoF/XVvz/mr2yxmgzVdb16
QHJ/o4Fc4KLVtv/96t/3/v0RKPztYqZQYTBANpIGT++CfA658SOrwvHW6OW4pNqnXV69woKOb/qq
E/v/fpUKAu8rmv4mUWo8JZP3ul/MQnIZph/s4Rtm3v/720pBipGqddSRqjePSCmIhXtZwX+QMipF
ojQLS8jpM9vpH5R02mOcTHbxAmc9kr1X2ZvED2UcAN+zarXISo79f1/KBX3+QPC7KR00ttvGavIb
4X+/oYTfhjnb0qLVbI9mGJgNAGVFyjmUXAsPzLbGDtoSeJLhbStG90uMyLryZGX5nq/0wsieZJ7q
GzqeCAhlN6OTUIzZp8pJYeLSnJO3FVn4QtFMbt8zI5+I4/iQurwoKvB2+zbmpnTWzvJ2EPEpWAu6
o87hxmCOYae/2W04CHZDLbpIwYEN6s8bshl/8zKDbfspfdIgjWs+/S7CLMEQTIQ5xuKI1qJ1lM92
Wz7oOgOIvFjVQCeZSLBYShuQCN63klyJT2zcDuJDOzdPIPzgt2mmklz5BPPuHCm2uPdDibDDxr1J
+n3/RAea1CI5qU/dUo+4mzIkjF8ndYfFQ//MnGxJ4SHCDdo0G7y2R57CPwFH5HvsDb8vR3zAXOo+
50c8Qrh0UMV30Q9FMZ1ep5n+Z/2bP8oAd1eYi+Zr7oprLh5O9/Q7/FrA7APfioUhXaszWmj8hRAC
5OyuG/kJDt8ea5c7giyt3OK7CoRuvRxud9EYA3lJRuapx2YVbOFhybtBZFRkZ3MDHQlkj9kPJPIW
FndMyd5EXr/mX8PoiGCoRQ5N2+GXeKnxVFr13XcK3ySLppFItCjMHLRrMDon2LAqAUuyZwS0AZvi
BrqOCvN9E+xvpD/sY+HG/5ibuGwuteVIXvDWx93crp1wJXsVii66erd5StyCH161lM1xMDMP1T+6
iycUJOHcvCDrmbHHN07CqURutFVgPkHbEU70z/KaOYoIpkBPSDaJYjBWV/HAAu/Tua9EJs5PM/B4
uBwwkX8KL7lVPh0+NRVpeLBQnYSD/ELAhGgpK3gNdnDEbhANeueWJ0D6AgZNzBDG4FtaZ8ouOTJs
tmDeSyK8eq+9RHvQGog0K1zFcDfe54/XOS6xwrKGn7kpH0FRYZIHl8ZnZZrcF/SiT2yXZO7ybeho
LbXQln5g5Bd0VIJJh8/nIGYe5pJ/lpaV19+4G6W7cIq9z0DoU4I+eyGHJwXIBGukCPTCh1I4CxoB
mHtt7gC6iCeK82OR2qBx3Hbo+NBIkbxjoAoXYsrS8EBO+aKpHcAYTTlBRpkOztRkYCaIx8ly5zy5
9n/Nt7QDqf7XK6YsbFWsWOndvyn+aE81l5E5wzKoFpOJlA0u0OGJzsSAGQFuyNfZH1Fd7w195Cww
u8e48d9fGCFiFgfMmdW8CVcrTYjhNEMEtrRf6jP15pCTGHownYycuWT7wXmK0bg5s2u/LHDkd0lY
mokejDLCX1CSZIA6POPMwW7ZJzKBYHRbTKNmFsk+/VPEt3A9KP/mLbVZP6ZV9NB/mSIQbHhmYcQx
VGWTARA3vD0yFRDuNN/qk0XyIvMPoo4Jb2+01Gc9HFNs/iIHBn90J1Z2Zrw+YYCgXMkTarX1+1Dv
8A+fk6pzKyQvqtgkeV8MJ5basdMsplzRoXvAAWaUoQGwUIKpN8JchLmRlfbsN6ns+jGQcMRF67Zw
vwA9dSgNRIj+1cy/EliTRvrQVyhIME8TGPsE4arbwjK35lb99HWHLAFlK7dGekUJ5Eb7eWNErTHe
0sfiNKi7NLa7FpGkmSTHJP7w2ZluAXJ7SKqVG3Tbup/GLGyhWrTrfc5ehkPBxhcc6TxTTTygTjmb
Ho0DQwfmBCUz1M14gyeyenv+ebAabicGBEfGWiZsNe5u9RMfeUgC+UzurgKjR/Zk3UkHN32tFjjR
aAahoRdC4I5zJmleieHzJT2Ck5fborsy9eIk8tXDa0GpYHPkVE9YgzsmaHgJ3Xh2m5kxbIs9ksJD
vjA0qDXsSpuaYiE3tBWxERaraXq5I/b33MeyWw6XaacgYe3MneeRE27YC+nHyY6cHVbnYXxyatTE
TkD0lsknQz9DdOgl3naH+UOx2gXKDmv22yteyyNH4N+zVa1YdmYvb3it0sLRmYSGTj83csoIbNOp
YpCuFNSLy1z4/Xe9uTGKPTu+2QT0T1hE5qtxUyhaa/ps3y32NUI30Qyh25MUAo2AIiT3cEaoJFuk
+YRYXw6rGeYmuan/ctTqnRkOrpDctWjNCcUuysLCiW8u0moazUd3kn4bbvOZx42cbxhwjMSZ3UWC
JUmOryKoBFBm+kcoF6RjA9ZeLBls9q8dlhv0/hh5wUSGX/31So0CJOAOfSK9D49uy5PGho05eISx
AC734jaJLjN1jZF8sqyWOI8NWF6xnPIlHSrXSsByXXLgf44eT61gQuFUhNMkhD3J9Le8d663cq6J
9ob+l29QuhVr+UEg9zyzktQuxmXZmjFofw85dg+1Xf8JbdpjBzsIQtFgZmvihwaTuPIGbGRru2rN
GQGZy+I8fWZ2ltJm1slyNFhiL/7HU59EPzL85Ib77+2r8IL5IQYYblgKdJUc2/FUGAm+CR0LU91E
shGETwuF3NOF0yRHLFNqJG9tt+XYqEo7pE9G4JE5ix3br4F4+QrLBYqFLq2ThcNz1/2K9Rl5Zf2m
u9zNLhyKDAURFL1/8mMdLHM3ckL1wE2Rb8olOAYXiJKU/7v3+o2654YJNZwbI/AW5Bsy+7XE7+gQ
rOvexJeF0C6eUWUy1TGI0ygNvNhml5wHE6sWlsSt+6X2goncAA6Z8FEWJyUwq734HN42g8nx2XMp
KOeOzQfGE/oVJ2mE1YHlH2s2kmkcHdMt5suosJzuVF+0VfoVn2a29ihzS3vhwW1U/wb6bbcUbyS0
/S0qD86S6LxMYJ1sKfTfRe7VLj6IX2y/CsvywiFJktXszIX14QJyeX+pxd/kE9PFQfEotsIXR3q8
gtix0rfFXYTr9YfoFVeCUb80TWdEMuYuLhObmHto+it8yjK+pUyD1Rkjy5aZTrqj53/M5yBuVHsS
bjiFVbZWd+ns4JryBFDgodRkp8rAf810DbtB+3uxAy8M0rZmBB7YzIGZY+JCIa3wlPhj151BvBtN
YR+sWWXNOftR0G0aWWX1rASDOLZjQ77zL0gyO7hWmLDSMVkfAT+6X9kaVtGhPAUeq/WbN0nkad1s
GJYWZEvVRrnylwqlm4uVsUTb/tCv5U6x+3XoTpJLA2E0MQMQKXF6/uNYXiQmjusXSi91HdOUrJKN
uFfHw4AJOTNyU7YozuHr01V5kugkAGRkoapTmeGL60DfvAr6Hqch4xALCm7Bc/Hk4STL5X1jsUg/
qOi4fgbZYFd/hTEzq//S3waIVcbL4vL9PJKPcVOd6wubIsxMFMDSR0iZYEtL5XN8Lm5j7Q6XODDT
B+eSquyR+b6Gbw4ayn9/Iz/IeH9pa/2b6kR4mRnZkNHydSJmMfxQjwUDnTP8AhjNCcttI33A0Upu
CP1+E/qeVbKPt8Sd3lE458tkNNCbr5W5jT8r7d7kHwDhF5U0xf6ysBfb4IC5xsvrbSJykYjR1URX
ySHLyMg3MC69hZMdsBPy+lN3F119Q6RPQbOEAfNUORBHRxUfGZh0uEllwJBRE5vqAjW/+CQY631m
j6ynfcNInmJFJBXWn8Qe0T4xc9bxKaYbY+ejmizsqiSvzlBIb96oLnaWwAEfODzRTM8am6G+rFsk
eOpMeFsTV9rBwYyPLNFUX+aJo59bnAXWOpm0GbRm1PwwXvERtaT9aOoe8otBvhRsrOhtp2nDqqVE
lrxEtCkQiQb/FlfVqnl0H+/aUZHZ38kOtrjpVMwtGgiawz1dH4XpidAH8YH94DK/0PGtAQQQqRjz
S8lOtE12JJHBEWHOh76EVqP+nDFpZdMPPIKwWTvCl+919/5vxsfLDWFb3oXGab+bK+ESi85LjugW
2wyXSkO96uvZk8EV+hTlBndedF+n/tpVtto4jC7yn4gKiXfFNJ9sxmLmNfJKGx0UdKghGMQzH8ox
xSbK+GUHJM4A42UQbU1p0xB9DZ29f6gw1TbMfYbzMG5ke+7q5/IeMFECgqIYx9Q0ZRjDmOSkxI83
nwhWzz3sziqptAMaEuaFlrRhkv7t1TC+js3pX7KRYU7KG0J7EN2LcMDNgW3EI9pC+GnM+Z98BfTw
AzsNXBWITfQQTYzoDq2aZWGiCi71S926Re3gdfGiDU4w/Sffg/fDAW3hVggPzpwRh51hjGsyUfwu
DNjsd7IDCBcemUxL0/UPCczEnPwkwl33qTQMngJ6+PE07IkI0qahVH7Qv7vK44fpC+AhzxM73rJr
YzgOmhH8DA5Wqw7Y4gFByXoeGNhZOsUq5eGhVOYgCbaqXTj5V3tVn80mQjubWsHXjFFyNW2/8V+O
zuCv+dT76aAC69PcelWvSeTGO/dP/iA29qNedSYuS+bwUP56hCyhiY0GHfMLKYan6g5P2nsZn3zh
QKpoW04Y5+ivqtlhHHe84qtd9Xd/0mQaAJIQvdiso9YVMJ6L0ReaqoLPOtxK1OdGAg99dAA2w+nM
uohPnIsz3RMXLqClHLhk5XZYLuvuWN9x2yxHQDcTmKgy+tbNAlea6ggwUQyhWwiRRnlSKMpRV4DR
3eX3CtSUMOe8t2oBv3CS+yz9i+LY32mDURHEsuxWFATghTR+yJ0N4Tv7hHCI4ojdMlscVRWHhqvq
VWdx4Qw6BYwRfZNXOR1ZFrEjXw3T88pIZlYMGpzsATi6BUNp0E+PxoVUU57FXeRUNF/b4CGxj1Hd
2xJuzR53jwo4PoZTtPX0Dkbk8UcSuJh/kuSXOhxndrt97SN1W2Nmj6kvNSg6NjNw2bJ3fFwq4+hO
tZwWm4w8zTH3qNEWX/MLhPzsGv8Ems1STzdIkmz9k0nAHP4srRdjpvTYb4Id8Cn6srepk1G0cN8f
9PAAiovPitgTBibRrYx3PNJdziewhd/uW//kkJNU3O7M2dtbUGw8EORyfHPCpVi85NS25Pf8pseS
Emc5/84xdrDjlzNIZIZuGpoDV70T3LQwMk5YnqTYAevvB4fE5KayssFh0U57NTefsvfDKiukQAZ4
GQ7PotF8c4DKJpEhl1y3if6lTMu3aWzNrhj27gW2IwlkaqS2KTuYtnYkGHPZyunDeNJY14LxuoRO
fY5xeBFtTFJ1vG8eaHHLQ3HJcw9CIOACiIMYMbMj7HopRoehuy4iG2Mb2EIYKhFnPBed9hkz53E1
xjsWsCBrXbHr7bDNlqoheIyOWAtUdqQWX5jLDnjoUDCd5wdoqOpeWnE8KlciS536hi1XAQ8RIcJF
wu8aenm2mUQ0MWMpYnypxc7BdTzD/WvlRwj3lTcIDAGU5enMyVN73uCJZIZCPiFVc20ZvJyRnCkI
Ka+HttPsehVzpSKzuuN3VESXcnqv+HvgsGD6/Cd7A37IA2JaPrPRtY42txhZUm4ogL6YmAEbX5lc
2MBYdxi/2kU8CMt0X34kJw51sgtJXrAiV/4BMILvHZIytwRwIFPSi88zZR+tur2GF4dvJr/+bXYb
6H0pvJflZ+ZGK8kabaY68hfD7ubB/L9YYWWCIEha401j+7awbC7hmY+jWL5og3LgvrMk44aRG5/7
tQ32/TZzsS0HT4kmhI4IGBYNtV3yUX3waPYfLDI2PAl53Vm+62zc+x7G5HKBBZa0eeefM0YYV2R/
TeN2PXIbJ+nBZM05JgXMbn4zeV3FNmL6FKyMI5prT7mTevXgYcSfNGAuzuDbKttLZxGinceriJiH
YiuSiDCH84mVrd0q7tiDZRB3YKe+o8WsfgOvBvCHXnL11kwyexHfkmJKfVi/hZ245WCphhXQF1dv
/g+Pi1SLZMp4Dh5tyJ/Vb3hOn31mZr8AwkdenhUz3QQEo0SwsNWZ4a1eV7/VjCXCkW7MN9GlQL12
QhrHp5Pf/5AlRlulAQSIDTE5ncIHd4fPWNN/UIbdpHVrzbfaHpqQOVvrJ7DDnvTTH8ycsdoE70Yg
yUCJ3NS1tn5/Dd+xyDNoRH/gHMtmV/VGgwggcrvuGrQ7UbZlirTYzo7B/V0aOZPd+XbuYp19nlHb
YgSgumNrya1FuZGC2TV0s8bwDG80FX7qVgQ5gOgAntjtSuU5hdLz1NdFYKL2vGCWRlLAkt1hRlwl
SeabRY4xGb5QhmjzGJRWKVMDK4fgVzwN4M3femI2JrSIS/KLmLbIGUtY0o1/7+3w2eEIbevbzJMv
QIqClZ+FT+3UfwaRJy4l1W1M6ZtQs/CHtKwrgzv1IgRLnDRcsMXLfHDZMupztXoh9L0FZzYFbTYR
0VTFLtqpSdnp284DZyg0tP0Gz/8k2hTd7js+NIBvwqGdGaz44iJ/KoA84XkSTl/0J+k0KsOfdfsB
eDKW0/XEMRMVxgev0Ryr4+yprOM9sRxSZeKFTYUHH6W/jo/KxdAKqLVm0MBc9AzIrGJUZMN+k+7I
8s6vB8suOKN8b0x9D+RTDFa6+fqirY6ZMHi9G1OD/c47o7mUDIVMXJv3vMfwrLDhnaPLeIYbQH5t
yw6OLq1dYn9I9Ez5XPA7i81fwgVdbBIXaTobJ9wFsNFz6lvAygC38Kbs5Hc4a87rWK+nCrnn4IUI
YEAhuTCwXDe7dK/tBItbGj2QVbTr0KlOxXGxVA+xVR56V3nKAIadAS1kLXnqQV/YzT288ei+ViQ9
H5MddqiNh2/0LLThvTCWp+w8WuISrczblLABNIa5Bw+PMQuD+ZPM5lFMH6K9NY/3TuPTAt/+TCPb
gFsNSjlarzUiwoHrTLv+MrKL4iUnLbA36l+JBzrja9z+mNUtuc8/zGJegU0odqsa0DsgurF8Id4w
dQBEnK/GoywtNaybjLj8QLSwTtk+OXrKDeuyWCWXHLfZL+3J91rMeX7ZIlgo4mcEnYbK/lZtJUuk
YgupiKxSOnQNAhxj0rDAsMLxlrEoJguBK9PZliZjZ3ImWSKzj+oI71MAcqOjJm00+qJ6L+SPN0XS
aIsSfi1EcRiz73LDK0GW1THuIv7v2p0xBeF1wmxCgvW1svZhqH+1H+kHZvIMXpA+YkrIZBsi5rnZ
Cqv4o13CotL+ofx0jSdp88LibUmlXrD18RY5MWkQX55+A8Ke3IG24idz3d+eqmoTXDOcRVEro0V6
+MNysS+/XkserZF56h1OCLgNCdmtkWwEjnvoczZmJT6MWPhw1+qOoBdzdSy+2bf7ewm6y3RqFVxh
dAgb7chUoGEA/+Ck+4jjlX6EWHaE5npsPsvbDFELlvVO8cWOPRnxmm+Z5SPvOUE4abQVrCGlhIbG
INyk0BTLbYCE/kiVPT+ICOvwiqI8ro7DR31WD926cpN4GSrmnMr2WrlsMPtWcYT14iOBOr+bQSDh
ZGb8MX4L2P5bkGLWEaZlkNccOI+MWah6hxchli42vhY7wb2aW/0VrLu6RtcF4YqQepn4G4tLQBtE
+WUHVru6J/42w9WDupaJMd9dkOJgAKkOf+HCXNyjDxoGnH3UwEWNo9nlodpF1By0NaWJbUYuUSnb
6U/zRacavt1ot3j454pSm9iuaoki/jXzSprLEFuEdVbsopmnfWvfsWSw6by4iJv5nBxbDxg9vNNT
tXeSU/rB1gCuZvs5xW5qxoeOEAYvP0detsNYlQ5u/iUcOOlSeZ8GnyUcFpnFhVQ06jxSYZvOW2Sn
MDl2sue/SNWEnmS+f0vwvxs1BC66lBmToQWWyE5zCb7xUJF8xhwmjw87dYJBRe51hV2KZh+7bXUj
rIZenaOpZJwmwpb1WGVVznQZ3JXhFVgT1moQorb5unHN5MFrEU4+8H22lretaav5JwJvDPaeGG7X
NVMAba1q5otoJuT2GVDCtCGPwlTRBKmdcljjYo//03nwmt/eJTSCJ+g9YQvqR32LoagG3ivfkEeg
Mv1QiH9EyrIlvAIaFTufAKwPiW9O02aK38PqhY090vKphKW7YW4ZmDWpzJxViHKOEUPz7to3+/kS
j1NYPaRapf2GcxpY2gnYcDB0Gk7BaMn9qoQEoa2k1qEi4Q2nyV30oYwWhiBQiL6XLQ6QHCqAEdTW
0nT5S8mO90W3TIX1uz82+SmM91K6TQsP6ZXYE5BmjcJV6Jbd+5ANBNiaKRgkrrfaqn9vZYRf2krR
IYtdB51xTeZRllCXUQtRJCjcXoYhlOyU3ZKthw57JbcDF6iu3ywE14dUN5gSwQpv3Oqw9jKSu3Ja
HKAn4YQVN2YDYJ17goC/ipEV+Et9Bcqy7jdqD4fjysYcasv3RXu+D/+A/XZC+/+H8//7X1FmV9dS
UfgPF+Dfz730YJqOVPDh+AWsa4gpTSu/c1Xptfz3vcHXFGfezA9vP8XJDRu7tGUwFtU8CYXAUE4b
/WYVBojO/32Fe1u76gYRq5dqowtobY1/3/r3l9KYQdic1IP/vieOGX9NmDemhNMfiwq/pbJcuI0C
xR4rkdqe9eGP2E1c+3/fq6a/KGOo9v/+wHW8/M9X//uLfz/3n1/RlRalpRC+8fpTgLf+/VCa6DI7
3vRC/360CfCKCyMpXr3VpNoH72WPxwvutRBVWt+TebOiFupu1dW5g+rbHeAASVHTEImuDZaW2eEl
bodtFQzH3sdWMNC5a3kqq3stC/dJ8vpayOlJVoQvafZuHCVRFHMBvBHGwzLE9KjieW39fZ/1souN
HW4ByR3jH3yboqR3Evh0cfDu3bGpAyeNcpo8JggLXLrUBFosHoAzay6ItDT6nDa5hSeayNFOCON7
+s675TukPkVxMllCc27iJAZwVbe9h2MiGm8sQGa5tFYwoeJZ9gZdsbkrywhLkQoRvlOLOhFMmOsn
3SFtMHdZqKAPKCZ+8NFgICA7BXLXgQxfvRoeqEJq5KsUHO1bw6gISpoQUBglIZBlCL9ThW1Rv8vA
HlpojXXHQRjXDJu7Wb9M8tf9HUkr/DKNSUjiAw+0i6IgZAYHwzBqHS5Ihv9pQMS0WkK8XJTYLIWQ
vEYczdG+vreBRkDdDDozlsT076IzjuDlxaubmdI4/0Fi+UUCb2wlIWYx+aQ0nsNM6HW4LxXjmwg2
hTIH2nvLCIpFvPBRJ84KEoyELqNj3acvyHYQAofsR++zyO5qsLfwhOi+qWGLVZO3ZjQEVq+MnaWW
069PmTTh6xpWmN/5Od5u0Us6kiT3MlVZHTbzV565WToyicP+cFWrz37w1ExYjQJ74JATrM0lt+se
irsYJqMdpu3dx+9xWaR/swjmA5FgNE190hljrK4WYAFvRA+hyMyhIqhpFyGabZtpr0myrxC7C1Pc
RQVZclg+QFoYGzryeP4gcK9xJV97Ll7jdpAShlK6CPN4pjpDCL025hMFCrNN6aX1pAaWsFowXCRS
iaKXR205l1s7f/e91wwjbG5CcoUpeUHW8mvJSrTFTmQOSd6oJEGOjNnMIj35q7pXtS70gUQxZiJ6
OLBBZzwffvea5NVYXc4Satf5gy2w+FPS4CfS8NPJEs62WGREJbFkG2ZoUim8N6M+rOajzFMSUQ3g
WfGJdzrkUyZoZQNAVCkaVpqtxmYgJV9qmTLqqqL7PJQo5Hy4zvPiPItpCd5Cxlz5Dao6Y24YkEEB
XrQ4twr2J3IRq1bFVhYVqUpSLUz+7uCzkCz/zTBCCvDEKQLYuQns7+yvE+J2I+K1ZSiSbKEipyIP
09DVsFpbtZQ0kR/0rj8SXFFCus0lBZ7hLIM9n8zc0fRVDtT8neCMrmprjQvwLpkepi3L7D0yBQ9I
psBmCor/WEWbNqRQSWuqvqyIj13wFdb9CocVsBxIBmyxgaeoujkowBBh3P2k5PaYcRjcX/nkqDJP
RCOXYneQ69bEs3x0pVbJnJrkTWZggP/vjOF/NeKqMbbxrRrHq0IoRQE01YAh9vEA+bllBb8q3UgE
hlg5wGeI21oaD7PjnISKPTY8bhj337P57LPvude5uhjwm45taNnPOqe3X/kvcvukQd7rCiNHQblm
WKZRTUwUoAHABZM5s0szOLhqdcKuT/mMGTdKMljlnFlw8MLAQhEmBx9T6jUOnFpvVlhVP8gAjGxE
dGu5fuHqjPH+qL4BSPsAWYIPSyQcyuNCbAy9jZJ1LgMTRyWVQyPKM4TpuDpnwrDH7s4mKWUKPvNp
eyp5StXOIL8zM5z3+ZySgcAJPLOQ38xf+0wMpN1Mau+V1F5yYkbyFmV3089o4+fMJ17YQO0wicYZ
E9B+VMlImiGkzunm5l1R8Lrsb5LgnwQ/AKfAj3EFF5GApzXOu3B3F4Dki43PFpnr9xk2yJafRgD4
KBTEaGg8sslsQUsui36SK2jtA82rv5zNKYc77Zlo6e/QYOOr9h3eADNm8Kn90uaShTEWpaOUvizk
b+K+zaGa4ykcW7pCv4RZjEvugeaOQQtt4v/YO5PlxplrW7/KDY9vOgAk2oEnYt+o72uCKEkl9G0C
SABPfz/w93H5/PYNx5mfQTHEokRRJIDMvfda34JDQDL2C7xjktVz+hScZijlYAv5tj+vI45ylH4r
FeHvYeKsy9Q95P52iNAbloYiADDRL0b/MGn1oqqH5SUeQy/moIpdsZNTCNtGOguX/CUJZLyNSQA8
WgkzmracNGMcNB5mQGfE7zgVIWt226BnM10y+Bhc0SOBNlZkrYrVHEchaBnnlrA3xM2ODZagnQ+9
GdfEZOUktxXTvmTMo32182xrJgVjRtgwaxI5CzL5gETQY/QmZ1tkCoMITzJS4WCUNgtSnSIOeS9V
w3pa2tQ48xFE8JkGRldgS0C7IoAtuS3N5XomkVlM9L6s0GAI0TmvuUHToPDPcyfmjd2gnqi0guXm
k1dWDylhU/UxdCLAyaSXESKMtS+N6PLXTthfDSHJfyFVWEaqJBM0ShiEJxrJQuTTNZTQJrZeey/N
WmxiqMRslinsU5uuh3Kp/QZW2CuPwVPsBRMOxJwZJrxf5od4JYYBdJ2qdxEBb4CPnJsJwCu61mAa
mMXCxkMdapPWBxQ8bjHKZJC6wb85EEAZtJtjDmkKgXwbW68mTBNCkadi09FQq9IpoUgUz0GuoB76
BUNO7dD+sItHq0xfRBPtSanuGHUpTR+eYgSA2rqPML2UKsW3xGJStN6ryhzrpbBvJgnOl4jtvehp
YE4G4HkST754xynZ/eDV9R39NvX+J1DyR0gf803RD+qkowPBo4gv3USfHNj6V25AUT8UdKHawD8H
ZfHTCUOyEwym+FV6N8a+d5Rz/zxxBHKwsq1hd1drtcPZSuuVSWNK0jV8CAATw0JWJdiQMYT9Rsjv
LhCI2FIvpPCFQ3BFKESOGs38kpnzUrUk4oxkFYyaGNoQ0edA/bJ2hi5f16a9KzOkC7F6mD3vkLhk
1ieIGiyz2flAdlYFOWRrGRHYpXRD9QXDOBlpYonypgbo57YzhjGGByBAtoEwxW3P6193TtQSNUyw
rIjfp9GP9y7Uw3k9pYV9b3fGPproJhUW1NTGGzYD+FQ2LUy2bTDl46jSQ5jMUC31XZNXya6U8S5O
6F6ZQKR5txpsSEmPWXEpgUSbb2L2AmpgmU6Cm0ib08Hr6b60sCsAUgdbo2ZIn8cp0Y3XrijSlRsx
XoXbRI6E+e3o7tM3Or4tukMGPZ3Y3/GG1c9hMfuH5hyMnf04Wy6+WxPUCZa0mc3Jbn6J08Te4gCf
94F5rBOGOXbIUWvOAFlih2EKibKmh1aIoMhD4tClH5XVUOfc1RGAyWjCSqogdfrdhLa2iFfz7KG7
0tdjwCqhmf2oxoXcMKGG1P2LlDI95HlxhxBhtFoMlwjqG5OPmpxluTFEuylx+y6xtN5h8pqTPdrR
Q51m68gC3NYiVSThy93aTffDC2p9LoLgNAWUK4FT74bxR+lcA608K6zCG+H5jICmhDrae41N57HL
xwKWot/xNqWoCQvYwxQET0CpPxJncPYSosVWld2DSaT4GRAYk3vidp1MELvNGwo3FVj8cIid+p1M
9pA9nXorrIS5hlHdJGEDlIyCW3PmwmAnKa7reBcShyRBkWNpko9GYYB5Hm6jmt6euWsi39j6FZzY
jp1TU85nQBFfHoAbXI4fYUZnJyRjYMNmbFt29URIuHlTxMT/ig6VwtY2ayTHNU21nqqXi3/Q3BPR
RCc4qdSuXpS9adMfAq8BSSPRf2HYBEBNEyNi76lwiDTO9GKPBWZFPyEEOFXmJnCaU2MUm0r575XF
OqxzsctMekdVmaEUUjTfJvB5LdaCJ4OhmU7UezGmahVLjW5SZ97OQZifndzBooS2hhN4et6ImARt
ryz4akI7Z0SSXEvwy0RptZskQarRwi9aDZ/GPIOS7kr+0vuuwQOtsZTF5hRtXAdzqB4SZIpTRJxO
SKk3y+yR8OeEQGNmtXwa1ap3ss2Qk81qFkyMqKLp5/sZOOB2OBBnemd6Df0utc2ICxPoJsaC8ZDP
kEJSpSJhLuYNixacAX3gTA4eVH0GTx9P/dJxQyvIyYPGqS7WQawPsrJ2cdgyVp7i7p6ewrMA3QL6
VRDGwgcozJYeyNj/yPoyW7m2v2E3L1aqM87hxLTWcApUkLQbJ8TSjnvvUg0dTedeGwzE0ukF2M8+
yFJaBzGsuiISvGGc7BZhtPrVMcEggSpDVhssfln1grl7PFk1eqtbuywh4FbzvsmBnbqJE++ITrgf
BpPKu2UzE0oSyIbGv5EuvdcIqu8cLptlk4OTfSmCHHXNcQ6tNwqY7wYfftsDre/SkymGu3QhdRPQ
Q5AEBZvQCg/70Nx4Rvojk1m2Uw7vUF9w8SP4eG172YMFJn0zyA5pycT7ayyfe4ieVJK6aoVB/mq4
ZBzHojul3eJTLAiEzyfSsIpG7PLOYdZnMHcZybLr+SjtjsGGk7X5NZAuBCvERrfxRz86x3bqslPg
K44O32as00a4fJC0+kse3iQZWs+4bbX0DnH6UOXIGKK4+4wNNBUtzQE4bCgSmKuPdrc2PLz9pebd
renLbGFjkeqaMPAWFcUFEbJ4uaex3bMKYIBuJTpd9Ihu4+rruIKaEjh6aWXg8bYQxSUWWFB3lAhW
ZwsgcIu+rrfnkmobWJtETW4QdL3r0bi0CB/BKruYqtrviUuvE8TTGRL1zGHRuogYUR/pwAnXdhjq
G5XF+2GYwf9Z2an00f2Nc32CMKXWdRuiHQyTjZOG91mL+FrM1kku4x2HpJ0ru1Avbg6+zyDZQL/O
UWQcAYK8DLZEzDUoD4gdSiA+z3hvixlVzMjIvXSKE1xcjFId2mkiGIAUi6108DVMLzJ3saIaJKqk
NcoqYvSuIo56PVcGidhxuKYKfkWaURut9Tk3j7GVwNPkqu/xgWIwXankxiI9CPNAcl8h7KgtFIb1
1OwVFK7GFOGjAVrnamYuzB+Wm/lr7srtMB+kwlshZHJiW3hPx2RGbKF3pWF9c6GEC980cNeo7spe
A/+VxRqmnrhqO8l4zYLTVfrVxk0CClo/eCLklZPQ5UD1GBZqavhbi4sN5izvc04SNCEI33tlUO24
+h0HVceH2LZn4m8FBHMIFnU5bkWTMucA9HQ/uR8+qRLkSdCTAtzbBxtPWz+MjmGKXqZH05unqVxy
V/0AAKhWIIdC+y2s8JZiwToaHTqPvI9/dgZNoRRmQFql68TSbKsIatmopnnjlKPBFC4JQIb93spe
X5kS4anhlhYyd+NDuvpxbplpdO5N1pJ0ARMFOR+BwLnOvmIvKe9mpPpWxaisWupYhxLOZA8HOfgs
ME74mhbISGJZOCf+o9MyENEMryaaX5FMzBuvMteVg41KDUg1s3osH2dpfPi1GX9Q23w5Iae06T6V
gUNXU6ov1rf3wqX34nQRu6zbqunbPe1MZ4zGbdQk77Zho8s69JoFNbEx86qethqXhnOBwgXe5OiD
sUtk0eyciE2MB6uhldBmc8Fowq6Ons4JzDWHj9BK65WFUrwK2Z1MYRviuh725Fma29Hn8lZO5s88
DJ7LOcW/kl8uVgyfwvEmGfN331R6N0OMOzcjkcxdLsy1mxgVgpzm56Btomo5y6vWmTcTmePkcZLE
kLJvAdVebgczvOZCl558ckuuorqkueGbT3XQUBsWo0DqiSnO6d9YvJL7bOxIbfSDR9+Lgk04h6j+
G/Xsl0QiTI0NubzBllrJR/uSlGfa7TqP6p0nDLFDo2rV2J9CnxiRzKDHs2SBlqPRQh0Z3AV9eWyr
cknKA6+Xe/0uFGxCfZycMiy5ChUGfgR2SUZS4ZOn1Btirih+Zx+EDVJaRPDwyzTYS/YWx6iyPxM4
ZbdgCu9mA1OntuS4DQqqvdnH8VKAF89sd+OmzjYkdXuYOmaWQdndyA+N8KTgwr+iImzQ9sK29xRT
h/BVluXGnyUi/YF5Rpz+bOvKu/NpR1M1TFfu4L0EiO8KrH54Xuxp49Tiu7T7nXZ9l8pN3Hp9+xXR
eNtULVoJXct5F6DEIBwiWjUQyzdL174yimobeXIJd4q8vQ6nG38cSRv3mJE64cRGrmFz4AkUxaFA
gzBZXDFM+lfRDM4ujkeSg/seyLV4SSvPWecuVXJcl2/WNBd7y1nIespYgcPb27JfRJZdR8gNPn5B
rgKhPzSbpbprhQ+KISroc0Sxs1U/eoKlWzUxTZo1pg63hVegekJCYkE6uImXh/wdBeu0ZLY/044Y
WeFWqRnk+9QyvE1jLdy80fh0e+dBqsJ5Dwj9TH1YklDWfhqduLFa98xae6f5ZF/q0DmOhsxXMQHo
x1RxDha5TZ73G7ll3j5s4cgI1AwlYUcY+VOk74Xm4t9hy2IhIbXIHVif3eYzX6LYEtNHXlwt7Mx/
/2U8tfe6WwxVjlMcx8Cp0tvLt0eN508MqpciYtDTmsK/xB26fNNy8/tuQfYFZqTl4T++vPz4v338
94/Dr+Z1/b7v+UwY9c4U+ptfGeORkLzi5eby1eVGVEN5bJcknN93L19d/u/y6O9v/tP//enu5ftC
aDP18GmS/D5lWIWDYiyOYVbz10zLn/jHl5f/vdyfJWk/DOOhfVhBRZ4Dr+Ryw9GF4/b3fTGH/3Xf
Xny2+GiSN6+YnX02C1jnBow5yHbzMc+6mb9SdAfA+Fd5Pfn7cJTQcnymp8VAkndsQE6f49BfBz5b
msvdrpn//kC2fAvEZyYPQu5//8Dl2y53BU2hnatjcsx4osSx7eNo+TjZeiOz8S/D7bl83+WRy01V
tPxyis6HNJEYt90SQ1f6j5/uLMc5VNbnZFsOguFgwN3qohVIoIid2DhA2VpoRV7DMD/MWYubmumv
nXaPXcqAZminduVWbne83FhjhyAirtoZfeOMQgTqjFd1X6NAa1H6Dt3P1ExOGQu43TIxi5ViXAib
MgM2tk8WilO6gKLKywG+3L38X3Eh5vZe2+7bqFsTXoe94fLIEJXmvAnr8leu6cr//rlcxSyoU+8e
QyCFu+zyDJfnriOxkEfEcOLPSXa/f98fv+XytH98z+WhsWOSYuoSV+g/XlT2j1d2+e7LA//03P/f
h38/Q+2nahf0xN3946n+6XdW4JOTrD3lJhtgmFlc/vwCkIITpOs4Ch61jXDRMvHZeVN3zmg9g5OC
njH4JcMwkdC6/JnZZrP3mpCpQBUfvGwqD26ctmcBiFarjDl+R3xaPGzSLj+ICN1KU4HyArGyDkkP
G1rj27Vj0nsbBvHkUNAFZedCxelQZUMqIJKQnhgzSyuk8gxKOUKAgUE0BGoXMvsQpOdtFIF52yx4
YgNW3WSaS1rQGEhnDWMTdVm4rqOhwazEsH4oW4SfPrWIPQI1UDA8yuIX9GVB+AIaKPYCa1I6ScPu
gSvYXJhLt3rqXAYIZHsFKH3AutAlW7PpZt7d4VdMcjs6NKP5aHnlLdtbEj5zAyECQQ05S/B+cE0C
dkoYPCZ1mREmyKl8/FxVf5ebFYtZEvY3o8lgqWeCSTQE1oNFDZ5HwXGoxmkdZpi2UoGW2JnrmVML
KI6HVhnuB0TwK78W7V3FbJH80Jg87lUxB0hozO6L0DWCtIirWVuBeapi3SM/DRGjK4D0PgYQwwte
M2SVHXOQdRQlOIh6FD2lonkvfvZ9lm+J5/wwvG2W50RZAQ7EB5XdqYZiO3VqNNQxfl2CLphxJOHJ
dn54jvxpZT3mWUUzjfyqveOiHY8rhAHV7ZAhN/Ty5hWXAWEfPpyTtouiq8anTwoEl7gzU5FJnHF9
EHY1HhqP2iFiBpt1SXvyNGhhzEtD99QY7ItNKtOuhGEC23jFMPhGZ+ZZw0hFP9anm86vrkUnmy1R
XrfCsj/KZunb8nIEhzDNEUvAYe9BBpYYY7Kw/Pby5JSHGuN41IjruKSHxnIGUygRvCe5dRNBGZHG
0K5aRTugQQIz1ZG1KjPzzejkLzcT+zLCXMGPXtMO4ISJ57tCuI+D24539B6tiM1a5qAAcx2PTEZ4
NA3NkKOwjQnXVJYdYKzqTRmIkxc+Zvbg3He59e1YuPiT/Dlig4KjvkS3a78PygCX0s2v8V5EJmXC
bKV7O1t0vW73yTBwKfy0IDqMWq+rMPHJPt/UwINXsjBnhivsWWXJSBsJLGFvhKGNgbWpMu8zGtr4
paK9FYZBvY51sm004LaQvu42JM/AyJIDzcxnq7HDQ8M7JAIpaHVWzrNZdee8CNDA+VxE7UJjq7Od
/SBjf9/V4TUJ4u3RtoGsD1VxpCVwbWDCGtXw3uTtD4PAgk1RI4ItoAdX5p2KR0o/3u9BbAaHraDs
py8SyMR1m+ATsBQtPBGbqGnQYWUJMvDUCd/iBFH1XBowdWIyugo8wMB6r6uZpEmD8wN6hPikXENR
YRzKAINv1J9sFHYaY49qQSpxOd9KDY2vFgRejmnRfBQubQMFIXEtXeB7Nvo2k9Ye4pdMbb3Z1o9F
16IyTBHK8N4iYO5iccOeHoCfieh2AmruJdGd17MmR4yFbDuJtqM0f/hpYKCGKdFfWtnzZCf9TmWU
4WbsOTdDHH52tNB60wGJYSHvGnteV9MTetXV4ANniXs27Dm7x2FAFjNdBQOdKSdCNDXocOss8SW1
1+mnvtKMLfUTIQ8G2tL4lyV7uWpoFmw7B83vaFoAyD2elCkxGpd+cSLqIFi1eKZzBSS8JJV1I4Zb
XqK1tlTYoRhdInJH1exKGJWM8VHCjlN1KiPdgc5DTYqQYzcL4Wx0iqkCGlCRoTR2lVMcLAlYyCF1
FMIvGbNLGAuUx4G4bb87dJFx28zowhhWPfdEy9DRuNdKzSvLp/cx1Sb2QoP8cu33nymkVBpt5deY
giSExV2ySzNehEEGa+e1eJAcSJlNN52gF2Ns68k6THta+JWkwSO9BQNKto3RjI9jZ6EHtxO6xWI9
W/UMi95Z5U5UXC8iM45crxqSc1bPRCIVxZk+6a0wLgL0xN5UqdtQdhCH0Hfo//U4Z8ep5YMOZnVj
RwlwmnoIaSOM716GBiQfx9uMvv1RkwvTFj42LgK4MQ1XwcEYs3eN4NUbx/fcZZhuuOl1T0QEolKs
Fq6Fhclo5SpykMKTTXfu2zQ/NttJF/d5bXJNLYOfdalo5ndYfN32JfONBM1M/egy1CrnBIqoy8pc
CO/LXU5V12KEk4F615xA9OzY7c3jR2g0N9qYaqA5SzgCjnfTwJLtF1iQm/jJDJRjItUNmgO6nKJB
iAAFlKcjb9wFbseYGRvU8n+XB2YfNl7j2U+V6qJTEDtvJPVE27Q1+iOJZgivlhtTZ5gpovKZYMj4
GBdtcJzs8S0WgCpUKaejyW4PeQk3rXCijVMgJyD7pzplTWkemmBeW0v3MFTWblxqAMOjLmioI31V
kWiz8D0vN9Y/vrrc/eMlLj+gkoTBHPlMvPChs9jOjcsr97X5JLIcyI+n4fPjLUcX+VqM3akup3LH
9nGm4TQRfuRbPl8ySK+uKreUaxNY/H5sg10JE7Fo32WE9t8kwZlVlS395cb2ORSs5eZyNxY+HXQK
trXdtf0xC39Edk/W2uVFSaX0vOkmdR8vR3hmsx50aTZfuZwtFJcUEY0FuqRabi5f/en/Bj9g3XQx
GLVWSnNyqZyEINmRM6JHfZk5N1HfU9CVy2f5+0Yte1SCoKOVwcR5ZTcMO/fmQma9IFKJ9KNmKY3d
qIglH5ab1HOQMl3uJwuPdW7oxgS53LsERaKr94YaxQtk1qJ9GDrfPLgexCIyO4bjnCPkFV2Tr7Sh
F1IVsNhjX+M6ayvnOvYqLhCuZR2nvpLHy1etIaxjrd2KZgat2OiSiw5/n70YUbHLvctruHzlUuqu
XRsJV5yca6cxj53yzSM69iF2w4PTQDOxMkS/UR1jgiflZzrE8oGxSHUszSVsJvWBsqn3WbPPo9Yr
VowNGj5Con7CSGDZ8ZQ81pYpj0qmLVGADfYqF/XBAvS+WtDJsC4J1oIWAPEmD6Ep1AhKa6Z1k7Kt
lRyoZZhj3tVQ/ndm4XE4BZS8my4R33qpYy43l9QKU4eI6WdJY+i/MLmEYPvrNqch0rZ+eSoHE/uS
YEGD6kUYUzqmCQpnbuivHqpuNncj89HjvNxc3v/LXUlLMS9o5vB2RwD0ls+Andvfb4IRhoqPVmA1
BwIFbk5BZMUSUaneVT2Kl4YNb7CAhH8fgJe7U4qnvJrmcN0r/1FK/V7XeOqGedFKpnNK3rQxfkjs
8Vz3vYMe69P/LexBxXYnxhsLGOEcHGjuAN8kvdGmZw18MttVJIhuiIrbGz8IFKWASGkTbpBXw3Pc
BE/Nh3iqToymDESqKLWXvSDM5ZQN8QpHk3eOn+d38GJf4y0Ti/A5firQeuxIxEJlXnwDUVxOynFH
25MJYo0viVHAdCXtDUMQ6NaETqMS6N5IYggSECTEb2ItgyfdakCv297YQXWMh73xMN92nxV3J2SD
VyTJVyCOmAG+W5y+5hphTvfGr3KZxSH/Irz6ATMaQ8ICNzjCG/ecfBBQi3i5JhCOI5D2074SJ7xT
HXGfmN3HHY4Qy97GzidiGGA1NaDRJ/P9HoDVJrnrGcddYTNGaPEk6JSKLbbzdAFN+efpM7qzzqjT
ABds8MdCJCCLzv2qWc7ylfvofpEY9Sh+yGP4SD+evZ7CjiVh716F8Zk9A5cV6z19nW7DrxFv+KuG
gd3tSBRJDjYGfiK1uGi7FJJbu1kLpljIyc/AZ4m2SLB9vXEc4ICfmU4wNTrnp/QDx2W9KsONaW+j
FkcBjlj0Fhh7ATz04qpJGGGtkMcBitJ37MS4biCJD+7PqC1240fUXDkPv4KO5Amk8ucJn7ffsBju
7WYfeI8i3/0Trv3u3+RJ+PDc2RdOUVUevv72F4QnhmOwnXA8H2mq6Th/ykSom1GnuTQxahrHWiBZ
2WTf4lTts4/+GD1AOc3RLWyN8C7x1lOxo63onf3r+ZMjhH0tGr18YbtM7trctiHbpgP5Kzge0mgX
+4ewvIPZqWsYqmspdiKwmLGzb9hZSP7eIJqgDHyZv6H7bYtt8Q6F4xoP6L5+Ge7Th+KpfunoOKyI
LPiVHiHWvuU/SQuVu+EmP7L2o8M0OGAx1u/ljhxQufPuuZihNdgjm8FOjXwa377E2DTtLGIF1pwd
KzBvKEtnG3dU9+Jdg2Ee6Waf3SVqcfurHb7cp+IMjjf+xpiAocH7xgFF4jChrlv8fCsOmA/EkMYX
fWvkr/qRwcJTw4eO1QZWMY9wVsNrEMj6kZIdMMyGZ+eeQ7Zj/PiA2Kx5RWLh31RbMk63eHXpDee8
f0ckUeQOs8ne5x9o9bfiXr5AwdySnf5r/nAxdssdoXsLp9F6Iw07OfcHYx/v7Bt8ofYP8hOxT22w
3nf3YAARPBevRCnOuF5QNm2QO2OO5Dz1cAN8pJtVcigdcK3kSl5NtwsC4Ekaq1+AyRJvw+5gTZrN
eg/MEtgnE+wYA+GpX4wXJ3wK4NQ35gPDSjNmp3OmRQ5dfKE3cNgi47uZ1uwy1qLZQ2Q48CdGW3ln
fhXFodmPPynBeaks4Dvn2LxPp+CdunLHzm3L3nwvcAytF9DCzbvzAyUhCtHNkZjkzX848v8USPLH
ge9ahmm7nhsEls2J8U/wf0D2CkWXpW8sf7jBsxSvl2sMh9ezF7xZi8L0KoHW9QPbDMomjEbPOJLU
QvxetMr/4cUQhPAvZ6Fp2yieDQLE/iWZxElJ6GqDQZPpRq+Qf51xIHB64i0C0YbDhvVjjc+OtHbq
qui27m4jBrjYLJ/xjyS3l5fzv3kX/zHvglySf/rk/jXvIqe9VyXqv0deXH7o75EXvvdXO3ClJL7C
cC1iLfQv1f3tLyIw/+oYruPy374bmLbBdbas2i7+219sa3mI/7dN17M5ALy//J+/J15I96+B63k+
P+Jal2f8nyReOL75p6s9O3PLkwFX/MCmzcWW7b8f9Imb2Gluqhjw17OqguAwhQv0TKGJeSOTBulc
YVvMHCkiKQ9tLBOuojlj+Fs7S77csf6em04smuMGMSVegwhEsE6Cu0kNxZEBX0BJiYSSWKIJlcrZ
txSs36SHpBedajN1XgzmfOZnJLX3OJLMNYsRYIPjzQ9azUiYCy7wdCLCO6efEGMAYS2avNu6DSyw
tp2YIs/EcEiFeDp/01XdsOFifzNY5zHPSD0loNjU6Wswwf0njw2Gb05mFcLThsAterGI0blmJQgs
asc5qzR/8adoPhny4JWltR0ZBXYWbEYkQG/aPYqe1Xkqy/bOKkpSRWWAR20+FCHLD1Nf0AKSq3c0
wo7I+4VeouRdV/ohsBWAjYS4r5xpKHcRNtAsSNtXY8SeVI2M+9HsGTtZM2nsHUkdD9dk9tKNjzD7
5nLTudYBddG0yQxkHECCgpx856lnecjoXYEvSOWmSFlWIbFi303Eg40m98bh96m2nneOqU91Cwsk
maj/zDncBK5TobsnD4DpaA03o0crAAVmKmdzT579r1ZPByOQekMA5Nbz82rnVuMtaccTdC2KKHjW
d20+eFepFiQCVgxBBkHlnuJmz9Ah0xUIjjP9HTKHWwu4T12rp0IvgMgR2E/JoDGh/N/GLuZCqSuS
A4JbShmrLSVgJEa7RUUPxXbcfVoViGC72ecTZHfspMVrEke3fh4P6yqqgTh7bwZcpEwr+15oMBFs
uJeGXSjvXIuLd+n5P0In1gC0BWCevAZP7yWbpmLrWeBxOcpAg9Jx6xw7qFDXWYX0Bq3SusTs040J
3EBC0NB3uPkfN/xpzhTnj0OS01ihIFZtRd++vo2s8p0ZLGEWIbxGi9AI4TPX1WG9Lxo/2fsJg1EZ
s/cprb66qwY2Ap5CEuxA3VG4hMYswxRqmA8ewbpWPHe3PhREU1rJdYYQT0WSoLWeuUInaIx5U3TD
qO5A7jZgGFn5HxnbK6ZZ56J2FeRq+n0ItiLW8bVsrAMmhvSX68fXZWh+2HGF4i9kSy5w8dw2LZ7W
Bv0Qjb1pPRuQJjr6m6veTcK1MSIWdYNjWST3TJHTDRlnzdXQmZ9+EYFiYepskFh/XY0ktQUBgjvR
s5IHeMtnQBHRaVSryiZ2jCi3ARMNVPRkmDOCKeno2Wm7zSbXOftmRkZbHkPcBYcwRRkTYvRTwXDU
RDfMs/XptNlT1RNEGRjgxOfWoHlV+6/pwC6tqcJsFdv+wU9jEE3NzJbHLGE1sfue6urO0EC1SgkW
v0rAJmc0M6qlUp48b4fIlJnhpkGQayYFMPkEBV3B556J29hl9l1P+nmoSJebWyzAQvEnugmsdIIX
XEuCeDT1hyWrF4tGFjKybk9tjqjSxn/qinExdDbqhvqasMH7scmPMSpj24EjpTP0vkyZilXsEwv6
7tnuuP3lFjDKtfVVogTC23Rl33VdeUv6nl5lqnmb/JnUBX/A4jtn1RalCkneVUxiuyopn5gmOCWt
fKPMv4lwfKSx16CKWBcNxXhD+eqHI8jifqT5RNHSy/iD/GYgWXb20ebNIaqRIVid/mb6kKwJjP/s
ciCoyLuQv7UjbS+2QxIR4dVAjCgcoHLXBx6yjwLCXUWlmsYmspPwsYjy72GQ/JQ90cswQUDOVXtX
zvNO6OYuD55in0otdubXwBZIhvMQ+b61bzjeJtXfuLV6TvLmR0m+nspDtOiuiGjCwKyqZ6IDQr//
UaBuPNZQLHzHmmg/IOMbaGJsfAvIhcfEayzJPopnY10Oxw6QbUFl1bf1V/kr1tFdHufj0ZoMcgEd
TuRRntLCv7YI94kLtMA2ask0dixg9gMWxBqXnWfQLHd9+WqF+Y88DxPydKavOjEOtZ7ep5r+djPI
tyirAUg3yetomDcx2ec78602dAbgPyIhx8aWXSTo8JvEAwPnqtcE7HLYh5pKEy/AkpV4JdX8OJfD
N4rbBjn6SobhvWMayHItZF/WdzWT/UjLm4AVEsBvAxV5ZFLMdCNj+Jb+m5UTCl15zKw414PtGAOT
Qkt6awQ3fofx27XQCAtCQYa6/ULCOK7KNG03Hb+L9PhNYiF8HBL/Z5Ik14NJc9wM0bhzbXkWLdmA
mpU1TLtfttOe/DZl3OWJ7RhEt5FDyDZ9v7rkyp1i+zvFRHXrsgWXYPkhQDvjhE6Nxzg/6owIt2zi
RSbfiXJ+2v3Sr0js58bqLCIG1KYIBuugSLhfrOeG/TBFjX3dE3/KdLM6TiJ55NLjK55duWTfIvTZ
oME+lcH8PHkVMACc42pybwPt/3TE8OIaeNWk/ctnBdpaOdxVeoPMflBNTtjGpVjX2dSuhWUecpee
qGLowTaClOr01UuoJsloiDZl42X4uK33IhzqG14eNCc5rQOPhQORwNmT+CsRpKAtWa7hup+ebU6M
NeaALiq+OFVn4qI1a7ENWoePeCostjKNtwtaTRoFdA52Syfm21T+Q/lLy/wQNBS3fTIg63SNNwIp
CTtCwRnV9mcz3oeNdNezuySdFhQECbuoSDnxiVhNdIGud677ObpyCO+Jb6fZprSIDDBNkktXav7q
C5bSGtsWDFVpxps6YXxs994qbooPK8hvO0deI4b8sDrnR6RexgE1bWLuSkjAKPvhVvtPYbZnGP48
YMLb9Avt1fUo+AGaG902Y/8xE0XvtQgadPtznnC/NuNdkNsPZhMRqlx9WY17UMBTrY6mJnkVvVO/
kjMuUWS3J6NBMNGIPUfjtjbmeIcjZNgxaSkxwfsfZf/dxRDZKkVdVOgWdFlefY7hcco+UUPt4gyd
PgGDb6pkrhc5X5itQBSG3q8EIp4exP/j6jyXU8fWdX1FqlIOf1EiGrDBTPuPyoEplHO8+vOIXuv0
3ruq29MRpKERvvAGfGt65Adj6j+pZn1QXw5onzJitJPKutTWgyaEdLHz05S2hi0ExmeUl7tcoddI
gHAIS40OTWKZNqNUUCWVjw9ozw2hHxPWlvvvGZlgmnpnow6/w7696rGwNZe4UqyULYqUCrQKiWkd
4UtQPcisUW7hnsDSQVqZY1m1pUbYFOzghYCclPDwouyPUCZorHUgFCFFmuuinxwJ0dcAEtM4zDta
22804JEGDsVrKy29jYytZczES4eXeWXqm2RYRCPG25yhZEZwGqxN2LnImck0JKnHzbqG3G1r+VT/
0WWzhhzZDYunSiaAMI5OfGuKAAZQ5Qwe0i2tBWDcPaqFOHmPSe+3qvxpJe0hDoVv42G+ajixrXL8
PUDyUpmZgXIsQvYlRKGmMNdz8iYnGIMounaR6ry0B5xfgr45yE0s+S026x4N6nWuIvOesNGpEfpg
EYhC7D5LVM/iATEoCh1xE/pMmQgfiOWQEWPM+AQdkH41IEXx/FQzOwxU4CWA/uHHuC5X//nJ8+uo
qh6O2UGbev7288PzBzJjj5bn8mr/fnj+5N8vDRlrFWmK1v/n+//j7Z+//Lyw//M7SRLvFLnLfdp8
reQ+f48TFtbE81P2fbil/75VpUlrUxkeBOs4AxXdW2GgMPx84ecHyRLRGlru8N8PtNT+55cdpJdt
Bfs3CCbKX+ZX9nyP52+p//tX//meuhWJU2HZULpvVLoU3fJhzjpYdtEi8hKIFHae33z+zvODVtNd
ob6R2Y1+KR4zGs//++///bJPKIh2LUCjKiWOQEDyv28kFXriV4zQE4T3xNdhCkqUvPQOnt8z+jGx
hxSsdTJGgdfQc/rHMeJpFvHIRro7z087ITzlyJFknV8Nj71waNQXTqtZO5BPxPEV8oOOFMQqcDmp
twhQjB/DWXmjEHUsbOxJ+x2RC232a+bngV3e5hsRKQL0xQ94MjhGNpH0NrpIqHNDqzP3cCpjOg5k
QTaCQPf4aL2gBTgjcj2Wxjm9mCdlnFc/1CkxEqinPZTYzKazLq56tKAGr7uzfslV0LeTUSr5BHuG
Y5yONsA6+hrYeDJXzHwdG4otwjB82v7k2PQgqDJBOHSK/hN1SQqhD44WR/luDgE6VHbjKze2EtgH
Hk5YQIJWwXt5SXZwD7HYQmoR/hw1fvz+YEtypB1SH3KTdAFo96ABA6NGdTGPfcGt4pQezRPChVG1
Svy280SYMyHJ7OOYbYvXsPWK10WPDvEdIK/7HP4DDPSNLP9BTXgEZ2LiPywc+CgZKxOpsTv86Vmn
J8HL9OOGvEffRn7mU9xvhDVle1JWuJSocdXJln0UEz5QLQrWBQVhXYe3Aae6rV4CNAYu42ssXoWv
EwCtNnDwlUXtf5e+ZZ9s0OkpWknrwk5x/qvOGB2uQBDD3zYdukgrmSB3RSfjy/L+GNYRqR7kPwJU
E9GvhCzTOWgetiK+HcjzySDNkMizSTEdmCnxF+oh69qd/qjH0v0hMQ331qEdnOlPDg31k1b+HjFT
7XxD9PSISPGe4ulIBRjQj6o4pIerNLBP6BbWa9M5QVzi2ysVeiv3iN2GrZ6CX3ODsr8D7Bc5R3OD
mq+vn6KDvtF/82/+xcHpXt9g/n5HV+iKwa/Qee1NhQgdr4JT6NLwWRF+MQCI6TbMqwfU2C2eVLpz
F0/5DQmLE6digfnERnDhjpOMOtFn8PFjXc2TeQJBtoAs3VHdBOHWgksoIwd5ooiEK5nhgQ9PVz5t
FIrloVtcsdL4bAXbExNHcT6Ll2P4+kcDVEzjz94ZaH8ccdNLcYLS1joi65SsgxUVWRPtKnu06b/6
0usEk/5KNf3lrry+Rv1GsO8tcqffJYp4hRMfI1S0bATWu+sldpA1l3YzJpKrJRY5jw8/hbDgZKyl
3Kaa0wxIYSYofVbCHaOJ44RRYwk7YIWtyHUAiLfD26DysbUbGanikDojTmAe6rotxaRP0En//S4F
DS/cIrjRoyORv+L5IAJaUGIHdaRVuJ0Rub/yuvGx8qs7XB/mMmYpQMnywRnt8r3Zk6HIELp96izU
ejBqZLL9HOL96NVO70EoibBrqY9gTRW2kOloHkYUz7H5WgNAsx/eXcWaAi07ZIUjVKDdf2bKPbF9
y07JUVfG5NS3n8Sv1/QlLtR8OL8xE8AmJ7MzVPWcCaWIg/AC30dY0c6jarcsZx4ms2wHmTzEUgP7
wPtG4sfDle4lPa/8WOaHINwY1Di2YbYTt9oPLasRj5H5DLkvWHfIDevrsdpEL49TiP6rYReHcRV+
UiShN3GjcbCiQ/YZuckWDGG0Jc8pzgRMjFzhAzTss7MHFsn4BiSbuOJh3jweO6/AjQt5upfPojzJ
5+5vjoTCdKwFD+fIao0OuA7uxWLUCsuuvpqX6JX2KzRGdOXqT/k3oXMkvRPpUsqqejfyqU/OjlSi
wYqGLgY58x49UUv96n+1xfDoUEFqwzpp9QlBHdXmv5F4jJXVNz1Fnd4lqtNa5SVXbGFuaJajfOwI
C78q30BYpRLVrh5HhKexGSid7F74tWATW0FOuOfaZkbZlUa5uYpcRGsPTJbCZ1TccAtgcro+/nTn
we+NI6Mz7xCstZPFc8F0jHlFbiTn6Hx5IB95fWY6HC61/ygOEo8IxdA/Se/kCChC1lllW1YhfAQk
reY9ayRyxfxVWaM6d5UcsBKquW/BTb3G1GsQhAfvD10cDL6PfsLIox/ucIFWyN9j06F8c1hyBFb2
uIOJxeYAobv4RIgCvY7QZQwqPzxjaJR64/dEpApuD7ccjj/o7cuzp1RTfGXbGdMWpGrEXwWZEibK
4eH1a3WZeyUNrO4ds5JgeewRIV4sv1K4TC+f2GUiynR+OtseX7lE8Y4m72pYbvrA1jMGm+ixZr1t
YrpnG7wtQwc14jX6ts//wwHvWJo6u9D1musoLk5LUK/d5AXcpx2c8xP62VecTR/qGtgfI4HLwFDY
qGaMup/+iOh5m/dZPWoEu/gBcAVgbwHsEYAjegvtE45xYseCj7bvcM3unAxsIzckGhaFHHhDNCGP
zHOOt2BbrUQXDPCaaRX/mn91RL4BINecUR5TqGGtVD4HlMdJyg2OK6w48DqCQYrG1bd8B6/Edp5a
PwaCjrIdUJ+jLRq/QdeetWO03agcRB7gWBystnzc6pWPd+oKOQ8wOOgRY08rYlt2njfRXetQPWtK
WvwvJWgzsGmPiwWCgDnwklxIvL/bm3hlod4fDn4E4VbZVZ+YJNlsnuwZoPhhdX4buwF123Dlhbvu
a7FhZRn8Cb+CT2EHS3gXeghnMoJ273HEbovmhKI+Vfn0JH+FOxqqIxUQbK3d58bksDk5o+HBKEvf
T2iFQMhZQbClWfbCw2muKOcwhMh/Lg8RTX/uN3awBmUt+T1VI3wqzAVs77I7LlyQVQuQ4Qt49Mxe
h1Ofh29TDNHfBryyA6lokzQIi/o+4dBcfIK4IOBZcBfZespOap/u8H5wBKwWUkcP9mg1yxjR4ZLT
vRmmXw5v8E7QnAUIIW5CHq0ebzR1F9PWfUUdyr77pm4L650j+nSDUSO0LCSs8dt00UNGRIlHroAc
WHWf9fHhxdapXBuuH3hUs5zAA5JoM8tfFScCk+IO5xF3gGNYfWMCl/1UwqVOQ3v8VcgmZcU6CMC9
xC0wQwEfPiM8SV0JqilzYRLNBX4LzOUMpweI2YBBwGGsW+MrBfdIvIejnwQhab6oZeqKG5DYHFeU
qUbjjRKnFuzpHavoTvhC/iNf6slGtByonQy80lzwv8EhWFs93ixUEoA3bdl2pDW2CMeY1vta+WZv
4zwhkJYQ5WdrY/l3PLnsDO2ytjzCleoKzbcaKYxtCFRZeEd2ngcsqm13R2j8CtkcJnTJxoGuN4Yl
NIHYPF4b1dFeK3h57Nsa0vpEkO7PvOsD2jGLdVSTOJLm94ujiTtja8zS5rjC04SIu8UlEik8u36b
y3XpqXf1LpRrBHfvg6+YhBEf5ZF1btwSt92IGPFtqJjISPxwPfOK6soqe5UQxwEm2roUiWv02iQ/
qalAr0ZK0CHUOvYKGx/iiF2MFY82HzgVkEnEOzJKGPQiqATRrM83MqtVHrejeqSkMqdgiT3hNYhf
QqwGD8mn8SfAbFN9GXuP4et/oQr+Mx7sfYDAusRVuWafM6EsNox2ehRIPPA0w3GF0IXyozhsKhW6
AQNngwtKBJfl3yXvyBXHHut5QiGCe6lWF3VYa+FeA81g64dpK7p9h+PLvkhO4w5KGKao2K1U2yyF
jHMX1H0cuVnufEaiLUiuSFiEaxQCFSv8Wjif/4Dr6l7q03RFqmqQPbF47fH9QlsxcSiqiNcmWqNA
0HEFOkHaRtEPSvM2Ce/B+GFGdoHiMTEDCrCfrbgiIry1VJgJwaFBNrYMXglqguUZWGdWLgHG5Ifd
kQB13oFeYc5rRwqNBi4Liwkafi4OHj7VIVhGj6lUXNM3IbnQ1NlOFeI5G2ymOAmGU+ph7FNgm0AS
Bia7dKR1X67r7Kw/tiPahcEljZFRIIWzc2ek6YaGP7sZ/uKLX03xvWCOxRR+gJcqp046Es4shn9Y
2SOvdDfvWAnDjscROJ48y/Ar1UtQiUmLywNxlIfglbg9BbZYuipDc6RJGyIpZLC32Zg1KCg4JEgJ
r41sV4XI4zpj95c8AcUE841aCCRzSo3ACujRIYY7aBS/nTx2xBKtUS+wXIyC0VMa4fgaDlr6x2X6
4WGD9Etu+bRjkszRfsrHa7zJjbXk6YBV4v2EcD5BGOeI5tDpmc4hprqPPeVonLnRz0iglUNNRLvg
NUtQkSAhEZD3EHubGJH/4hQiJrE2D2D+JhrE6kvHG4ZzuUpOmOVg84SafA+xO9lh/2OoX6ZxqkGp
i1uObElGB+F7+FSpbX2XsM/IZe6cSrJm32XkBHHO69biCT8Mml97xLjYvUIe1ZbKN/7oaCNA04i9
QfE4pmkdo6yiRuuJeFm4al6beXi866jm3WrJzR6/AeCtO0cS+L1iE40XLpo9B4y3Um5DaiEcRQRM
7HVzeh4Rpr1wPHA+rdoj6wZrTFrY3hHbK+LXinq4R9zRviEazo6OBf1L+JV8tfvPclOsPstfBZu5
HxBjOpxKu/0tVXZwTPGwlvuK2JimAw/hZhDTMEXfKQs0q/pELruODtk5RnuTGjuVWdK7L+ENq/bx
TWeQvhSnP466G/8QdmGGxzFm7C8levMORJXqam7q7/7GXpo7eHMx9yQm8Vj7DQ7iLt0kushEqXzM
j9kh2XJDq/ZNWy/FAzQbveXgper+HQse2w2ZXoIHTV6uh9fxt6ttQppI7vEXXsO71yhGMKsrN2s+
R2ZlidaiZ8nUPUx3hPXBzGyWAaUqwVeg5dRNZO4T+rknFIyHw3KQjG+sLd6JzN2vrmxjxbnzWXBo
BxyRfTDZs/b5G4uXFZl69MqpF7Cnj+xBK5nwaVjjVE0TfCPtEWhjlk130Pu/MCnA/mBpFjhwQbF2
8qhF/RWv0pnlzrtkJA2nFgbWL8ik7B6ds7OxK3zDJbzTD8/rCftj/CO68x6LtCVtJsgvMTs8Bt0x
jz9mY9vg7zWQe8M/xJPDjF8KSgiExUvDtLsqBFTWLf5DTm54GPFpa/lOgUn4Ttwg+zFKpzvLLpEO
G2SOjbHDc8jHE1OrPZKpSjfCS91uPxBRg/GmeEdxwxM3/PpIreTppjZH3uJuR0TL4ECPjmzph8JR
1DTEohSr6einAYkL3G3TW5huQJI+9Y8GHzwafOx/ADwPBE2adbkbKMK68nUcPJL2XkEqy0HYxZcc
sKjFhjRDTLCNP9b6Mcr+InBz483bwbOY0RzH1QILiVt3wZqGrngRvAJ8Gke1hq1JiAHq64C7p4df
RP1YEc2qygkhRPFDp/ahn5A2a+5MoE3gcw8yqg42WxYuPPOmd5Kvel/Lq/KCMInws9ihK3YGcKF3
oTmc8EqeVDug8lI54R5HsFv1gwLIfrg8dsGtvg4cmCSdaKdBiDZXj7ON1tNbbdxATKMW/DVuEV2g
nLjKPKeYHERv0CbHus7hsK9gJ3wFfzF2s/bww6QShdpVEr0NcIl1h5VY6JfIcgxUjPt92f8ZvjjP
eJvPzNeIhdqPW/k3w6pPo95EzqYKf8uGpqqdfKZvlwIrlH1zJhrpPnGN6wpblneLKDMWrcUaxAVl
xpY4lupAc5+a1QO82grm2owU4l3Z+dYrsfkuc8kw6Ys6HTVMebFy9XiQYvISvkzDBluhSd4Bi4zn
PVAR2SOZ4HjO34gFsk958i8G3TBmKlYQS0JHELbs07g0UwdZih33GA1rD9Ocw5T4fFeUdwJzaNwI
NDSagzhTa3bjfZM0TO7MuJaBO6gn5IPKGzXfEuEUNh7iULPZZe9mexzrV576QaQB3O2Snls9WjWR
QPpdcBBU1ODisAQ3vMuMvTj9oUKX63Ap9kEOseib/6jIWEBwln9elGCHZCx0/atlnMdmpy9xqB6d
EOhZY352gehrPn7TzOmFHe/RUfH3g7/5kVn/Q23EUv1xjQeLiQlL4LCh7cnxl/oIigHrADFkNlbo
nLiovRrBDp6fQnYF3f+DOh0hPCrJNyJesiUKluUW8zow9bR7VtU1aCmf2+2tvfHPUnFbazfrtcpf
0avewbXXPzphTeL1wrzHcyXxe7gnbnvr2X7m0iUMY9c4kmmY+Zc4IB+GB2HODThjemBH5W0oX5O1
sZgf7OqEvyjlr2NvUZODt4ofg9t+k1wCcQTC0x2xw1sKuvIOZ0bswEg+b8ILx1DhsKnqIE5o/BBE
YTsUrjOqNr6MQQxKqL03rpcB+eSKmoGNlEYYzM8li+ZEBB2GiBKsz+cOmB3Ybt/I1cs3lHufJpff
jFZ/I9ZiWwMtjEDeMvvY9IhLg4/u+vghdSEuppbLBgnRpvSMtRzvSCx2d+T3go9IfSPEjCn60RNq
6D9+s7uNfzLJ7/kdHRWpHZB+7Lrh5b1R1GBpLQ466aYJDyjNdMNa4pS+SXDqviWa2MiQUpoJJC/x
N6T2qzECK+KLKq6iIqhisrBdYlir+AKXL0qw7D42OE68MMhRhfeMG6qQIdzuMFxVd9qixkFc7bHI
lO/2DSzZnoJHRbWGANT8ILpHTpVPqf6TChFSSNSsiBGw4kveQ3JFUB0uwYikrKX42C12cqiF/8W+
kIgq0W1K7rDNBhflnsonLAEZgfBaT1XpPmg3SLEgrcJtvPkjvFETZcvwk8eWkhKXxQPC+mW4h5Rz
/i6qpRWw6cLDp4mwCp87RhRgSkKKlGxJkoKPaTgot/yYuJxtHwybGN8C4izyb5MKTYJKBebV3yMu
uRGCxRu2hkVu6Tp+80psKyiIUZfihB+6Ywp66qKT1NomkiDFXvlW5Z3MBoeBL6jYcZmByTu2lCQ2
wSFOjobm82Jpg4jsi8zIkFu8Kev+LXunk4zaL17P7yjGf/L7ZbhHsaX9Ro3DekO/ikVMl90FZ3dg
glNpMjl8ipKKosuAsHdhGEqxh0R9SUfAbgyuZa6Q/sSBVEzetfqGWyqtNpqh5K/Jhd+lsFMRXCAd
r6HI6PM0eo3mkjtSEiKtxnrSOKGowSf83YCOqDOuYYCQSQwMU+3zUla+wRyx0G50Z/D5tj4K4W8L
OgY1TipM0ZZa+6h/5panh+tS3RA5N8ou024CWz/XLODmWftTuE5rfxSnZfJES+bBlk1qvXhYOgOz
Mqf36/IcMMpqj3NP2uY+BBSbHI729I3ABNkN5YlB5+q5Vl6ZTxSJ+Uw9nadbUSCtlrHhflvlyhuy
kzEeJVvKeOGnGRYjmpPLLtVEPiflKq7iaKvSJcawS0UNJ8GS1i4ev+X4y6B2wwd/zvss6QpiECuk
uIizlB3Dyh1xX5C4sUadEJZS1lySRL+eFhg/noHXLP0coz9xFjLijJcKvdnyYlhvQPbJr1AQdAxU
qDqKPeTFJU+REuUns5PXRLCMcw86UyH+4a5Tio1V8k7Zny+4fCrrmMIFKF97qUzdmp2Sk4+UWkIf
km6mhoEcVc2FdUxfDsZ1dobqT+TIQ+WcZ1TREBAoaIAqZ8XT8QbagsYsDAQEOmSXuQWP1wpQokfl
cHlE7ApMpUBjhzsLzRuUH7/6tPDo8PAa88An9MVaFP6qlO0PJlKd1NB6jzoJpcrOROzDNU1Xl/4w
V/iSkiv2XEuU8Hxn3gHWPZeArSc1DXXFnTEnSU9KZXFHZa/mQrnXCUQQWvgJPvEbhp+35+DP8eHb
Mqz8PZ3x5YFiTYoXLHM5WmRxuR0mveJyVSwifsKv8DgGf3zQGl5um7vFKZpLQ8CQoWMIuEZ0Erj/
GQm3cPHb5o+4XibB8pCQUuqwuHvQQuIBkoNiOrm0b8Sp2Qdbkg2kWdmMuE2mg9k502H45I37N7oE
AhmTx/tyO/w3N2+8oE6ZR3vh8VAXTsiaVRUL5COrQlM3LPlM2bXapqMroKEKTBNYdMC/8RB5sWVh
RDYLtdKwuaNZdzF2KvmP6fFgWSC8B7/IY+cOuc1FBMjpdb86hzJeAlSH3BkbNGCSS/8AGCjRr4Pw
Jp7TkrXOSnsOvJGuruVIFz3dUTwREooJb8x53jwA9SwA5XQn4xS3Ng5zCBVxPwNTiXhwbcx7HgO/
C590mYsAUyg/I1VCcgr0lYo74Q5zFVjndbhrNSJQi+MwV8Hv8RgkE/0UCOAoyK7qxV/cs5Qrf/AQ
94O1p1/H/OBRjrAzMr+SfN6JnvsjJeDe4lbM62SutRuW1WeQ9nFVXPa8p7HBskhKu+12TLL21L3S
IA1rDB4dpNHbC8RJqh5lizwpYQsoHZ8WG1rWOPHmjvL4gkzM1bGOtYdL5Dh2HuQU0bLLTILEsnmd
LYftxOrOffsRAxNr4LDCE1YPQNpE2UOlqZEPKLI+Zg/SayFuaI1jAwdiLJHcUPNE7cYz5jL74MLa
M5o3vuR2FwQX/j7Rmrg8kNZGv6oFR+qZt7S5loGFEQxER3ZJnkA4zriJL8O/wt49d9G1Zk6a1VUd
N/+MMIBtoV2DqWR8EKUnF05qe0B86n3cgHXjzibsQqkGo3qtooros+Dypetk1yds4UxUgB0UJ4pk
LckOsxBMAYLRsuAyYHi24w7Io2OgFo1h6D+zlwL4ZGDZgfi61twlkcrdkuuOgYmjrLVlTFEEZCn/
syAb1AdXHjW5X+6P58q0DOjbqUt9ckh31nd1DrgnEicmY7RlYEnzuCTufwEEGYCL7IfuBhTzV2Gx
5KbgIyM0wLLrPO94+2US9JQybYSJTLSpIVQFvkqVk6xsRedCxtfJgpZMSW3V9dNqsCrbZ/e0UXDO
UI8cXiP9D4vR2j1+QKlmr8t8RXWUJNXcIP0e55+L+ChHXkKasVLJ2orhkliQ/vfiiPipcBPBeD6X
nal6er+MNBov7GRU+SCi1z6hhdIAhXNK5liOHK2PXAAuLcuA62hE2CUm9O8Pcgf2cuBddBhBTzkT
i2La9coZSH91oc4GksMykbDEOSGnQnQ20sBnGSzrR8U9FHyhUwK/O8GULro93+BRV9WuRnuwdywa
52BYXoJ3RlSUDyC7Yir3ssMKKNhDMGJt1roG/2Fdm9/LvFbOPEsKrSINUdqeFeQvCvWINAk4ErVu
13gALqnksgPllEmBc2XWMm7TZG7Zh2XZYvcnxUdaE3w/Wh0WFoBO1q811c9aJwldtudC3TINuQuE
KUmgBQJ1FmjtYk+DtTQRabyxHi9tCADcC0UWj9vGPlQKVhqITDPeFMOX8ANihW1MvVfIoqII+5oV
bsOYEt5Yf1DKLhsHDOIykxDgww15oTfZ4gE9+4bhmXdK+EJnL6x2/WM35egz/0FjZel6UUp4uA8s
gVmh9Za9Sqbk1C4HDWsRmxX1izKCRZvGL6s1E5NHwZQF8U9JKo9wz2QFatT6CLIMRGrRj7hyGKF1
xmyniTeYO37E1r7EHHi1nIVvvjYfSDCjlXbRuYUSVSGbkzwXOe23QvKa0jOblrvgNwucB/lSd0qs
EABGolgF2NrAhh6lFXtZ9wLYzw8qIry90TisPF6ZjhPndspxahcys5Gm/7RsIMuZnVJJ27CTAFCe
MTDDzpxikHZmWQJOD5r3io0eK69+K/NSkO8j1Id+mPD0QALlzNJt8QuDrjC7CJSO3BBgB1YFsm9z
5ejoh7dbuCWrueeBgYHpdoq2Doe1MHkipfPQKSEm0ohBp6XfIe5MIYfhFvJzQMTFxvLcjFis5Sn9
YM6wpLgydqIZPVWu4Lmdsxmxc/CIQpjF6YaHxs6TAVrRkYihvQRQy2m+AISwQXHeCdqGX0d6j7yZ
eBkBITBrmV1IR7axLjrUJjhjYnNEQW3CBt6Md+Xso1jGl4whwRmrRRzJUU90cDSLsv3SZOCx8ldZ
CDEHzPjBkjjsoOTEI0KR6jvKPPQzl3iPlyIESXy2kHRGVX4RTYgTqsM9sz8cUJPbsGaop6XK1yuY
AFoyRGLcvfHDJn+iNkqyTr66HN8gTyh/gixCD3SBGbQNqL8NSAuKyRzONRUmxJ9nHOAFyfTMEaFD
u0GNBlV7Ng/NwvItrOCpK1U7MpjL10Kd0y3qNT3m5dlgq2putl1dyaCEYyIkfXiZzRQSZd4aWw3t
l1CJcXVJQHJiCBP5pa5iKzAqWwSelK21uF6IMSCqXM02ENY+4xYaRdZO8jZBYBypjWQjDg8a3QKk
lkivMa6uE2TZ8TnYhl0QIussY4SWD4po98ibMNkpnNW6NKAzgvtTpAueNPNEULe6DvqQ2mHQGBAr
xkVeTlUQNrhUqkkitQgxmIvogjFrv3UWfg0Bh0ypcDo/5szvDDcmrglDE20CQNOrobUQLzKkt9HE
ShUvpP/8eaDrkxck5vH5rTpRMoIc8e350hmGGeuRyk2+0IJyeWy3WYOQ21BFDFnX7yMZEGXy/z/I
4QwQ8/l1+zAAg8olMjsVC7dWy2obJo//flAaX9MKjpJhqgg3xNd/fyHW4x9z0jv8vnKaQMuHul9k
7P/9+vlZj4Qm6h/ZZlo0KqKnRsXz01QsADSiExyjajPvhApkp5DUE444Yw37yWCNROD9nTbA++l5
taYAIrSukharvuXT5zf/+cPlr0F28pN/v1kmwaavycFaVG/tGrce1B64iOcHBJqRK3xezvPT5ze1
srpZIp3EUYGtFGYiUmUqJx3i7//5MCxf/p/vPX/6/J6Mq7QS65GvGMiv45Di5X1YAXWpMEJH/M14
hAI7QPVei3KDlN/DQEwEekHYDI7Ya5ot66DMrX0Xmzr20EbhN0hKYiUpzoDFNHMpb8dUBvLxLyJJ
NZlf8I30RkpEUG2LwGrdodJojMxg2mJKaLGBmEHZ5+ExX+wZFXUm9VuIdI+GmifSdYTkDcymxZgJ
uS8UdrtF92Y4lS0Hci9qGKanJZjmiZQoxfx0YROaaoJ2LSYT1mh+Z81brVEQ1Gopv4i0QtCMRxY1
w+HbrGLcwUoaIRRJ1Fo/T7J0Qs+r8BUV4Gs1BKt2JDyZwBz6Wo16BhoXOikB9bli8pQHsr6RypFW
9N1rA66ypGplJrj8lVm3QWlejCSFJlxdOcHY0TU0ybVQoF836UAdqlRdC3Kfm42MdDhB80ZXtEaA
yKmNfRIiGj8l1e/YCRzQSPUjAT7g5U4zPRYSuvUcQnAPDZuuwgMLOLJCvCXoY2OdjigPg9qbztBT
H7VEnK0GECGZRIaBovd7IbYb8PSRjvx7EZM/F4YRbaQZDFJBldmkQKgPaObhwvLZFwxaXQ0qldd3
xSJ3yEeiTRFxL8iKTp/BaBs/4Qci7mH0IP6V1UN5/KkmhCQe3SNEW7VQ/bRAuYEKkCYl2npUsK4r
U4LHR04DpqNYpQf0o2ZqO2KEe2ynxyGUpi4/ZJX8hkmDo0OF2JiUEIF6waA1QB5Z6HIg81f3guGL
j+Gj6LhiQUgABQrmvmtH7UXk7DI6zMVHvPTUCLBn+Ug+jJZoVNS+rdjS9mHHAZdpEE3LKLxJOpkh
OGZMVGXcXh/9iAdhnu8spYcogZlXb2iFk0pLeC8VgRsOeXqADjYUQ49KQ68ccrk8z0MHQopGLxSU
eScZ2p9KVoAS9IJfdhE6OAOuSiYej2F4HvJjo+jWLVpKiJproVy3y0YExaOixclYQ5KuLHaaUB8M
QxvWCdYJeqhJ3jBUYFVYvHYlGOdOijj3Inyv09CMlklEnhMZPdUc4zcv5wFdf7htsar+VkjOCyHS
YK1OPCL0eY5TlQGYAaMllJvE3cPA8Q7lJyee8TQpDBy3pbj7wNOELtDcJl4scf5O6q8RGsN6qCH2
Qft4UfpE3iook4ZFSvQ/BV+agiGikAwYqodoUV+yyvB6VbL2dVnt4dO0O3grSO1Jf5WpgUBTUjjj
CKDXACAJPyBNk2JfiHvE/mEeZVK1FefXVoc826DOts0BR0Dz25i9AYpNnkiSynix69GbLQwp/EUD
7Rdt4MzPCt0PpJSToG6uQ51/DnoKpa2T/FlJX5aZDlPXEl1NSGVMzKZvMykxXooervmA8jZAUamk
xh+Jv1VrLSjSeogQBBN1qDa5Bdajngf0czhHrLaPnDmA7I0FLLpvWgUMxKhgwFaasRE64i1NRkNd
Do1thgMOLJ9gcpLugVN42GwkUZg3g5JPZ/XxWMeltmOKZN9pIB9M/KHkthivmCL4RgfNTR/orA0N
ZcNH/aE241o1W2E3R8A0kE2EADbOiEKYzXUS03GjiMq+4tFQcgT9HT7wc+6UuzaQ38C4QurDIiqS
pOllpL87IPCGVpc2HzVVudWW1FD5mKNNjUQ3pUUKUUj0kxNCwtJLVLuEuh83hYTbTPGgi4yCDOrc
TqFA0xEr/W2C/7qdQnXwowCB3knO8+1MIKOnxeLxpZy7Kr4EklV5bMbJRo6veliIL21Q7q1wVnYy
/Sw9ieRLO/U0dYBiNTUCIBipjZP1izQRamZD9Hd64NAmK49r4YRQTjeF+SlEc7+3yuIQVFPqowER
wR4Qv5BRI5sP6GeZZb0XSzxHEumBL1dPnkcnY0qlgyTMbJtmP3hCYjxcKSvfmaV2WQkluoQt6XmP
8pdgaakbNQJdwFB7U3FASWdNd6GU3uMx2MeNrACnzVJ7Lgk7iyFCF5FsN01ou1QqbSAzkfRdF/SX
Fo/ITQhDh8bDUiKBOxzWcXSIkspTjexvY0jwAyRsfhC3CYNhWAxAEsRz5FubhYP7ULXRH/oScXCj
31TaxFGryrqnDaRHBnaUmZi+S70CRqOZzoIR0hRTcBnO8LyziiKH+IjfnjwiBVixtXRqL3uDKHd7
PERO6M99jEV7rLOGGkEyKkjO9XsUikO/jR49NegBO+qpOcaGzeAVviBnmAO1oeEYuobtYzIBcRGw
vArkYCOPfUpqIdTbVoOQ1OgUFapWTi/Qf47DNO6RA3sRYh11/TmDBUFAX5UIU2mQJTHOooISC/lv
joFkGmsu8bv6FYhwn5nsr7kqUSo3zE1EhL7Gb2PxT+z26H6/StCQw7zGy080cwDcDp5O8brsm6u1
yLP2qIPij0myNYfmTzQTbRZmB1RGp05Vy+FGFylpJrmhbfDvmywvGUkOpR6oSfsAaVq01ObMijUj
Sp2vGgUo87g/wHock/wvxP1V9//YO6/d1tEt6z4RD5jDrSSSClR21A1he9vMOfPpe9DVp6vQ6D/d
/0Bhly3bCgxfWGvOMTkWH+X8VtW9uQ4iMPp5z+fXcbzMsxUdp/Bsahnahu4dyh1i1ondgHyY5vjQ
VvXo1cDA0Q3/CTSdhXlQty+hcBtIjdwkVlPBS+z/RMBd7xadJbGIOnACpnkMgv4raAzfFXaKVm6J
NIDL1Y6UAeZiV2Us6RMpO4Q1wUha0nxJbe/WMsuNyqQIXpvzG4mJS6gG+75p4jZ+GE1jq8Hc2prU
026WfKagOTlJ43FSotDrSlqoZqw4g2TRIDTY5LANh57IhncBzULCgzkUGu91ZO0GuXtnwrnpwIAJ
LYEoQWgv96kN50zzSvImR2lucZsvNSaxuI9WVOxidHBTOvIhZQy+GgV6xVJpDzYK/mcdumvlaaQg
ngGrVkfABJT1wZFbVAjMsCdWZizPigQ4K7FovY4YcZIQ7MsQzz5jU/JpFn7s1X6HOihOXF3XKLmO
GoSHQSSn2NiE8oY9knaQRoCwxiS9QgI9z92gH6W0fsG2zjxpot6MMaTLMkPOOFHcm3LrkuicSkAR
qJpkBZRPSJ9THMqNLl2pmLVpBmmmJZ9nFvNjrjYxFfCWWp1eanYaNPu476uXBtmiU9Jfh+5w0/Wa
8oVacspSFnS9SJe+kggimmuSDqMU1HjcsR0G0Ej+kbYD2CnvVMuC3gsCsgPQsyy+qZwZTf/E1rR0
G2zYyIH5NjNTsrYS7TFB8iHzuD4MmIwpWkqPWq3O2cLM7Oa5XS83j55MYDADDq6mq4smlyWpkDm5
Pk4O0EINPzbLCIGRKSWkYSiog/ix+ihY+9pKJn5nNUzJURzAaoLtPETwpC1u0lIOGMYULvAlJCcd
Omnn9xmxlQUseZ1hMh9wWigmXlm/eSJ1zDySGErsslxsi2ixISD4zCVNOoz+fBLFXtrKwCG27KeV
YV5WBUjXk4BQE3VGzoggjA31Xkrq5NpFVuyGHc11AhfqbVEYQMb0SfFEPwHA1+tUzSKfePZxpw/Y
j0yjY9MHDWGfpn3IfJVQkwKiqEqzwvLENZV0wvo9BS8mBNv1nID5jgvpLXhLDSz4MYv6jW7MidfA
zMUElzPnyaJ/moxk8QvQPvG19FkUqYvoqiRdShMzrMrShmB5Eo/GxsQpr8CCUI3AQQYYu6U/EzPZ
Fgd8jN/VZER7ay4iKidEE+jlbhZgPGdtOjhzIe39GuW2ZTRg8imj5QEfVjSDc6twcpeAoEqc2Rhq
YL8GU0RGNqHNEGICVYu8eRMEEHiK3FusWeJ6V0/I0dlFUHKKUP23c7uf8b807UmQ++BoivFZVgfh
ie2uwtz5NddNtVabQ69HVGxMeo2dcCtyA7oZGwWjo6sp+kzfaUsXPTdObIY2eaJ8DUmoo2sm9zBW
s5y2A3j2rH3r/fGFsoPG9slklNOabWHUFQYKq/T8ThloSKS7hM393ihrxpYq3Dd0+oVa9N2kSno8
kZxOLM2uMGf5ivi+ZRcq9mzLFYSTAT3DjqVznqIMlRTcJ9KQ7YysVS7q0O96yiM9KWjHcBKQtpMN
cuL6ZDiNlRksMbFWrNNYbuvCHxlnwcGUorcxYloVQ+5GrhZuaJawSxRZ7tRS4TTIXhuJYXTSCcws
A9XkF+r3QhkUsJ/1Qxw0sGBRxC1alnRy5jcpEp/DmFbh3NOWNy3wv3JKq9+fSDIU8uoRRkC3lTGg
SYnWvCmR/4cV3Y8w7Nl2ZclpjJS7YAy9K1qTQd+DlKjPIUB+PYUlUg0BGHerkL9Rh9d0nl7mecJC
ZlEA7orslDfN8xzmWyENgnuqvTZ9/zXGFiLakK1kSZkDLCmJYjK1W7kR982Y4Q5BQQL+H72Cue/N
5BjWniKJj3oGyZAp1sGANkB6m26ive1vjZX110QcvpUBG4lJaB5ABUtbNUaS3Mm5e9OHl7IotD+z
es+j5JqNNVjafKYNFI9L05lOUGNRbk3U48iEBNO2/ekrq9+2Fr08uDU9M/1suRCUQJNJKBrht3wI
M50FCTR3T1b1RkDDZ0vJKwNW73Qx4amUieJD2UdfUZH+KY2goqpbXWrJ77wcLWXPrGrM5h+rESVS
pFT6ke388tGZ0ngSO4EUCQ4S3IrCrRQfHYANC1++SHW/NZKMPc3QOjkj+LqTRq/vSYSTA4UFf3ic
M+hyVm/Quijn7QhdYz1OE7aDDnBEpO8yeam5LMbEoaaIMbUlBfGuAjk3s5iSyzMeX1oX5ByhnVXf
csv6VjKhcOKu+cx1zrgc+aU7zfpZSSUq0rHhNAKrIoO9XWlipVEF3IBdXmHRRzA+qpBALHxbnHVu
HzXcNKOB1iPRKBX0ocyAjVVASCb/1Fvln4g2ZdtmP5oPDLLT8aASLSgw0viW+CFkyImkAALklNJH
jmjGCSpwyqb+zCVcUAQTTE1V7Gq1YHhV2cr5ffjaNc3b2M/zOdUuVobTGBp96sL8yNEuAlUSBFbM
DbV0i+cQ0ubaJjVJn0PTrf4/6C1vo3b6P4PeTPl/C3rL/0Qf+cd/47wtf/Nvzpv6L8NSFQ0ArkUF
XDfhxv0n6s00/yXC8FNVUTI17a8f/Rv1Jv3L0CxDFKmGSKqumkAH/416M/5l8AMLeJxlWjI8zv8X
1BsryIVf+A+wJ6g3RTJ5OktTZNanMm/wn3zDToZiP4ejAOLNntXOJcFsESpG2dmfwoS8VXGdsoA4
NTFrQD2mZqxONCAmiXaoGssbZVRd9jYDMgCiyEhM1PFMpG5G9YsN7kfbZHCREvlTN+BNqbl0rXVZ
3fdJ9FEZYUgFKEQ9yWRyKAqKi2nWoSfNUDINOroC7k97LmiSVgzHu3Z8azvgKSI+urJT+sM0BKTH
yPUmySqgogYDnJIVnpXm3AZT7/XEcuIbQcWXmuJRA55HXxXhYlXFnyTGwaaD9r5uRrL1fCbvsu1u
AnTS2lKblRGxOPIzJHYdoQCtophrXwaNG5IbN2nGoxDG0Jky1PZlnR6oR634FTx4weAKATLGrpdw
4jV2XReYIFQCx3TtPU6zNQX30k7m8qenBi45tFnSQ1dQLeK+tzZySPkszgyXeZeAVYG2KalSHOKR
ti2xXpSqJDulwAagF09yUWY7sf8IO+sbCD6ON8PLUiSfuXQWg1R2K0YHcP7Vi1blm7JMyG9tQ/gF
Y3tS486rO7LGoyi8EMWFSKZQPwM1bM+hqoMeS/RqWwTiXbhnocRqrIFIpZCcWbd5tzdDyaYEYp0s
fxSvVfcTt2dLloPXATrIJoN4vlEM+atTDQNyeremC8WwaUXzSYWnkM3GbYro7k2Zqp+r9JrAaDJ6
KUZ8kzKmzbjQGjgqu6wVboICzb4qkj96Rfe8n1FGWMSiUEAeAjcyslvRY/YJJWlGPcEGNQaHtJEM
5dqYSEihHDFNlumXX1gp8O7ShYFDLvUwAFoyhIYoZOE5Ao9i5bVyDUN8Cl2fwQyZgpy1HG86pyne
vBTkEO9kPCrUG6SNUgzNzjcoKcl66UljbVuNT01fqQg5Q3Mja9NwmMQhOFFas+zOnzoMlPp9SIry
lelxwl9mpkG3KdNCZfsEDaMP1BlBVdpuZlLOZhbiFFsnBLPdsG2F6CUpizvJ1TlVeKypctM4Qmrg
ZBKh4OnWJK+lJK8cZkBRU5E+K0IHal7F0hDOJx2W6qCOTx2aOMtn9pwDedrFhPuanSBuJllwGyZ5
sHrV2aDEux5zPNVdRutbNgyPgHEHVAzpaFk6bAYxC71IbD6iWWeOmrBvDTFEm+4hx2z7J3QdZoSx
JGnLm2AGmpdWV2OIzVMSo9GK4xQ2eE/Qem98J0EU74asJ46DzYWkGlgm2+BTQMyfNFPoWnP2Bb/u
FCrC5OYEXMqcb+SQISMNvB9FY08m0gLI0ZsmJZgDiRasIsU6u1WVevtAeoPW6ZcpF7H6qgVpOwQO
OkO0Hlo6tUAq3+KpOsSdiRsOXVBnzl95aqoQMPQjUHHEkiNp70PQXjut+07EgBwfuUUREk1wnIQR
Ayo77Jb2SQq081YdFQ6XSm4chrkOrpJCNA/1KLk5BRKQsWA6tVUPLjahR5ABEDAItgoLYHdGuewe
tMC0Kctv+zY+CgqIMUUvAbf0ZAiIOIFLqUCwlsH27gZP4urYjfm4RdSOJSrQqXXn0ClyY1r3JO4R
fk5BGCyTmjK0E9AurFo2tL2k3MTSeCdmw6f1lh0G4TWVuwhQRfIqqFSPWJ705MQRaDgnMBOtKmD4
g3OZ4N20RhpNYpszRuh4zkTrLRxGzSbUsGRD0psuS9SPoJJPfRSywEwKuJmlgWaF/IkwAXUxRN9S
UQxXy8oBqM3mU9YLvqMKrXkvkN4HtLRcCO0Xf+5uY4RpLNABckl1O+wtxnGJ5RkS9Zi1GQUVy/wJ
pAg9kdw9l+1S+om+zXZsXQIgVuWgVXYsjJobq93bnCF/nvU3quvHQkxvFKFurVj9UU24xlGftY4x
mJ6fMuVFU9fup/FMMIRjSiJt9HJkjS+UPbLJEXd+5wazSAeBdkgpnoYmKs+dZDznoTQfTQnc9Vwi
1lCq91xUqahLgqckwLGTYv4Yq7h0Zyn8VuZi9GLjh50S6A1rlwvwwk1d2U2lZOex1F0NJcVxOJ8V
P55vqs8YKie+3ZGYwlGIp209A8esmggMwKCdY2vSVpqBH5PQcholNdDDhvIKGQvrETduALJTJlv1
rJNMr4wa5aK0o3jYCcQFiHPlNeb84av5EpWZvOiGOJysUoP2RwVUK8fylo0slRMT95vKaECni4ZL
oBHNm18HOUR23rDWJSyvWOU1wUCNWH6XVi56dSIz+hM5y04Jn3et1/sJp4CZyfGRXjiMEVPuXK2j
7pDCxInhyzm6pkxrybeKgyIOn7NCD4w8thdFr+1OtT57yr52W5maa8Qy3TjS4HG15BdB0/dSwHwb
WfOfpO8+Y9LfEbfjW66IrTowKO3jQGEez0LSabX7FFvjRvBFZKV0tNbdLEFeaasnMWGJw5odcokC
qE5CVzPSwd/I+QzCe3HAtumlzJgLhalZWqkiHnHpKSTxh5hxhrO2HONjvTDsdEHfjXWGGiUOp3WZ
LJDmGKjQKP3IY126ZqkfjZYkd8qqm4lGK1jPcpWQwXEC5T5L0zZRAoqPpc7qSxENN+6YSIMwweje
mvSbc5p401tTQ9ok3AugXpCQWIUAlvXTgQ3/haxh7G5zD/4b9NrO6OUPv6JTpRudcQx6MVypjSC5
5K4QBKq2f6RAG72KVsRGSzPUVXyS+KmorJJgu/rPSCPUKaTiWVerR1sqNOcappFAVXSs6fupaNN7
1NZ4BtWbKdEiJHTolZ26igIZBt6UYv7pc5UqGb1pUlkFWxbmz6iBVSjF+YkcDHS9Gr4VKVJf5FaS
6aZgYk+d3qpfyovoC25hZkiYQJ9tIHGojtkCw4n71O4CWAViMX+FA40fmZUevtgOOR+m0tIgNjgt
CZgok8otJzxC2Sy9CyQTs4irGdiSAHVTiqlios5rRdOaG4UEPyTcs4SrsRBKPDK9CGcT92qBsYop
otv1WjSsybRlpBWB9wisQYo5fjGVCvJHdgwF6x4lLTXrqO0pkE62Wg0wappDFpvzvp0irCYzEpuR
TaVFCYKBfgTHhg5mcEgGcnpJwmgpxLJT0+LG8cAq0ACT0iLa2bU+6c5ZeSIthWIIKR4Tq/yVRnIf
PCfgzAc/1Cp3FEQEGPldNlC6jLmJ21apkWcYE6IXSxaBjRIqjasX92omSAUNrRo5Vuc/RWr4FPkU
Eaa+7unJLnEZploT11BgYDX9qNvryz/aEmfooBT5z+9/H2SNLe2S+qYMSwBGrZolNkkGU/42RmrK
5xWKiNaapo7I14YRSsjy4zxqRUfriEvq1HLPLFLtf7/6n779nx4be+j6VoJG7vdv0zqtEQLr5fp/
+Sy/v+dXEj57fexSFOIETfz921qSwUz8+/uWNfyGjFrkZ3//5B9f/v2mAl2ZyYMjMPXvvxaAc66C
oCA+z2Qx9dfz/t9+SimA3qKRBrPmFnhMlQ5Y5L+O0l+f4PepkhKvb6YI1l8v/PtYUecosozERCMG
is2inVW1hbL9ha4ZtYKh7vcHxXIF/H7VpNTw0VtN//gBUg0SXparLCWwcy217VI4n7mkwt94+HqJ
5/n9x49z2GMJmG1SxvbLUPePf34fs5QxpJOVyKssj2e37dKtvGDcuiXgMUmxNLVkn7FGlwkbF/OK
cLssfZaXE0qEElLZJbnHysZsLy5hpb9f/bfHVNXEbNR37mSwbjnIlZa7IK336kTc76CV4CiWDFN9
uXf+yjAVa3a/IdHcvMZSjYswARcBoerL6/z9z28cakE9+x+PFTq1d+RnlOPJY/pNYw3mXsDCm3i/
Qa5/P973o+VMBXnbMYFMnVGy46a6tf79IyvUb6GU40HUVAtoeFBRf//9iWLAZZP7evv7hsvlWP9+
9d++laepc2b1wBXt/cr+lneQNi34okW+9bdw629xVwgZnYwH1PV6M1X7epGr/WrQfr/96zGuOzwD
KzfZXSZn3l9AUVzimgsNGajqvIrWyk3pfDThrbYHJ/HylXF8HffEEOwmp9oQEez2oFbJNu7WJDBf
5v3r4Lg0Z1Y6vWq7TKm5eRaRKPPOv7t9ss884rJd/17b2hWgoeOBFF7DVFjTTXLnfbNBSGe/Ly/m
MTiDHrkk9eY1NtfeApZ6zY3Nqyk4+nn64oFuwwvCGbhrlDmKPxJ0k+TOje1m3qt/b1PKBxCzOvhI
a6B8O1bBV94bVkBe3OW5GcJ+qJbjA5b285rUi1U/bOhHFfWmtO7ZDF2aY0HJkk83vEXVUc3PHBa0
h81MpuUXh2eCHjDPO0t7S1lH0/U/59aAuxLRv7yvGsi6NnosUXAIlOmxSkxExl10+geAk+YdXUIW
OSde2z+mbWCnrNSHy+BwSiR8sTS8Yy9NtghN+x/YcdQsjCV1by3isR6gd7qJ15lUwleg1uqJ7sAK
LzaTAgI2PhYJ1kSrdeTaBDZf8K2lOuVMZs16DKkQrNrMVs8h4tnhQBsyI8WDQna51q2jyYb5i06e
jGBiYDu8lR6EwvEoqfXlgBdsUyf3oYVeAM272UepY+QnFv/Li40nic5WuireZtWJEcZ1a14dqq+g
b6KdHmCcIv9pI55n5rUjbWwrwgjJcqNb55OtIx2hXk2/zryb52pnmueUABp/tPmf+lrYsst4J18X
qhGdunQzt27yMk0A0ZQz5qRyDZaR7sYtP8rSuj+Ge4FPCuFqhb8b8hMKQPNTBOSEyp2GkUtw/CUF
ezNs+u8qXOcPjk42vfg3RsWVJWNB/+js2Qmf+k2UrKfPbfMkOvbIyOrBgqiP7VIc/y4LTBm7bK0A
+kk/8+wYD6gdkheUcjVyhqQ6irduBaBtI66sHwITYWpwvub1qTyGmLhP+XNaesLuR+XGqYb3fjcC
yJC3BnSgncaIUfoAhEau6D5E+EWuYaYoiGoJ5NorP+OPwjsnhSj+WIJpNDJ7jB39mk1sd3cojbCq
1/WLFO/M1iW2qMTnSk/6RS+v1iJmLZ+kzA2qa5O/8+dtvYJOyPFQzwC3Qalz1iX22MD+ENOlgNHP
XI+csm79Ou/FL5cfdm/USh5SvIUezeY9hVlucyGl8zb/sTD2IH++SSXgvTOvDd3cpCj4w+kv8aRy
3xCgI13V8sjFFYSb0Fheku7obN7z+Ri+8OF4Sm6IkBNrNLcWJAW0ElifCvYZqJkgJWlK9+TKQQ9g
q4K0+KAKqGPuk/wj4Blvuw+u5KbekR9pCV4YHLkoUxD5dKVUhwcB4/JmDmazT3+P0kJUMZ+r8skq
vzrlDyIonDmAvHdFvRPxpFHYqh2eMoo9of6EwaryBBoRYbWTyV7P4r4HT5tLrjRMW6n7UPxLr7AE
xPJbXZMJyMP4qPJ3UUQbV1zk8mjeZ2lfIfIXOCMDaVvc31KOGj3e9ezFoW7yFGHx5xUpePGCzCGo
WYhtuPeoBRJNzD2ZOOaK896RT7ZWv0xpNUFg3nXzxXqYZ84waYwc1379Ea3Nc7s6ReFNc6cv7mAQ
0AxP3CYMC0O9pYdqbDPrPKj2h3LFOoGJBFEk2EoSJSWXrzgdhtvve3sZuxlj37mUeA1X2ndfjKsj
m6KlK8Kom/9ofGPzVrz8hTrTRL9vjZyeTxpYHyXYybvwTVY5Vw+nDYXsl+iUNs7NeqsmrMlPNOnv
+hln2u/QRPKoQsEgs5U9FyHvZNxPb6BXThwD6m5UMdxZfeukjR7Y/nlyBnkVPDFyRh4nDkgnR8vo
nnkLKr+sGeveRk9EhpkzOenEizP6MJSO3Gsdgg+mRX8r7SV3mTnUYAMtcA3cm6SyFwZLWjzLhUqV
L6bZy2cwXDPydPIbmEm56oVntXXzH+FRMLkLTr/nZFHGkc+6hOPRznbwEPn7LH68q3fh+I2ORPzi
0HUb3sUkbbiTuB2Xp49fqaQw7GrRDgEydzA/Zaj+fXklcwVjXXhGuf4wHmQirIRn44q74Q3L58O4
Mv1xHg2XAxR+DF984aI1qpdZBAcAgg16g8zDTOwiJ3qZCVW8OARpCc99yJni2lDySylzRSKhAnjh
zNeZM8qlxXuFdbTOPDb2XA6EvnE68BG4LCUT8neJdBK/PrjymC6MNYrlfeUxf5lnzpJ15a6fmYkb
Z16DTr9mPB/zgftqPNiGeSVPHA5A+TYMCoornoWj8CztOUn89xq/jOsvDoJ+X7yopIQwkXDE+ZLP
z8fi4mcK7ffLfaodShuxfL6SrkwvJLppxUv6It85jYXH9OzfjSMUEmSXjFGuFTNkcayMI7OfduUu
w6MfwHQN84PM+VvLgS1MW15xdpnK8M9iGXUHi2uGi4U9KX/JUEmd1WEUbd7e+WPWKBmXtJUdGCqD
XT5vI48Tz+CTvjAMSnvuPPolHp+MMeCNyV07ImpdKQ8+DXIH5lCOLPQ6m2QWXsp4vNeNFzGhPviH
iueEzWUTPHHZZ7spsBHdClzQRIYtJ0ghH+Ij1w4N8+SutVVsosvFSs+HN2C4HOGs3ijwm5a/GpeL
lDwKLrP0h7fF5M9LsBWft129Lf1L88Vt7RsuZwWaPVP2hAILrxnj6hF3WLRjFSV4/OUE+dO8L1ep
aqeSK3Ohe4oI2g199GlksaA6gLV+qMWbrPaCmwEDkj7ueKd+EFJ47Z4XGSBjavUgr3KlacOFQ1B4
0SWeIIO5HXpxGLiY1HJCFHZLTZ+rvsUWSiQlLhG4FQYd3+4o3JC2wkrlEGugq6zGo/jRUysJm4bf
qztH7fVDGkbbGRNgtmsNh6YWYOyyudQYcfSnkvZBKmMKltba8cO8s0lfIX9maBiXQU4GbbMeyEsx
ni9T9ZbDKoZQ/ljIkyLVgHUAeCsRAGrAZW7bneHP3nLwpfx3ieZEw/01zagsOiybSptp1ewPSMsl
T8/ODFEGZYnha9wDx7aipQhQrumIvDOdDjzNEOHrjBeXqkfiiO07hXUsixftSHYLaJWUhojk+j7B
iSdrtNV+uQzIHS+hUPBKz0EjgXIHV+FM04WVuThAfTiGXK6siFVwhyJYHwZ/Vq6cn1twJERIQZKX
fZvs9V+YWo3nmB0lF3BgK9ynYO7OFWua5QLzKsYR1vpfXLOL2GnF90a2Ha3NcEH12bz3ZDqy8tdW
kuimmkPMCaF2O+zQDObdNlbRPjnMgajcQ/PU8u11NE+SuE6GVW9tdMV2XZdBrq1vwnMNfId04zfG
K66AEY8YNe3R6awjCY68rag8kiIP9Nct0DQyCjCsIIOkAEZKjo4tfFmtjGsRG6yriLYgPg39gTfM
joNryw1xVrDfYXpdgM5yuTKfkD1Td2SRzozRdFvpBM2etUHKOoWF8MAEtVaO44TTb5N5zdfY/AAe
1oUr3T0keOjFtb38JD2qDTel4fpQ7Ei/qQ8oAkyWxgzIOC8xnfhU2VNxvFRUpLHzbI1Pi8inRg3f
Kxmg10cAHpqtTGTd0xhs7Evi8ocBW1SiAm5zfeBQmLvsAQlwNPaqtiHuI+xWYbsG8puicz9HV8Fm
bWlrXFxbFra1zQXY1imbJ09kQaIcm/eW2x3iuUmk1aq96aR40oMDh79GNXPCsf/FLVfENjdxjNid
PFAseksKIxj+loWchVNxR+VrBFNDvWmiHg9qgurQV/vDNGUcrNzGfiQQxLTi5Iaq2ybHIt4EhM1K
6+w4HCk+0uxsrmK0njOY5qtqT6eF7knoiBQQWbpkwprkBpG4UN1GyV3bOi2xgXKtvgMK1A3QFsea
Ru3JVC7ieyUsl9DIrUxuVPfHtMLVpRJgKTgZxHYeCC+ghfLuZaDTrWF1f8MShy9vVI5CBS5+P7Hz
fimGlXaacgfbrMrID/J5fBs1rNXtutmIHR7Xb3SQq+m909ZS6cYY0vgJ3SOCLnJHhOrdXdvwjJiE
hjofBfdTmW8DVs/6xihsXXQQST3dSEF2wtPvwkRm1wYuDIo8gp2bpbnZd/A8XZjwLJRQ0UEVodg/
FUh6CDnuqQsw62YojbvcixWWIS6ssz8BRfpbB/T5kDMNgrmDDm5BbH4igbFcvPZdqBSbQk/3YmxA
H2sHmj1X7dZQGFY3Md7oljsJNFhTPQzGn+pBtBPnmp1TCMOQNezKqtfazb+ixlL+oEbLXvyHKjBk
EP8ATuWO1C5faTerIxv2E61+n+/Kyh1oRgKoXCnEfFlH6eF71q2tpHVBngqXZb+NMaUrD06z2u8i
15Q9v2V8GfeMP1wKAORZqgrkm2wrw9PaU02jvT5M/TXSLsHwNKdvam8X4eSG4bvCG6Ciu4ICk6kV
Ni1EB54E2uacfs3Kprvm78OjStnKL+RjRskD/lOyKacNUBZr33jMygCYe5JGP/l/eE7P8nN7oRGD
sRlcBcVovT9DqkX24BOPPaxHxovYFo6ZDKfbrqi0ITz4YMQgJi8mYAgSECXaBk2yDRDIgyzgTvtF
yYfm3X/MzuhpXsjoBqo8kBgJURqyPPgw3WOwnZ9A5GCZsgiODDgi/Q6PT6A/UC/gMIdAs0f/yFqZ
/d56Dj+wIV1ECoSbcqeui4flSA5jJpO5Xb0E5obE6GeKLLZMaVg8qho7jD2kYfBUAFPw5dFpp3BH
H9Vy0LiW7K+2oSOxRoFmIqzqFGfAAvY+BCzorbNwOEzZjjaGfg0OsKGf5W5bwaRy8UNpFObOjKbq
e3IcD7A3lC2wH2WLDf1GhAWU3JDhDJfPilycs7Sh4s2okPBro1fk9Do/4PuSlZCv67d8B6ckhgFV
ueISv+Au2rl96apEpaIlrC53/wTYwjPOAiWFlXEu7OIgTqvxjt5YsENWobKX/Yxs7wBub8anyMYc
iClhftPfg0f3jDRPDPcwj/GIbxl9jpwsMGnA9GBwVwvtr3yVbrD4C9hnp0I+FKZdg28jwwUkIbw0
wFQI6yOH1tYgbGuEwAGLLbc4wlhZxkRs54z5pxKC786wm7f4lVEU4h1Riy7+glbZRTHj96EAQ2ws
8PKuepTRkx5tuIulW6VepnLJUZjVnSn9sOoya/LcV2KNZwuDOpt/8u+ohoqrd7ZOTH+sEIR+2cRk
BaKPGjoDLeHl/wUwQ4FF0Sb2TBtLjB2AvNlBuUkYMw/huEqpq/Begl0GTN7EEgdvZ915w5uBBIE1
rfmaeaDuNROL9uTWr2gUCnh2KUJwEgFK4UAzi10VLR1abSbCIIIoV91VNTfTUcbUS2MGyam+EqFD
tLu828rj4qAfJO7W+JnlJjv06S3BBU8AM44i27BIobhS6hd3+bJnR0liR7wIoEbBoZohHCfng6tA
hjjJLODStpniB5CkdI0f6hRuhz+0/tg1wesz6Jusgue0Z+9pQFkj6wGJxSp66QzwJFv1WMB0W0bv
4BmQH+OVM74lP9FrRxrfqqD8vpG+NKonG2tLEocPVmECGewl0wNYF7gNBcUE4ziQZj4OVNRrAPt7
xRiHuoAVhydVoOohxazkxqMcIFNGCe1qle5oM6EPonyAAogVAqM8ig4YnvFbeQet1LjQt7WtuWOR
f58rQF3QMhZfiuOXH8UVjiKmeD05LIixeWOdwjP4MeLP01eTuWpArYpRcuX/iXPJTnaZ2XmNoilk
jpOLuCFA7h1FIpUiZdm9hC+95HZ40iEZ3zAZQe6YrOq9fKGk+tXGV1Zagpupl67dBOrJKvZSQ0kY
OkQxbxk6kr3Vr3xQcf1uOEmvJny7FYELbO+h+HFA+3v7qr+HjKK0xMGs46YFojRug/iSdKjXANuz
c//mCLAL/MlOcvGtwXFrVU+5jawnng0A4/0x+ZDZ95J3wSWCihcyeLb2a5smQUF7+bX8LD+LL+uo
7Wt29tQ1zsgFUAso1T3lhu7AWq5Gm6XKd4xhBCBydAEieODqiLZIv01XO4/llSDsaN/uRenH91oC
N8rX0l5WZWf/KVe2AXG9MPCUlTQio/e/qwZCkL4MBkxJKThO+dmM2tV3uyIEZt4GIHAzgzhpW7AJ
/GCLvpwWtoxu/9nCzoc6CGdmG9J0O4zbdjuiRSDved2TnAF3n+Xt0ToBdAPuWpwS4w2EkenAq0Nh
ukK8cb9Zp+BBvyokQ0B8F+/U2F4+aADpy2j7Er6yhEI/DE5uTapGRdgHtlpwfFDgGPZ7wLO4TKmL
nxVG8mRlUfwkF0BmHw+VSnsd/8gUfh/KrXj2d2DFjNdoPz5xJX5X8aVHhVvFL2qwN25PqsBn+6rW
5JOsjAXnDiFBOCV7TIPMyFwK/gUoN0BJt4fduBAykSyuzkm4hSgti2/A/NZktOIeBV8tX9vB3ybD
rrWejELwWiG4BEsDKPhN/vn9clASAAP1xBpSBBAdDITBiy2w/mHpNE2dYCDw6ml9DHSAfh+zquhQ
ouNxk6WFFU5zTmt0UXXJNSXJeB4Aev/XT7Llq7+//Q/2zmQ5bmTLtr9SVnOkwQFHN6gJo48gKZJi
I2kCIyUSfefo8fVvOZQ3eTOfWVnVvDSAIUBSDCIivDln77VlhP81NR87s4QVo7tz68+vh/VbO4mt
glHfiVFbNowDf//5zFLiFI3nxAQ/0OnYqfUQ6YfrtbDWmVax77wGaIZ2Ltth7Sf+/NZ//OT6BUfn
On1+S6VA7+ZZ+9VxfMR/Kt7RqD1iSGxI8+MQrblZ66lDw17s1lN/jaXyMB9DfQOZ+te3D389zc9r
QaQDtj4fr99T5ArM9xzt/3H98+Hvs7iIYUjo//XzK5mMSVFvmZo+v+DbHb9kfVyNrMtEXQfb9Uf+
7devfzaKUAByOiIsIyvMt/hMF3Uw7FBGUfzSNVwdLTbUWMgVMavp0Bwdx4v3dPbNg2WT1FrQ80pS
aleL/SjW0LLxawvIq9dhZpktTwYuni2a7isFxbXrmNpdEtCSyMC72xE3RTKa1x3mEh1lZ1JGM8Dy
9FDubTVubFoWgQEtPNZBa7NB1iZa3hKHGGinJPUPQyEEFeNB7gcMQ6ZCVpCFXnC0HWSycfaS62A3
t8UHSNLbSOJbvWp9sgF4i5ye7EBoL0P6FdfkpQhZnpkEx5EflwowmgEQcNaWALjT4lsUsU6hyjGy
eXP84GS0wHYq2JrxmAO1V+TAkVeHMWQvBWA8myS75ZWc67PXAzpwUuMsC/VUJ8arSf5d6YAaj97G
gcBgu2TfzIBDWt6yxuZl+MOMiig9l0w9r0f37i4UdUjbm3Ts3kT+HlIzzCeqBkaToY5kB0D3lVkE
Kl4UIdarJQUdnO7GTZzfjiT8zd2EZa+2fqEkuTEjj3ROJKwWqYBT9lOIczTmP0sdGYibiUWAjhEs
+o+49N9oI5eX3iRosNKRg7HOHjSOC7lyFKHYTncWMt2ufPFIKxSdgKkxnxGTnIqCPssSXpMe/IDf
/m7Ggp2QegghhUBCOkIK6jWpiAWJRGp0WYsx3IcKVaO0nvrgMPiPrg5VrHCM9Q6JR65/iah5kr3I
bXprEf0JMhmFlb5JVlv5FExXiwDALDdjTdWj4J7ZpDrWaQ+2npjHaZGs9pjjATHqGMiZPMhOB0Ma
iojIeCEgpSO1ddbxkYEOkqyn+0YHSy46YZKkSaAv34paUQcNeqqppFF6pFKKCD9c3BuXkbzKSVYl
zn/vMOkoSwfQvE+25SJZWGIbm/FspL+qYiMtz9xGxfhU+8yuc+doek47nYaMmCP0QDABQeAbijA/
M69vk9b8vtSQ5BrLN7aDzX6ysJ6nXlSntlh+4FVkSLEEWpmWpF8P5DrawO/s9ek+QdUj39NLwLsH
JH7yTtoJ0T2HJIF2JIKGdKUXHRG6mNPTNA2XgexQ5QKZ9YciInftZvair15cngthQzoOKH/Yo/Uw
PSsdR5rrYNKUXmZtdTDVEvlk6/DSxrFem5+mHXw0WUG2acXtmpqBSXa+WI4I92PDfx7MM5MXIZqd
A1PBaMhLjZ2zwIy/mOEehW94i/j1EhCwKtakVTYPee0+oSZXCDFR385NdLMMzqtbIl+YKtbRdMSW
Imhg8EAx8ubqVwoZYQ7t/ktmVj6BE7eIn7+IJmP9oXAGyyj8CO0xvR77b45gmCN59+zkrrsTNt3t
eBbglFQAz7r4UDgMu2BkFvf9e6XjaGFzmqTTSlJqUTuTbxXpPLEQRGtKlq2L5TXp2V0U1gjAGUUv
HWuaHbkPtrZ+zkUBpdNZbmvDeI51WG5D2zxxA7CeBhUZ8nQJbadXCbqx79Mf8yhehhj5l6W66GAa
7JiT2MGcQEJvl4EZCHVARAt43RdAnIHC2KT6FjHxvgk5v9X7oOpfYUefx6EBWZxtHQncyIRUEg/2
B2nBvQtDwdIBwp6OEq5SOi46XDggZbjSccOODh42GHsguOCERC55F5NO7NTtU1OOt9zz20VZx4YF
7dSndE0N8yXyKXplwWOIv6rQucd1fZdIoFlGycSgvMW8CovkQ05f7WqCqW67mCOq+M6SdoY0OKci
b4JwDDSzAIXpxnAGFF0ukcEyw4o35D+NygdTv3Qf0qW81ej8ZnKcM+3a6uz4zVdLekIaPF08Up9n
xu9cx0DXGe5+xqTZ6762ffLR4fi8EwDC1BKhVpcBdm89CyJ7qPaFT9R0kpMrnbbNt0zHULfkUdt3
NpUQ8kevouLdKSxr88uVtAua+HvevblQmTbSBAJQzSYMPLyfCPXPVnFvhIrskqa9RV2tVaUU1EUF
mc4KFdEMhA2EXfFsxP2bg0cZ5p1udelanSQBrchzYi4I4gac8JToaG6D3iSyT4tIXNgo9D3J6t6O
5Ffl0LAmD+aKjvku4RWMOvi77iiC+Gh7JzLBbR0OjhQX3HE4Qv4K5qtEkn6go8TLyWrRVDsvpjJZ
sevA8VpHj7sqezQX62eFebZq+zOgiElHldcOqycdXu4JfFypDjS3STafO3afsQ47r3Ts+aAD0Eup
o9BJH7TPRk9QcEi7yaTNEIXkitdkqAOfCW8iSo6Etxdbz55/BjnVKbOlZFSQwW4MFPQz/7boq3Ab
D33As6VPUurodlRiFNprwuda4pQGCUXNbSkB+NbZDDFtimSatkmISVYJkjbQCe7avv4pMvf4f5ay
/5mlLPC9/9ZSBuTw736y9Qf+9JMF5h/C8TyBJcz2nL+8ZIH7hystV7iWJwLPch33P//jX14y+w/H
dIXvSdsPtJXs00smzT+A1wTwrPClSbAN7v/GSyYwtv3dS2YG5Loj9LVsGZjISW37716yuei6ofQS
/9zY2QuTNQIR7ExtaWz6JiDyLEQZa810NA2KFQkq2Lh2qE3P1isgwWRnaLwJoCCcFwBPav9HrAEo
9jZts+QpwdbOwvkDcVtynDUxxaObA0BFQlLpNVLF03AVMpmB+vn2pTbVdTIwyvfjU6hMahQloQtY
0x4t07TvZw8NTcuYV4/lOYmSBBWvMeINCvnsjP5XWUNHUh2GlAw5RKT860hR79CIGEfDYmwtnHdC
2e0jZe+MyoP8KcBPlRnIxDx3X+IgNb9UFjFkuQ0CMY2WW8cT29Rl/xrW0r5vSvfdc+FHtfHwnjgd
9WPlXCdBN50kvBum/Gjv5S3N3xAZtqxs4yLlfOzH7vuY2CD2QRAMSO83zgg6tBTTU8bevrbljSX7
4s0O3At5t8eoWub7KSzNk+i7E/79hsEyIy6lstJDCN4TVIa5jwY6nwq6j68xPzmaeEaJLyM00ESm
myaYku1AG8+eneSiag/iC+Q+3GfzcgGSd5T5ae4IkFkBQ84x0MAhKBp0AkEQ+fH85moo0azxRJ4G
FeEKv5UaXTTBMJpgGUmYRrOV9DilUOznMUW30PnVaABSq1FIoYYijSseaaAiN2tkErlSnUYo9Rqm
JJaHXsOVWkKxNNFIOH56yBPvAuTRsiDiBBMEZw+9JxsA+WHbrIDDsbuUhrpOJyO4ZtW3d5+zjlij
JZhu8gmpxJLHb5jnhq2yzLPUaCj4OLfSqWBCOMl0TKp3NDg0tyKmjIy20sFM+++lB2wq0dipAf6U
KEOHDFtAPzC4KLUDo05tVSKr004vhxi3hM3fMEC4qrDoe5I50YzCXwJQ2tHWfoFMw7AyjcXqNCCr
Nrx7RyOzBl3tdzRGy3eHHzicpmMuu5ssWip2RHg/qrE7YYA+OV4UXBY6gCQx+VUVvlTzF0BN0b2b
Hm1aWyLGM5HxBjs0gli02v/mGPZymZXPxhnSDWjde6WxYAPbputUfEhFVkRs9OHOKdl2KyOk5VnS
Iffga7hiZEfGeofys3kpZE1KXKCgiXZUPbEzbWTmStZVhUs5/KcxtWDth+J7NHcjq0fyNXXJ5Exn
xAo8jB9WCDGmppKfNCHvupluTAF1rBMjyx3jy6gxagU8NV/rR2OTUqS57QcM87kEvCbI6fFddzyW
gbt32frhXMUAKn1a9yICfJGh7urm1jk6XbOfPAR57gDorScgLxnzCJFH9q3LJdLpgWUJeLj5R0ID
FcwdFS0262pk4BLzDAe5Ma8s2mpOy/TZhLxrwA2LxUmOY4o+IS5oVFgWKXlVe59by4cMgc+DDosS
ivMw/raJY777LoQe8tuJ2MV8Fs7NcUqLnzxvooYz71RXICpKVLwEAINe8aqK/iJBceCGCEtsYzhG
3yeq7FnYGru2gJ03LADezfipYNC+cueObmtOKzLv8IypluLmg6roaS0hZGvHnbJb4yEixdQry+Rk
1fkX2Y5gARz35xDHyyaH0LcL3YbAFE11m7PeOoF6BMaZQ/h0U1J9Mc0EeUb+GObMskOepAv7o6sR
xfKLG0DHTaFUbbBskpgSZkApSKoPGqg1XfGtXlS2Z6JqNkWasIHAeyAb0mUsxCV5tcB9mH85EWzX
KcNtCVZsX+BG3s6u+uFOvH/kxF/ZdAicsJC+FO+w9fJDVqrlpJBR4i8AqFrN10ECP6NPyp/VBLgc
Vfwtznq61aIztuZAex2VSBLzlKthpIGoKvxZhUUbxXIINzLeFxbZ+2SKG2JtTBQx4zsQAVhkUwCF
MbGjZ+bcPZiuu0UFyDg7oePa5us0jRmTyuINbMaTYYYXMeJhiUi5ciMLcYMxvDRTj54AJqJICY9W
Qmek0UTJ2+grsIiHZiid/TLBVLalk+2GvqGfEA90M7F4zdAHcYjQa/Fa0/qCunR4nm0/PPcppZHW
8qbtOLvo5WrgUmEri1vTI7XTtgDzyLYFiethA6nkchdmqiN7p7kWIRElk0P/AlrCfAdiCS/eDK0n
oZnVVT3dxsgLzr6kdQBupqNqD6PBCtDoew3MWsAh1iG2yLQhKRGW04lKXrE1A59ibYsKrIy1mbdN
u/NA/dYd2PHheGy2g0vns8a8k4Qjc4I/kaJh5E/+7OcbY2gAyKDo8qM23nlsnq/aeRq2vYki2rUg
X3UL900tQvtMq/wWpgKDb9jtR1fdJH19XbiRvNgKxU5E18QFsrl1pir9Qig8Qi37dqmD8WwBR8Ea
T987KaicJMch9JCqG52AQU4ZhJm9OU/ghGVN34xVC+4c7GMTal5mZA0UquL7xPRQIshymxnAu72u
OFIoHkmGYbfkKy84iB5tQG4ASC+pr2AO7E5OzASc4D6ACMYbwWd/HFv+TV9L66i+GgkVpti26V4n
0WPoxaCL4RAd3LAeNmOsMxV62nSUTnLHFddO2FBKSlPnBrwS4XP1vqmN6RpUJCCiwTn1WeXs3BF7
D8+y+NImLAMCwnkNSvZRbnz1kzg6EZyOQcFw8Yz1S36N5fdAdSHCH4b3t5kaNIW6EL6aGbBQpf3X
DvmDF9XWMVo8sSBwVSiFIyD4Ye2Cro67BUcQDNxe+b+sbqZwY51WHu4n+FZqI4KHd9Azp3KXt8PX
CTnU2e+xODbwHHmXEQNYWy5ZsoCvkBNY3dmt7R9pRm02LSlj2jWBFQxiR5NStWP283k9LHkvyHII
XrNiRBzrDD+NJdRAYe0FMQv9auekzcOFq86Fs/RHLatxJ5xgMo5QsyYBTZ0+K3GWwfnqWp8+BhQ8
G9WrxzyQOeyHDb3/jox5h0XmrWMNTiAaQpj1SU4UE/k4ut2mCqHfT73DJnHIaGi3T6pwKX62Jqoc
9RRmmlPZ583Zd/z6LNCjpdVMLVo/imr/GlcfDUubN+Kc9M15PbOQwP0+Wx+uhwLgvF0nVJ7FqM7r
of3rbLZs44QkSw1hgngKU0kVPNihCeMrDLPTwHhSAnehiZiBak5Ry1YOXreO9eteyPpufboj0rND
jI5k5SavOOb1YI/4pa4+H7tR7KE6cF8m3SKRupEx1FFeHkP9sZ8ShTyNvQxzqxpOlEHVodV2IDko
rq2nreT2ZsAg4edhnjHFixgE2n9tuqHQbSBw1Ke5QwJnswDOX1/WzLeJM3B6bE6/j+sFIau7xUXP
Ccz5e6Rh2bw/6QTps8+DHYDOXk1N0iy2LugVROQ0dCwcjWd7wKbm6MP6UM3Zu4mVe/d5Kasxhsig
Z52l6c3rvXDW27Leq9Zyrh3INHvrsVTdco4dJc/hQj/bX1JiIBIrvqyHVp+1/kfTA32PR+LkMhMl
URaxR6nKhtwE4uV8FjvHla/9eQg0c9uEcrzPguWpMGrjXMexcc5H/Z5L+Hw2VE0Xo0cgrg+gSNXO
dNv33FxGc7OMzXKI8e2s7qFQA6HXw+oe+n1WSty7lD3kbjK67yvsej14omS49Im0ZOHI2EfRgVEd
9VHa8Je6SX8bKhUdwJZRl6dA+xB447xfvzjoD7vdoDLvmoksmpWl3WtXmFlhsP00JyntVVodSmL2
6cuuj4cuek78MdqvL8r6Wqwv1KCB3m7pfW1t8HukjcXYC/FteYmARaxR1f94/7YjaIMa9gltdOyS
67d41IlYNp+svqEZur6RJ0YNlJxzQ+ACCwJ/vSHM43/eqvUuYZ0fEMqlfXxiO/H7Fqx/5fr3SlB/
58+/nGGb0EYVnwooYfWgQNeZ9q8q9ykUTyXKvk7cC3bEngR86VhKs87pkpuL/N5qlpQ1YMftyOed
qyej7BNotADyrGVBVud375CbfB9J65SP8zcF5G2X+xFygjKn20UE7RYyanbzeZi0jtATyaVF1BdI
ILTuQrkTWYrpkexnJc7DEFNpRELZGM2tFYV3ymXvZsRM9LI/R6kAUWC5J9nKh6qrvuIHZsak0y4X
C9IIi3dRoIUPyptpuEnL8qfwxLMZEWuZG5TPxjF5KcznNEYjkfv1t2gov1leSAy5zUdAFOmtissc
wsN0b6ImqxoCWydUJTAtaBPg03cHG1QFO0/F6h3Dc7vvvY6W1kKzKcr74xjOLH284TGtrfoClPKm
s0f/GOXxUyNmD8cEcR8y0zmViQfhlvk1MkEb+155EDbsjXkC0eQ/pmAAictJLv6bQZ1gNxfkgff+
+OD0cKxnfziD6L/J1c/JIpHjoc7p6oexgd61yK5jZ3pjQ0Lt2jBujZ6euSWLFG81u3WfwmRWFHQI
Q8h4kTJ4xRShrc6XMr+b/ewXxWiCEeeYATSPXtuexYoxU+g3++zadyZ/M3nD0UnrB1+dYEEcGouQ
QeETaO1U3V3mwYiLJwyrssjJ3Ctu+gqUiUZ/mtNz6NG26yL3ZmaR0SnFR0LQF6XVELNm3np1/eTD
BRQ2TkW6zmrjZ9gPugqbu25ov7bO8Ni6/o+Bm7DEKA76kYiIwHW+qjw7+4X50OQdwrrZ3tVq+ZlZ
7KmHlDTsdGzvJRmjqYuwFjgkFo0cac1kb/H5Ps1hiKotILqvcN6VstW2twGkWTG5JW1/B5p4F1d0
mKZLBwWRD/xHq7POgi6It2AsMmtyrpsUVoFDzlgfy41oEoICHOQOtdk+FDUhBmhyU+qilP7eFit7
ALMAlSxzb/IZjaWfldcUzo+wjs9dMV8yGlrZQBzQIKefZS9uMao+Lcr7monge+D24YZW/WapFudk
2uhXYUXf5TViWZNOZDaOV6xJD8rtv1VV8cCzvBIDRedI0M0tUaYA6M/3k13CmaNnR6VEi7E0XT9Z
tgYvQ4TuPZcsHLOdSeYXIfH24HqoxpGQSwTUjkQjbhfBXTK135Y5xPMQIquGMqaiOCTDFNG/5aIE
8n3ytxXhI92UITBPmuQAde476RH0ykXFVIB1aHz3qtbbhz5NibgZXk20eso0+p1j0W7sFoYDtycc
3su7u771wSdpBIgWIkSslY08ubileGz9kqwfTPEAEoptaimwmIruGXetYZ1Md7EYxgsktHlLs+Q4
wwDFj9xN9EXN5uATl9Gn5UfeOMlmcOtvviQGqB6CXSXEe4eGEboKOHeWWJAgwxaXTJBv+ho7TTSg
nJIxuozkYc5iOOnFQJdqONgZXvS6INbZzFzaPZ4B6rwxrk0ruo5Nsiaj0UzvsFgjslf2oXXQ1sYK
FDD9OqrxqC5zSISU+D9YWaB074dmw2fUsyJxnopnemH37IuXayFxGgUFK2u3/7D7AKMXyd38l6+T
o8zDoszvBE1UWEblpffo9oPAIO4U7EFv/5K58nZLukwkv4xk2yPFlRhsbB9jHAjSEHAKnV/SyNLm
CkI8bCuTtogXlk/ALO/akmpskdG3Njspzixgn5k1ENWFFALn8hoWEFs1shWINX1AT/DmmjYeScQv
cIkM97YjHd0MdBamQQM/KTCVdcNxyAY0fjFlgY70ozD0P2D9oBV3hbMB5EUCnJcQyeIIWpn1t5aK
9TXD2jaZeDWdSH1Q9pj3SieyyKw+mmH4tWEMOpdB8xHnI/2qkOmzUO8xVRSMjx9+Oldbo7z2TRCv
kczv4daQrDu4WHwKk/A18s8bCIaSAgID2b5Yrd7dt37w35nSSbOf6Azisj6LgvDj9FfmuPNuhIF7
7Y7MjSlrsl7a0B39lurVPm0JyMiZ0vggtS7+4YmCF+GlcF3Q4g1GdC7IQPKDOzH0wDMMRhlWtXhz
zNFiGIT73yzGm9crB2Okj6JII11U8qAyp7h1S3Ik3MKl09iP3obfJHLvLmdjven8GlCLHMnlljvV
31ThRCyX/KEmr2Sd2Y+HqnCO5vIO5pikYRHsgwr+jY0cYOPz1KoOwZ1F/ZyuUn9uqvh7ZTbAfRBm
N/jcB+D99gJNO3SARUdFsuyAamJVTghZk/YX6P+kmTaIzDJEvpUpYHFY7kObIqIe/Sw9Ns7Rtpvx
2nDJmgqcG4Nd2NaVSCRL+VhmwBnLNPMoljKgRf1wF6Ls6BWJ30kIDb6YbudokDc272pSEw5LOs7X
0h4dpi+r3xM6igRoOwFJSxglNoaLiFLkNMyXKnpJnF3RtZhPeiRydX8lHfEQ8dYnEQTA+t7xxp+Z
nT1W/U0L7+VqoJOwzfs42Ay9xZ4pgI1TkDyWuCDwMbzS+Eru5uEArdk8UybDBWjiPYMvgB1XufcJ
IMu4IMwxly8Z9e0rMgGgJeiDN5Dmk5UYfcr6EczdI21GeuxXXofAn6yRTd0TeUYtOCHDMtzNScbk
H30UU1hfwlGaBy+0Brwhrh4MJ/D8+Q3T3CaL++CWPiMRS1P5NR3eku4SWo2z61gSIdEMHXK47CcF
U9arUZl0XvYahAg/6UWo45wP3xcxvbFu2oko/2FimBgRnt2HabW1B9YtKrm3c55P642/ppg0kwhu
eeFLdIVaOCFfHWdGPgh+ho3yaTHZXiVd/g7W7aFqkAl2LWnEdvpWW/JtoeJBTB+w20my1dQBbb5v
3FjJkCLlBKYy9QjceU0YhjOkbpBFz8roXV7OWKIarDYjkoIrSqYPNvSQDaqqnVPYu04Ep9AFiGIR
ykJwtC4ljcWzEla16722pphpn1y7IIre6S/zBIEwduUXT+jgeD81rqoigHOcVJhicniAGeoadgPd
lTeA8phU1lzHbkAEWEEqsBe3+8R5LYeh3Jrmz6buSLbkdSzq2Nr3Ljau2gxex7pEtIIpRcevgW3j
I47+XRfMezFfe83tuFC0CFT1WECtZ381QxYQdovHKzeJro7q7rw+Npuoo9TErus5h956VmsdodA5
OOvjz0NSxwwXDiO9UXrnacYjEgtiSioK/9tZ/w+GyS9I1j2bz/sN59dZ6V9UTuU9PZFpz4KH36Av
fR4G5F2Y9IAYV/qXppNDfOEgQbmYcH+W4rtPKQM4QwDyzwNxOs39cC67kh516S/OJk0G5pVKo2G6
CBFiT9fhPOoDT+Aa0RHhjPq66X5PLTmfksIdz3Y/jVRyWAgusyO2Y1SpMy3/noYbnZH1oed2oNaq
GiGwLm0kusgRm01RHxEzXkVELp1od+GiKResn7oggjCRTfhKG/nrkHcmSRbWgjVJb+yl3slPof1A
gBErtSR/dEZL7Z0pHM/rAaz8dF4QeqZETx1DvXFOCbWitMVhPfu8VpnjHVhY2mYe7oxS78CjcEaA
4aK9+v3482KpQEU4OTq8dOSlBTuvMrc+Gg6bo2WqY2b3kGaRclIYvarrzrkuZzWlj3KhSTE/kBGA
1ovuFokCNeYcj3gQnd61nkn9cD3T34ESqjvaAV6ItpMKisqdb3va79XrvFwyj86mJfgTXSU3LNis
c+Fa1rnWZ0PaRCePzufQ+tC0s1ESOTTCLvOI41qvpREj53omEKNdmT0Rf23Zvwvbnnal07CaMGKM
weEA/ad5Wx+slyXQuFPGK4bMFa+jPqi/zv7xkAVvS8QHrq/1+RnVZPOW3YqWP9jU0WPrYb08d114
mqr7vl0wQLBNyDCdp7dCxjwEsGhB/OKQsUgAXGMLlBg8Rzkv4uzqw/pwPbhNh19DPWQ1MzGcw/5M
XNP6+//tSeib5PqOhzFNP4/1K2AegU6wZI7HjGgI/1E2CjfPXG/6uI7Yc11VjflSRGxWFg/xaRID
Y0gByTmzh2thgpKMK8JWtbxFn4U6r6KkbQxUs9uwuxYWtLTJT1+zKX9jDUR03DwCqSIHQFQJSvby
qep4l2Tw+uIKZsWSmT2dnt4Eu8rtmkoQiOGsw+loHg5JW+wEhYq9PctLx46mm0rnkA38d4rY3A+w
+ew3D0tIYpSlIjINrxRXTioRT5UY3o2cv8AdfBI8U6TfM9p5OqW8cwfvHGkAmTdADDVw4TQuQvn/
E438j0QjrrDEfycaubyW7Wv7N9nI7x/5l2xE/oHwFpqw6TtSBpYI/pKOCNP6A72ghQYEFrCUDqKN
f0lHzD9M/c9zrQBysGPzHFqaOvF//aft/hEEpi98iieuL2D1/6+kI6b5/0tHyNHzfFu4ju1brmv+
XTpCe8bPWXy4FxGGJzvNyRSWvXntdSMDMgNSZCbuoZxrzDh9M1wSXRWX7VTl6PEY93tPA2mXpLoi
hwXxqb6W6e9ZzwY9hXw+RJWxGTrlHNcvluGPJJT1adQVaaEr0uuZrc9U39snhN2flz+/tl6DG0/N
4/PLXdUyANnZRa3YqpjF3D6B4OBgD8Rb+X0oKrHPg6shbIzTwobqnJm0CmxXFRu/jfm/eo21Kq0h
wSxTkYbpNvVRBWaOUdZ8LKNpOgppbMfYiC+5lUw713U/hq5vDp4YYnlNtg3oDoWJo3DM83poQ507
5+cvbHPQ8NoTn1KT+32qsTqv9ygs9wA4jQMc2z+nUH4fDYe/P5xorizIhcHzTl+8HLKpE8MizJf+
Zl2mCNgmqIvbwzqLrofcYVda0rAnRJvMoFBDFmD3Eo6MN2E9GAtz8dV6SnOmPub8zRURHNtwQPj6
+TTW57LoJ7SerQeeR7dvzRE+BJN7o3lYn4f1WlfRVKCtdyyBAh8pOiPap6uTUsV0K8SQ/sYlNG0n
DdrGtq/TOtdZdD2Y9IjRvw/HiW4WJI8aa1CXG/tliHWAy3SuJic5L+Y+EWqimE0ZmirDPMbDGZmr
wnFVA4tZEP+QsEPNEcPIwaeFs64AEqLL6JlUx+lLZAwBWZrIuW1Bam7Z49ezKxQVZjtgzTXBUQEb
EkXiXcHyR4dSI6StGmzQpW4fjQJRQt0Igun861S3OcJq+PNg9YV5NH2yh/WlpKr8vd/HNyl1ZOqX
un2yHsLkX2fVTN6fyB/oPyBapy/n8qkCD059tkFkfrI1q7Tf+3GYHEuPd2aQ9iT/ErWZujl2V70M
HWv4/1klQfnqBWns4yLvrOAjaKCRgKekBLDoiff3d9dFhLhz/U7Zvk/t9xD6QmvaxyGVIXe3v5cU
uvbC88wdKUU/jdaeWeUp9A7C0zRhFmaA8Fh4FssM4RoVSlGn9bYIFeZwfTvc2eez1OhN2nobnEwQ
Ml/XD//420vdw4zYABy6UBn4wdmLdLr5REOtxAnDYf1sar7inx9TGoOsgErn2HvEO9ASkInxSw2g
6oyCvjLxAFbHUnxsA+Jf4yCACzCxq0LxulsIbdnkBjrPeEDG4/YxzdG+fnSnFGzK4LlnTw1PuUEc
adYH4MzL5kBICE7QaT9ZYXFsu9E8j7pLgg64NXEVWLq9RCJZzVJwgHllacygP+Na5E1ugYBA9OuX
cELCGV8bGSIEHKex2jaDMx49WltK9wSlJKsih1yLHIKHdTEB+iZQtfhr82CpIN8bU/RGggkKiCFA
u9sRLzUk/jEbErZaOGNYwLRIuPPpIHRD0taHdRG/nq3X/FEMu4x80/XT76NqOTeNDh1lZ492yhVw
N+qBIgr6Rt4TLF4bclx2psCZ7Stsu7+fEqjAYzN023UMWi95AXJ8aaC6GPJXofca64aDLgMu96tM
piTllnVbHb3GwZRY8nKu74Xfp1L3s3uXxHjdRxQZnucysXeZHXbnLMCrEVnUmBdqUKhL5BaVOiEg
WTCx0Bxu45oRwtKtZqIvt9Tj7gJRW2xh9Z2F8T1L6zIm2mHhRE+udb8UWE8ruhodBcetmQOoWrcw
6/iGtuoySTf9PS77MTtrgPTMeCopj6aojQPQ0nuiQK9G2MpXsq5vkgoDcZ30pEGGMMhYEszUUyuS
2JYk2lIxarZOqq5pxaB11OzOT2onhhDYPETQF32Ay1rbvwS+anZdjNXrQ/j3v4iv6oFWkNEy619F
bhrDnme/z5ktdlVCptWIE/OCo5B6x9mJmHinVK8Z19P14OmLv8+sNkVOxLCposohf7gLruI5oYsn
WehG1LJPROEVl8XMi8ss+uLSj269q4yKkn9HmBXxi5gNZ4aZqenTU1jQVUBnAJksjNMzYJaFcveZ
xKTgHPEu2suseChbaEydzT4JqwKteEDKgPKLik2XnbbVyaNzElh6LlivoZgh7jxH5V2MjPOULeeD
MJ2TV2o3RDMEJDPziT+EQU0rZvROiZvfDOBtj+M4LdAs8VLOVGGHUIYoWUmfCW0n2pGYd/JBlbLQ
jg4N33Wh8zRcAjAizbQj02tLwFe4d6mVEw+uX6lCmf/OV41ZCB1sDwpPsCk6Cmdt1D9MOKNTF9Jv
MkTHvpExu3KECWfq4JhUx/N6IPAw3dt1+dxrr2Gilz25XuysB+jnNMrrIj05JcXvUHsYf3+BKBQi
7Loif1fT+KXw6vHaEgnjV0c8uWXhjFLiIa3AaNFperXokCltbavz4SWJqte5ZfFmjwoTpdED35tN
+r60IWfvK7Y6TT+zzW07e2dCWnbhND7nDgSD0O1TGC4vc5a3O6dftYADdjIEcAg6CZZjfAEOf1RO
80Ka1WMWThlJ6e1y0KpTJ693LfXwkQ8jpYbkpiN96mDF2IFpFBxyjIobJwmeC5Fcd+My/z/2zmS5
cSzN0q+SlntEY7wA2jp7wZmi5sklbWCSXH4x3ot5evr+wIgKZWZltVXuaxEMiaLkEgkC/3DOdw7C
IS1xcn6hzrjWE2uaLrK3Y48dDOnl/FyHEqKG2++cGXmWX1fPogfVk+TPPlF012zOCgeohEoWxH2K
+ZCcg+smMy/NRPe7RMZvvmbPNWOfc6iftgj/sYqr4pD6QIDFiBOCivGQV2ypc58cXT3mG93o5Trw
XmqCG42ywrCn7Yy1+NY6jFlr31axeCrYQPEv+3FR3kQJEzavXa4+IZeWuQccSUjDOnDRQFKudrBX
iBdDpQoIyS0eEzskzjwZwEbMo/XccE0KevMXE1yohrnx2ZoOIcV5tWHxtyTFCyB6EdXfKH5aPf9H
svxoMZIFndfLPbD0VauISEhnioxwnMW2mJOt1u1eEltXBZY8jeUxSjHU5ZIFS2ICaWmcl2karLse
H+cau083wucQdi6Z571Vno7xRrG3nKAtE+9F/qjv39jYA4/uMPH0htF7oL0LF8A9Cxti8HSR5Bvn
lh10ep8lRbOyHcjTXeEfnQAOE5K2djsCHxcepnggT6Ng0YrIuNwZHo4zxMxPdkUgOQdBvm4UW442
AK8HAw14oL3WSji7fHQ38UyochKr156dVpKkXPLSeKv82mIsBMgIVyqsMaN/CzqgRGFsPg/eon8Q
JB6WxcHVwSuhkmAkPBcmJm7O5krYPZmHDgtnf9TDVYeEUiHpYrxrrUwnaElED1/zYLgitRMaymOH
k1ug3BEtCnuzZxcT14QTTfGTy5KBIGXzMNOErpJE3xKElq11xlLRHXj4CEgf+0zz5vPfgPhsYeF4
ZYxbMPWfUDyUm3JOL1sishEnkYhYojAnsQvItd3fTTJGajixpa1tAOle+LORNSdCF8mEq31CB/vI
3BvmKDZ6OIyRuOlTHfIuBrCTFwSAGezjW5/lYtkRHt2FGbhtb59PmgyLyJ82MTICvNdsgeVqKPoH
1hw/DaPclxZ/uNkEzPhBSYf6hxzVh4xJjpkHxjBsWZZMPx/quR9/aH8kvLbvXi3TzT8ITHzvoWEM
tMvo9boXYmHpoXxmLK1CLiE9f8P4Lp4gL1ko5CGxAf4tK0HPdIb+9mOa7lwuG7RYHvGOwHB4wPfN
+UHfn6rzd36Tgv/py+cH/vv3FUl9FRplsuyvWofq6Oxad5YrrjUuUrbfDe1Lq5MsN9+fDmdn+/lz
Qc24Q2N9VUcKKvBMhXL+qBVmeZQmcx/W3EZBz3C++3xTLI/6fuj3feePMPVRvf2XX/7+Man2/vjH
poesp+z+/kGm4cnjFJOetfxW3w/8u3/g++f0WbSUi67I6I7//AM0lfM+ytsjS79wO5M1ny7XONIE
qeAxMm+yGrdrfu62z3eeb74f832fnpbu/vvzf3qMj2JuRbjfK9Y1uHHLz/+++X4sMkMqzO/Pz485
u/u/71NdmQI3PD/yX/5mXeggewsU7MDvH0eqUbvLhvSudGuCCvTg31rsg3fKYlreN4w/vm/EUnWd
P62miRzBCMEtngJqrb5cxijfX//983/9NffPn3J+PHlj7CdHTS/rbiJqcn477IdJb7IfOLfCObu/
4eb84ez6NBVjBVwLzfiFtwiqzh993ySLBOv7UxMRfc7J9PB91/kjZWDtFs044I34h284f/+/uo93
TMLk9c9Hfz+GqK27EnQD4GXHIjGn56ZWX4QDgr4tjWD/PyPM/84I03Ys6//re7v+Gv5y8VU3X9Pf
jzH/+LY/xpi+8xvGMixrrovTLPx7B5zv/cYW1nUD27URiGKN+48hpvWbIxgPBLYXklXk/J3/zQl+
Q6hPmhpfMV3LtP49/5vt/9MQE9ebZzIztEL8kr7LcPQfh5h2VavC6bz60IwIVIjOvJpb1EkyRMaI
LApjLDZwoMPOwvSKH41aED+aFMVFU7SbLouqRxm2952szE3apmBwm6HEhtLC+athBI8Brpg01yRp
jqVFdJN4c1kgn6LEJDhj9HbWNDsXkScQqKHlqUJBxf2SDgVG8UZPFEXogHWBOAHPFzCGLizgyU9c
5BJneqjeIyv9qAOd3kGeINuz8a8VZ1VwuNmzrQGODWQBnVBiR5umYS2ep4ZB2qDh7ru8vA1U214H
ff4YlPMVY6Rmz96gORJCxnTHxBFhL9ysEFTrOP1KFL25xBUI1M1e0nWE4V60bgMknDP0Xo7FDUmY
0WOn3E/Cpd4qJ9QwFoL+tkqpVUkuOLZ5H6yAIs3dlF34GXYY0wZweVWDcdK2w/KyNpJNY9bNJmjQ
DGQjrq1JS4OQRfWYYhEAApmxYQYSHGEy2YQyLfa1HJ6mri4OatgHEep+e+Anl4JIHZQRajMlpF9q
bV4g93iRJQrMpg4faxZoq9gnJQWiHckpl0XMLJT1pqHiZC9KSM9szNdVYrGX1Sz/0j569Cy/WRlD
VTLyY49qYUrHmQ9gihTSPgy5myeRvQqLmFyqHsOE/eYmaH/R4mB4TA8sH/mArdWqaVtQoHmDLX2g
ohqLHZECbNmj7JQ74rUNO7V34KpT891rM+F5Kxa6Rt232x6VoVvAURLLdwzCN7ZphO4tSC0wtCn3
FaNG/uI1t207HUybp6MOS1yLI66FfkHW1s+mMfKixHgA+T0dRwcbvAuHuZufFQORlTeT8JH6mEgm
v35o0Q0h/biyZl9cwjm5HAbyYd0JJ/fkRSzCEL0RtY4DIxu3eLTVfup5evviCQfLfVjXAnEVyv4E
qlfAptXprXY7M2ND99XsE8u57Jsk2bJVyxb5d+dd6Hh+tkcOtdrN9xzDI0oCLP0RCOg5uGiLFPnQ
XB2deFinYxjsZVjMu7ki7NpiEoHsdWNrDFgod9ZicIwbxBsvar7RbuCf8gqigd/m4BhmZEwNmpgR
0VsWMp+qhoRjvh8+hHgpU6t/6IwfnjWny4s6X7g0/ZsKzGJapwFoC56kbI5fuiY1Loh1xiExEQ3l
OrAyC1vv49TWz5WPPUo2Yj8mgzqMmpcAM5Z31Fb9wJW5vQwiqPb4NXYWDdadHVEX1VZPHlZ7p+vO
3hNcD6aKUG7oqu18ledZsIqFSWtHXc3YcwULABN4Bhsq0s4+rATEEA4e6P898nLDJuCmLrDORiCg
kPyyjRwxPhV1sm07sCAavsycb0RgvyE/uqsdTiRJnT9Mwywv+VXQ3d1OhcHEOlDNQ8CG15/qcG0h
xWAiOeldwEvK5Lv7EjoKQa1ixBg8Htbag7fLDBHuI9xd8wgPC3EuEM0eNlgeNwvwltNigyDC6tW+
dMu70ad3wGyB2qfIP5J+CamaYIxIfAyurB6zBkEZA4EWwAcvb4qiENli3m38JqOLUqOx8wCkG1Z3
cH/JQKPUHXidg3A+TCPM26XJY3qQX05tAynfj6Gq+/1DnjO4zJ1y3vY1Q/BcB88G2drbObDmO5TW
w2AQJJc9yRnnmmX0R6eADBljwKJvhK2vvwJAKWUEh9k2jW0QJx/GiDpXxPmhBYVxFA1kHltnHzUm
P/AVu6FPnI3pM2nCatavPfSP69rObpg1JGuXWf26Hwu98boAzcN4QjpYbMXyoFEGiAUVGNEZxV5Q
5eE+Q48RKDFtvCF1t1D6QdO/2Y7dgNvvHHDtlUvbXjwG5BDvBgcvncOhoNAlHLFOwzYEkUDrW3VX
aF6vgwKG0jBE6cbVTLM6zOErYt5SuERNsxkS+ZUaJVKh5aSa/JRxfyXLithcw+w3BNFsm2Bqt8oo
ps2AW2AFV2jf9i75x5KEG9dQ0VppeZ2Z6JaF8jygqMGvxDfsS0GDSlKueG1KU1xiS7Z3eSHLFct2
k1zoau+4BdmchUNbJ3LrMmLJse6cPofJ31a3mNTp+nPjIOvyLvPd8sbvjeRSYQiNmwJsiY3uKZz9
O2KfoNLxxcsANVNh1dkdrkoEy1xVDI2LypVGdNe303XopNXJ85OM9OPg52g4WHzs6Gpq45H5n/1r
tlPvkvGuB+UtT9HrVc1V1dADzRmnppa3p7JZppE57TBE6U6NHl+JI2Q9MHvLYXAoyIMGHEqQSb84
XJfrVheoXZg21+40tluDbcV2qjjX+ReGQZJQrMV1zHwNNzaJ1lH8wdW+h1XGw0a67bF+702GNH3G
uDpgoomCtsp2XT1iBdDJfTi32YXsrrpJ1ntKM/7gJH5qKiKIixbtvzSNYX1+M85dTJPR2pt6gPWs
SaXwiBkBMjIf3J55XTou0UvWa27LcI8j/hpN9QQ36tluMGEPodmssA3CdOJUY/JjOYohTCfjdafM
+WCJ6DMgZZc5cJAwnSCxXQ2EkJMmeQh5PleFn5oHp0/uWyOABN09+KO/dwUrkXZAEuGG3vtsB49c
hsCktg7iioDws64bEde6imlW1vebrDIYGyvQIUFj/eLCTHr9dJ12S6iE6K4LqFhTgwUsaRFjWEX9
6jgtBwZn2ywqLxsrm3ZuUPdrMsY/iij7odnSww9cny9lTqxQgSUjKiUKJG+o/M3I1dy38nzjm/Ze
OSIC/oPWaGjJ/5yYzwfJkijx2iQLlSsdrV3bxY/k1l47U0KqLunYa5cnd51FiNeI0J02een+KI1+
4YmSg5kEnnccg5t6busrbREzH4MAgUbdcJKjNmEBxolhG4d2t83Lo2Wj6KwRcE8mVAGeZ3xg/qpk
73ppTIIXtBuwGojK2boktR+5KJLZphN9Uzck/7ElD++noP0MSDIXZdTfWl66q5s0uC/Ug26ZXAo7
aU6ZlQynoYxXYeddaq7NBdfGezU7zsrJ2hB5ee7sZbuDVxeCnPaT29JFISyzeYnmZMBZlxsbwMJj
HTjhZVY5P9NIzQ+ZvpzGxnzo2NE0sn883wxl+jSNU3o9+E3/6KIaBPgn+0MkWdUL0553co7IOajh
siS4LD3BT2rdUt0ZxH562rWhHuO9HxwWs2WlnGNUgieftMlF24seuSTqazeKFrYCQkS8Hf6jKcnb
yVwfHGSKzUPNLfPIyPau2mp+FUzQtuR4YNzuBuueWpnhU+E9mt7kPUYZwkVlNXe/3xXGICkHU52m
CQpF3LqPmeTN0VS6P+hYMUgfMN5OZKQyaO4QLsbt+GQZvH2tPEp3XsGfEI/up0fE8yYG/C7sFqp0
9dmUIeG1o62ulElKvCxFch0W9kXtrdLeny9RFCHSpfkeAX8NZrbpwG0mfZWBfDwGvsahzeu2uqwC
vPGWNWPJFqwxcwaI2qnZRZUW60v3bvKzG78borUx40YbcJQoaclDgwIbw1n76ITwRaumeRYjEKaa
iAgFem/oopCCf3HGq+Q5l1N9AJcAh9Go4gOXuGQ3LIQglmA/BpOg6nio9jnmKDar0N6zKN8aDpeS
uLcPrb2vZ8ZnsgaphHpChydVVBDfEJtaoXqCAT7uM9RPsowPRMjuC8EzBJQiP6ja7q5pOO6U7HYF
RDv4GD3QAS52EMxXphv027SE/xonAalG5Nut2t5/LEaVkzxbs/NBlrD3Crmrk3BCsmB95JwogNxC
TCkcptu5QPLP+6ZVwbiSai53am0wMA0rpPTTPKcvGIgpEDUjT06s1VYmJt4AQezTCEQ1HSYUHmP/
M30jHb64oxYhDo+DOcjqS895FF7YnBALpZt2qVB6o7ysbf9RAQcjckrtvdj7oDiHNY/egJe6Y+85
fDQI8jA0V6e6gqWU2dDsRbDYaYjcvKSbGi0mPzn7ugPQCABYTNdDP/tVkEfPZo+3AOS0BzO197Y3
HYNlDxKQQgfUKvjyBO8Nk26yaEDxNegKAiNghz7cjWwHDqPNW3dkUxA7DK5fpIdaXCbNvheCxQxR
PZac5k1NFbfxVPrA3uglKHlFiiwT2x6HhRNICA69vFIzRIGozx9QApDGE73hf1ocCM1Dr6Ka9VP7
U3LdnQc/YNOlynXv2y9BRYOalRhf57EkDS+Os0PS+2+YoehiR7s7YjGdcRTLW+zhHcvCAj5um4k1
CKqKPKLAvIQgU/LXSZJIbXK3E9Y9cjD8I0PsXErnHpjechkEuTUE1LIy+VVKvbObud9XLMQgd+lN
Gf/0/WFZqmsw0oFN8q9w+wMyaigCgkt3lMUDe1Hgq8Q/0aax/tt62ve3QzgU67CLnkCJEGSz5LHM
4LSTbAhPNazxEKEiFaUxPYKL2EcmkVuoyaxD1Bcb5BzlKZTlpbCK9mbQ7mtgOyuRxDbGeqxAmZY3
U54bx6ZpryKTrA0hMMwhIyghwvkFEBliHpDKcKDod8qDz8y3kUzRP4TiwIpjPvhzeTL95lFmS5hm
EtQYc6Dr5FnXrsGb8JZ3jWdPecZ+4M21GitOF5hhueIXBZe5GqBpWllbuBKcJJvc3hiyAdFVJtne
ygq8ihZTytRv/avZtq+aOckuvfqD/NP25MbdlVMFF2ifKRtsEV8ruxugKxTVkRBQasJqDo7d0I0b
RkvD2o8oqYPKYAFClQekUxjVVcz16MgRGXGEWleRgSHXt8Sxs2BUKAs16cTabiu78MlynQroi/Gl
0vJjNsaMUTfHic07FlIXVdjQJjaOpsUoGpqPXvUZ1BDACUNWh6KqgF2iajVKfrkFqaobUe/7rmM/
TJ864yKUs/lqKyu8GEMwbt7g2Lss5lIuO6pGN3Kdk3KbW2l3BKrX+atm9TLhADRqrVk1b+zgfuoa
cXBxdW7zGnTzsguKF7cjLDGH7PUGH6BLnT1LFNv9tqxcWM7NKc84lVOFWebjVMoYDN8m6YcW7ycN
Xt6E+znEv6ZSBXmzsa6yKrfurqE27Glcn7ly/eon/oQwC++ASyIHQ8GaNry5I9kxohqYU0H2PDQ6
xA0w4LA0TPehqCPQfC4l+Wyin7bHH3lsmvuuZSVsMUEjpp6CYf5ybfhTgALfIgpw8nLDPeXIe99q
yPkOF/a7VEdviLNAyChU7E5OM+Gx5l85s/vZ04d3aQdvQ5TN2ow/XKvARxvAkWS5zaKUDe3WaZLd
3FIa0vot4rVi13fEsXQPba1PIh/TA0pdvUndhiw2y7tFtsa7PXPlOoZxnDT0Mh2lAcELWXRBlCjr
S/9t9s36NbtRronFQyMfJ+em3c3GZ9wylmrkGxBGgmqp8/fK0BtrQJ8WOvOtrxbqi5Ow96V7Fbag
OYCntQsqRVvCOGsL23GrRsLM6Cgb6N4UTQ70j2E0jK3M0485pmW2TUYxE6RGtQjxiy6CLo+HaJWV
0ePkze56Soof5y4urXB1Gs51xMVsP0vcMR5iHJfn+dxKBE3ET6VijKuntiZmZdR+SIrPeBHPd4PN
2MbQnQHlKeDcB2K3QXghU/xJVBP13m0FuTuUNqxHOIqq6ER75u0iCIJ+RVW4zNDMuWbTzqim8BXW
EBODr+TSv20qEPBYqgg4aN2P1Ohp79FMuTE9srJhxgfF0c8fDMt7qSfyh02fllhVRCsJG9oOlTi5
t6AZTAnCvxAPYZsZm2zoFxNqZR2kWz1OgS9PXVrcQurhsh2jc9ENNpKkjG5yGieISZPay0h+DtiO
LqImf3C7KT8B6LxrxXDZ9bF9WaPcWLc03qCFOdzUyNAlxJF4XzgQk3A6MVqfrvOmPDVYsk4arRji
G4SlndUhNSyJgiksCGHl+JBA+xk4RhrMs5eS1WwdWN7pfzYY/50NBiLnZaD/v/7v//kc/7f80pv3
9v0vX+fvvH4vvv721xOfdJ/ZP+wv/vimP/YXgfVb6Ico9kMYRsL+5vcF4W+eb/s4IR1PLBpslNZ/
7C+c8DfLtUMLHbYjhG2ZSLe/RdhuGCDN9iyX4sr69/h9js12QueT1Or4829/9VidsAGxA/YqsOEs
2/6n7YUjnBgHYSQvhnGbqkWzlZ0lrGI0jkxvrqJQIvWa64vcdx+LkiTMOVDxwRzvEiMn9mYYj6qt
e9AdOCdNn2TOPNQjmQwIHkDMcIQ6BXq5kvN3Du4qztKHzGi97TAWjPwEJ43IpMMNk+g4VMNXbaOs
7WZgiX++JLe//zl/UV1B/Kxqm7/91QYi+p/+Tp4plPBskmyuSHbwj1uaEYaBl9mBOEYwgpb4it2Y
ZAUscxRv0cJsgBeNbiqUPgGQCOCkxX1SBy5Mo2bDu5oWwDKfVeRczJ6JHKHmojxnaXJKa/RrItpC
UOguutB6Eq3PGbbTD8owPyjH3NvzDbnqYiXC0dxGYbRzufKO9nBMjEX1U1aLEkFtOW8VejfN2XAy
cn2cQHMc8HBWWyDG5HRE9sBSBxDhmLjvmQM8pc44r/P7Pp49N2Jx4YSoVi8KUo7/NNqcVaPksPnH
2bj7vjv06wUOLHG1tc6mCYmRcBYgxfkmTlB4RVaIG3FRi59vzop6J4oo0BG0R16L4tNCQ7OjTHjV
h9K3v3pNzMTksl/Qi6FJknfG7iHcpouzKe54zlToRyTPmOZFaUhoYQKro86QnY1d4KHZxJ0qvXz+
tFx2sa2+y7Mxu5iHONihM7wXeY/eXBcEagqn3HoZS2y1fDq3Zvh3N+f7jNLfNO7kH8pCxfvEaW7H
5VENh99idiYyJCYaA+nJSudcOzMbIYxv8eAV4kxJfCahhB2JKxXQpIvzR7Rh1kXzIzOqftciMkVk
C2JKKuRCeXUo5Yxm+ncxeIgprOHtsBkMuo8gSQTynjkEZFu92xksorMJ8GwHnBzrzmy5azbtXYF9
6TIUPlLyuC+355tSgN5xpE5OvQGKsdMNtr6yez7fdb6RcuSLxWzsQs+5ozSiLMy7DtzLclMGv6yF
n5IrUGXSfSsziLMaw7PHQQXf2QdcSIJPDIiNHCLPAi9Dsm89nxIn7LZ95ZxqXS9h0ppC3aZ9ejXB
amxHjPFUuf9hQiyRxNPvE3ploJ8oB5Ee29LFVJWQDVkqUEIz3sT+dDZTSB+HsO4DCENN+ByKtNhF
KjUvlkKgLWZxBA8WnxTLkB0knkeZ1qiavBzr7i3Ex4Q4juwq74pkX4VyQ7BdcLBDb1jx3jj4KaZ3
Ix8HipeQfxpTX7jJxnbaG21+mZtGTS4ZoaZGDWcUH0jndtZujgJAv4taHz1N/btymRqAgWJFeJPG
a3b2EpYhLOjYEKiH9A++3z+e3WYzAm5Amt24pRggdGOiX4uxmKchb9GiR9JoaijwdoUSn9Q6NxzX
kWDyVWm2TGX7XCftO8xy42LsDiMrg2MUjGvV+T3S1zgHMV89yHLqT2DWAHohVxvUU1XMwaYsYflS
6NQrgRbDLYKtJ4dwJfLy1RliZ2cjZkbv3JCwGZOgbjgEZfAUcRSHpBVYnPGsSj1DJih2Y5bPx15+
6kn4F9VykxOuNZjTMUPsvA4p+9bnEyUXzOrgFj1hD161n8firvE7f1NgscXwQVxzoR5ZXANoiyFP
tJoxfxaUBCWOo0fCIvAqB8TgWdKv6SqPoXyKS7x+I3At0Wa/QkmS2oRqJ4uY+dv9V6rNHZukdBfY
KUPVAaF9Hr7EvrtWlmXtTJk/Yz3Vx3goWTZG1SYIWDtOXhxdMDAFD56Kd5Y11Nul01/ElWHTOWaP
A913UDlPTN4v2MoYe/w017qrFhRG9IVC1ZXqDe50tcUycz7Mpxy9bFI3exEUoDdNsa1yOV/IkGjh
GgAoMA4gXk0tXgwx81uSepL6bsvx0DFRb4CAdzHKFZIIbFs0O9nYz1FiIBzwo3vfeW4s7I59bjRY
+VmgckDc92zqbJuI0tkm1IdfZlvi/MVZAXrJgCwa1sQgxpm5CSE/beaq864t2JwuKRCAKE29mQhX
5sUZvMw7JHhH153HaNdwxFqFM07wyT5Uft0eKVD7k3LukTeOGyXMqyJ2Xl1AmCAUmqT8EhP5coFh
bWSTYhocaZQt5V0JUhJRMlbrpu1KAnGxBpR8hzO1/rXlGDE8WICnUTbP+AprdAgmiFgbKwboQsC6
mU0U1xR+jKneJQgD7+gwO0CoJvZrr78pqbMdIL4VSvsdXpPtWT2UxRVdoU2fR3xvW06HtGD7b4UU
31GebXRS/bCtmHaO3T6KyBD6D+VL3Ncffk2qoSOZJxmjQZKmwQ44yfsZU7E4pLIEsTdM28BEigij
0DroaL4aa/qirCJKmTTxxulhqZTNuEVtyPlohlzcYj+TIQHaeVihU+1I3pgLfo3JePLBTq5mZRh3
olm+nqIvZqxql/M6ICjbEJ9RJPl/CQu2sZEWCh5vtSXtc59MGBXKbZctHDyPTZxPYh6GN7BI5EIn
JpXZcA9lHDyfdioUxNHtIOyKQXt+5fodaYlAhmuG49vaIbaVU9nOafXNaIviScHXtbMfImSRnglG
FYntMTOr69tZT9VGZ3Rp9E0qI0wACOvgE9E7j92dadas0rtSn7r+zWu952Rpm2HL+2yoOCwtl16J
bSTk83Dea0m8fMJcRbe8/GWSOqTHiG5XQVNxTWgx1dRkzIxNm5byxovvI8JQbgYZvFYKyFAzM8QB
6pfBAAB//ZKHKFVdyL0Yoh13b0/4A/3Af0ntEEgOw3Ngq8K6xfli3zJ+3Ls6eokTqLFlOTxWA3Zq
p3d/5T6VyZSQtRWYuzSkIsMl2G0mzXQzt7xp0/hKHFMMSpvmFyZ4RrKML9I22reBR+BO52wVI2MW
Ua5+1w0Lv6Flu5KINGQzjwbAQ9CzlzmjqMKgBO4iKHJStpd+WHEJeXTtwj6Isri0xuoqAM0FVLMK
iT8/YowhLzZELmTK4W0iVm8IpueAePdg7Mj064xNLRjTpN68AXrjn3w0nqhWfzZBCTF/Vi+YzVAz
Ey0oXH3V5haiI6PBdJQExEpmzrQN/Vi8+wTXEEU5S6ZZLp5DgGDAEMZ1ByK19KNsT/lHslVKZ+1x
Y5R1cUWGY9UCKKqLjyAMSH2mdk+bn7zoD9rp78goYnuTF7dLgmOeF2rX2CnBPKG78LGfmnOdJ1NC
ka3NOCkizcPpY14iIa0s3ivP2VVAcOBz3vkzmS+KIWShTAs9CD6EbAxvZKSIUXNAn44pDUNA1j0D
jzVGry8Sw6xKirt5DMSmU/aVgUg6EFC/dQtWqI3DnR11BMUE1FLZy5SXK8NP30VLnFnsOsfeaHct
v/IGPjGkkqK5tXREctogPXIpOrDMpdntIxbdXVSxxrbBPNYxFI4cdq5d6x/t9HNS7FOlEtdTFTKb
U1Bx2S482fb4PI7+iyqjB434BAYVEV3YDHf+XNSHcHwu2f37oxscnClCUG7ATKHNBy2z9utj2/EO
ThzFkNZiHobMgX1YNa8GF/k6hX7C26ndeZOdbgdrxMLdtNdgFQ+SV3mnglyxJG42sgoXvDY59l5z
QqXxXFXlNVPNbSTRb5sWM2zYipeukgw9lK1OFmSLOAy+dPc+NPYT15u9E2IUF173q7T7YzUzmJmT
QayaeSb9ejZ++V0+7GQBXHsAQYNc4yrU8mRkdzNl9j0k+GUNJDYqme8tO7nHBBCthCnbTex9zuq1
7MD0JhFlUG+D1aYwlV55HxOFaOTmE3tTNgyBOpoYA3g10h+VSc6z6ImjkMF8VCmZXHjbSKwt6l0H
kHCFBmuKJa+tNZ+47pd3UXZteccKDcglmJqPwcrua+GY+wLFxr70kiuQ6NPOy8St3boDYo2K83Dl
IO+ifoKtAcRHHsdUVYdZ4IQcfIPGqcrY4SNih/1JnAsyunSNuwLyQnK0Mxw9E/OidRQw+3VMS28S
2RPCFVY49NJlvkQhKYP0iRn/neMNw7G2boeMerzmb/Zqh2W18olcZBAstHcySCqaEUlEcumq4P9c
EFaBUSYh/rLBQSBpuQG5bfCoWNsybl58JvQjwWuRJgoXhNy2jvmjx8LdmZpzYWuiPArz8M11Sqbj
krgqPDykPM5w7G+YRj3bhQRpRh7HupYeZ3JGA1wxvzrjMDmLdQThx75Dh6PKlkwq0x3p7Iz7ODLr
3VhNAZKrutjNfl6u65pNZbU8pZwLBUPBJmKjEo7Ay1QDgoVpPXgTcaMN1M4jC+RN19TXQQdPeOzI
kbIT+x0t3Lh1LPtGzZy98FGdKsN7yoVzZdbBZ4QjzgdNtBY5Zwk3B7idZZ+p5XsbrDqvnks6nRnD
Ggw1cdsWlmFFvQs0MMH9d+ggkUpHrquSsNLcFXpHbwaaxu2vOTnOkspRWoSeJu11rhxKQSAPxvir
mxKY/MB1pG09o1Bj4t9cdPHwWbbszsmAJ14o2YeDF60yJdfbNk1AtA9LUWK5LjHG+Sfw7suwCD81
9Gmno0XUuZYb3bF7QC4TGhU5uZz+bMs5+TjdLP1ryJvp0TCoOcB5EL3OBqKl4i7YCdS5/vQi/HGZ
mG4N4F1MALyt1YD5jL0lPXwWe8EKaMUSCZCFnWzKiFVt3aFOrSPAbUma4LxDThmbcHSjEJQyQyvw
ohklvF8w63S8LEGvlu3bNm73/QiyArj3HZDgJ+UkAaE0qHey7L5U5ZcjSF+kFyHly96aO9ef3nr2
8asm9XnTD295FzwkiKl6I7u2UzDFdb4genTIeli8oeldmQMGbTX6YPwj4yVv5gMsrhsj9xXrn+qB
H0zZRMTCtgmyF7MZEJcwWMZEOW7MgCKv1Vm8a1vwArp9TfJBHbEdX1iTYWOwDxWtLjW0vBQZyzIV
TQstW1539HKgm8pupc7bN2QwaSr+H3tnsiM3lmbpV2n0upkgLy+Hu+iNDbTZzGe5a0O45BLneebT
90cPVCHSoxBRtW8g05EZCkm0gbz/cM531pNOol9RtYDsebprPc0l3mdSZ4OB9DUqbEuVPVmlbox9
q2MOP5cs/jGXwLTehkZMPGUIkDP15+vy3wxHdYRfZUwwruVl4rXWGxNEvq5jtG4nIkA7CpKpmw/s
YV4LDdGb0ooTQUnuikSGtEzRoI5FQsXA7UBZ0LGEBrZWZg63//JGohn75p77cubNcGwwi9j4LOGz
zkjKmKZ75BFg2itNoS+d8Q37CRP0oSiPakBcAvrndxomjyXZZmH6S2MWwDYvRuEkSJeR1p2lq2KV
962LmWomiAiWGrX9S1w4gIr9Z2UCVRsVGegUkWuzZpkZFv69VnGQjSTpWLRFa+5wNs/uB/wtPJsP
ikF8FwOgYQGxrgakGXoMIiVHsYfNAuiqTKUiSVgXfQFaDulJZP6MjAj8msA9L5Gf0f8LennOCZAJ
I3hh3jef9SFFJCTCxveBTcmJuRt5ino5wuSubNDqnUmUXWyiOrLCAEi62pYQPUFVlj+U4AVrYfTg
L3ckXjaC7sv4FGKk3k1+yPhEcCDFL2UgX9LeSHajqs7loP0choYztv0eAUONSmcPj+1SW+Q6TBee
IX2nPbLjJH4typ6m4FbaUHQzRL1+r/jXhr3o/Gs9+gzsBs8HW/w9SahfvTmZht+UFqFWPVgx4lYg
n5CcqtlcY/ZbVYmL3Vwz6UNONda+iR34iir/eTRyGKSA4lwOSk49uYptPrs6YOnb8hCd4UESRgd4
tULi4RaA1gf/N3VVf83V9FC1frBPEz85ZvjZKw2cdN3sG1WcUafxdSz6EeP0/Ay69xGvza11pb4J
7fBXKeXOho6BG9Z6sNLqRYbyPibmyOpeCkveGmxMHQyvkZrCGdOTdJLH1uRu6an6w0w8ZPWG/EIY
ahnCULDzJwUXuJ7XWU5Arkj9N5/uRusiRlXjyVp2fmH7y6gHuhYd1bSZHbqi2yutvenLvWYWv5Dr
fysceokZJ5/Vtz/RSRkEeKNeoCu/a7um3PaYG+tcPPvGo2azzZSF9rtpp4tLKAffRYzWfHvGTZoh
oERL8jOBTubMhIb1LKSwub+Pmg5prNFG7gzzBwXbeoiwpHZN8FrZ0YE0G4cmumM31Ud3WJPt2P4t
+uQKU4tZmRG8h6a68+k4F36ZncvfmpY9Fstr1ob22S7iTdbxIF+EsoZjiFXDJ7V2Yon/P4WHkbtk
JK+MMRw8kGcfhhwPYDiKa6lfxiASoFbKQ0KZus5r1/fqXBkewHX0Dprt4Y8dvLFmcMZ8nw4kHRfA
BdKFZooYIcbufGT3C/oPiTcZySJqe6b6rXYINPUY0SuYlc4pHb9oPrJhmA1k4YLiqisC6bHXdIex
RitUAqUP9ES/BZ96iwyLqUSs2gKMc6NpPQq2vCkls4vZfTVmsJP8rm28dDbeyA7DU18moBHK/EgG
T7iPRMI0XW9OPnF+K0psRpjz8DODuLnqu2SLTTRnIklvbmcIDYCeUb3q9HTXQVYv6KPwBNN4G8LT
I/niWlQ0LA7t9Vim1yoh7M7U5h9pOSKl5Gu0ivpcrgxaCc/tSyyWcI3VnHxrYlBwWvNQ+SkoRHLm
HkeQ7uNoA7LHE71Mn/YErX0v2uwZSlzhhcTxSWrdtXaf2uHFKDGyTnkdAdjtx7Mb1h9tGKi1jKSx
K6YxBIWQOBefIp9aa34fMzViqU3lVc58ESp3Ik9Ozic1BBstE/GlJIetrcleEBNnCE/QrHVvCFlo
MeD9rBzYPDtga8SYm8Gw9mdj2tf7NBvbazSzrJ4NckY7x4bBClBkkBfRJaB40t9mCORXtblcpxOD
SvKeEl43mJCGuLlucdb6E+NmNUsAFAXRS52/mWUKOZ4gA5Sq8d2kKZ8OZHwaQuAEhRFZ7Inmrc/+
Y8szzl1VOb+vHIZNkEMsnu2+3IyxGjeZaz0qkYWnKCBDLY6PZZtPJ6pkHl9TR4qQU/+IsvGjZCwD
yss6OmV6l+aQqfq5L73S162dQzTM1o+dH/jHYSC6/kvumlcABT9GZj+niuwk2Dxm440D0vgGeK2P
O5fHvRmvXPSLFzh07NhHnoJF807ygL/qcRqsaRznc+Nmv+LJQthuMpUSLh2B9Alo1sr0vtEMeVls
i5LxtZfEBrZ0vr3tmJYPqOEixFzmAV3dcNW18MXPtQhT/vjexlV1rjHwk6MOFFSOFgFwLXB/LDa3
cJgO07gMK2W31o2V2ZJRpws0QWlNFWfGeIOnybxFlYNmgAxX7lpn3HdORbkfKhJbSFuIYzk9TMVN
69mIx3rZ3Ue5vtVroiztFniEfghzaR3y+ncdaDA/lf8xVHG5i4uZZQakuMjQzo7eRyfHfTXZiezQ
jU0rR6vmS9dYz4Mwi5sqr7kpNnDEqcOzna6zTsiCBIFfwaoJxC2Uvr7mDr1VbtoefTSLFJz2mdFs
45luB+VJrz6cbnoIpvgB6PWlne1XohuAe3SviTZau2rgE3XoQcnTItUj+lW1mbwvRfdMu+wfgdP2
MwtKDNAr8orB0tPSj/AxUWV3BXhOvO/a3D3IIrhjdDTseBSuLK0lArvXfM+a3Sdf5eFaFMVw3wzR
ryjJ9y09ErBIjvghKV6GCA1CwS1JbsN7npCPsGwLN9EwWttIV6+RXTwZQPHIGS3x6iB06MwJU5FP
x6En8n4eILrR1fUswWDB+VH0rWRL4AXTt2BOTm3AEHUunbfOMB+aONzgHteo7SYfmSQBsFQQnUtt
GOQgQKK8uo+BVNIDZcs50e+FC4yxHwBsMcdMyeDFkUF8Z+g3mKmScFsLxE8gNC/jMJFrHLhbt2yI
4CbjeotaEedChgs8sTzkh4BF0uE6iJl7srpaRw3O4ir2K7DTcD9XuPLO5SVhLfHQSAdRICNwe+km
w2TczEEpSS1Hb4dn6pfUuM4QF37Rx/7G1uUFyqfc9O78M0MXmXRuuDf94gQT+BUgrouNlfkKmRmF
hmWjMptwLzv7zhqmguUS3HRhxDaLPENbxwlVeUhqE6b4GdoIFBW8WjoRp4WRbR12dkYnJ+Z1ydWf
s580V+EOWpHn2Op9LEHIi7IQjBLBGAfAJ536Vzr0xJ9HaNF1oYg11qRztQDfZ6Y8A9h9SBIavGQy
uT3j/uaq7nuA1q5vJn09ae63Kuvfi3AIzwnb7o2K2XZi6vBM3q0+q2r2HiXDnVbvmZcXt4S2eVs1
PlwL7DomOtPebKcDuZLFqifUjA9vfHKs70k4X6NMph7rt+5oWAAcOUpEkleeoyYBqdSy90HGWtoE
gg/FhyD0ucxRhxfYk6KXshv2Sk5yxWAx3fQlD4GM8UzcLXP7heiAO1l6ic+63h7zZPNWMKr+FvaS
391021rHch11WXDN9HI4ta3EV7PkTQ82J/1QbX3E2NmSewSrrSHztzI2IhoeIHTYh+QJPuu8jUF8
47PKThgWRq/Vw44HlSbuJ7AZ9qSek1Q2e6JCxKbSEQFqU7ETQmdzo0c/KRvmTetGxVo45n1S+c0G
KgNmMbTI+5LQqVXsZA9kcVPcW2CxoT0vUUVAdeoi+QgA94J61x5awqR5X5zgzknSYQtmnGEjka91
CrFH2rc5KgXybefByjgNVDRfJQ0hD+0OS5zjHKUjiIymUB9H2CG+EMG3pL3V3W+f2vx+Frm6Nhrh
egtTaEb0MCWgPzrR8XW7B1jwaPYkf7U+Y7khMJtbp2MamKZ0GyXarengQ1DxnzWD47lP2/BSlcke
H9hGl0P1UtvzGtiv2A25AZEm2dXCOac9XqlO/UrC98EhC1HnbkI7b26Dkki+Qu6DJUmwMwa5m0Re
Y4HAWubGmQNexdoSMa42bRG7yDoBMbu64XXf4rn8ndcdJXKbrtPafFNWkX+Ydna0sm031cUlDh3c
Bma3c2aj2tUaj5eyTk9zZmwIIQq92XJoinxK72Fa8U653ADYV1DQrLVZtzd9AWayjrRVOgwPhc/j
px3RpFtjs54adBIkbf1wJrJ/2h5/AgqxS6I1jOEnlXj4NM8WaTNeTA5E1yXA+mkcWG+MxEBjAk3L
rj8ZybzrOis5d+NrnTfNQac2WrdaBBsk1M9JBq84y5jrEUUVbErptqeh10JaUjIYnEn7zsgYAls2
39tDMm36Yf5BtaGB8X9POxukBOlj5H/bR+iFGBtTUswEFiYIVBx+k4Eye6lv7BY9R4ODrhxi52oz
LgfQRYNNivZt9JFuExO/q+RWJPae3drPeElldWryWXFqMhKj/TCW7FbliqNDmCs0abYNdtx4ZZ4+
RM18N4Nmv5FwFtMa83HG1fyDdeUFQEn8C53hgR6PwyzYIkadNhQ4zcM0hWdybDalZTk/8EtYHCaI
8HXcVpbsOPsIEqFlXES3pqczKrpwaqzYtbU32675+Axu6aS61BF/p+BZ0ejuhiEBbhzRFXciZHTi
RJq5TSt3idYq92zdWRoLpto5+HrmPIT3GvmbivObVeBeawSpTm18TkcjeXRAG0Zjev78oWlxdrYc
n86iF5uw5LvQoOGgiAWmYiXwVxQTAlj63bEuaOajTERsjlyy80itFqnTY5e1v0eFw+42nM07pVc8
NdkrohpgE9FU+qkdrdegzU+gQcj1C4NbbsXZtyzls8ZDypoUWGHQWuhIlk2nwb5K9LZ4TmBKTXhs
NAh/LgXXpNyEJ3Mz8icXRMfbNt7r6snsJgdQkdI2TOrAbx21hqGXa4ldZdnmeuiLFhu4tkZ9gizV
Sca7RACdHlsyHYrxZrtpsUsa0ITKHLYVZSBF3K8xn9lbMsccuq7fmortgU3qI3GIFmngxuzjNKZA
qZkQSWM4oUuZdyrPdkTRxddAcx8AYjO1nnuNMlkxuGslwy+7Rd0z9lAtl81hQQhImQBKsMVBNX51
/fyhO/E2As2OADU6yBKJcGGG+q6ELU0nWmMgVHH9LaSisie8mjq88nUFLanLXf/a6Y1JjEUnzuEC
eDIZuZpkD65z+Mgr15mhZuLtMTNagTyv74IeNs9oHwub2mls2YBMwd7Nc+EZ6AmmYD4RQPUSVJZ1
FmEEnqgB3AaU5921JHjwtAQIT5T4YqoSGzHE3woWm1Oa6NuqF+dx5MFUlNVBe4nRja5KjNMec+dh
H5G2DFTI5yYDCLlLjZHNWwmvZqTyDga86Ybq5wczbV0ktuYZw6JDhN/808XcJORLiVE/LbW1npcY
zuwuO8etS5Qpn4+ZqF1kQwUgf/wuoEeohVuh7c2qtVbhSbTG8reZRB9OpbteRVDTtnRqubWiyWGC
gi8pnIsSxbXGNMz6kWYKoQ2xQ6jl5Z2uOeemRoqSB87BTWwiJiKmS626wE8MHmMWjzFodspinozp
M8bJ4Yr4S5BDIayAcHiM9X7uHuj9OWV48LOGXVLB8zUHCcPCYvIKR4zrJov3JRL9XUO3QNIcC7Wo
5rd0geuJ0fbaObjrWJAxvpsabdfgGuT6WHBU+bUeIEyFXXMKZkE4DkcCJstwU4fMUMoW7g7j7hSI
7E6bnJSIhpErJTtPZNhKTMwPSNz3Gptdry4eEOXPnooiudfJY9loU/5mu0+mwWpI75NzATF+5edM
N5irK5hnZp59z1JBt80MSLXTAy2/f2hjtjEGyIOp9gUx4nX94Lg6vRJ8A7sPNgaMBQYV1nEoFKN4
1hH0yPCgE326zSG41zi9L5qcTmkMjyFyvp2SJhPuoenZgtL02uj9sPrM5DiDVdCnjZG2b3bianvd
on7oIu1WWQQB+pjM0ekxNtNde1vIMnzqbeIiYC7cy7HB9W76qDALmOyd1VC6zeoE78HfLyPvsYxh
VbXyQ+GbQhOQ7/uhMHa5xGNKfM8xzo2XxIhhOy6MTbX8+PxfcsEZtnaIF3TW8QOPPgtTY2w2nxCV
zx+fagykCT0RofrIEjpEY1SbMRlbApXSkY6DhU9UULCG9FOow/K2WoDc8PyXX/r89c8fzVgFHkbN
Zy6dle8n0FRh4vZ8o7n75Hl+/qOAcXTVq2EfL6o2CLvP4RJwJlNM+DXPjCX2qAVOYW/nQm14KC/Z
ZvxAU4gAJLZ0+jAy0z9p9p9w+88fLyQJTEd3UZ/lWvzk1Cju494mdXD5R0qB7Pz/Wur/lpYagCKc
6f8U7v5FS02yTNRE7znq3j8k1otE2fjjd/2HmNr9l4teWXGr/BFejs53+NW0//d/a0r+CyOQ4D/o
po0/lNb/Iac2/4XiV+jKdglLV/Ct/lNOLfgDFZI1AtSFQm2t/odM6y86YwRnphSmNCwHfbZDj/7v
OuNoqoeu4Lt++AR5RCE2GLeenqqZgc9iVbYXb0aOz3M31ThKx2yAS4GCA+iRHjIuCRPhTQ6njrKJ
8EKRssury9h2YBX87JkblaJtMDZgKDT2t+2SUePi3iorkxIqPGQGuxxJ5cjY+2iL+i2VVeY1NUmz
ZIhWm65m2Vp/c29NWCU7p26IH8laSt3X1I5mL49NbBKdcYh7BE4jBt+V5jvnWQ0dnEB69jLjCbB4
P9wOZ2FeYFetuYgqe69S2e2xCz/VFX6hmkn5utBxkfSSwZU0BCBAi1gDRqRGrnW/WpDxhw7NVcoB
vXU6k6WWRgxgRugYqW7vZcYfUJfTcawmEC5Lkvw0VuPJcNE6FsdSucOtnhqIqAUGeKYg26jnwWCP
6GHeQgN7i3K0YC1jW2OfIUwvWQD7ZGzAtjDMYIM/l0w7G0iLwSwkZ4K8ovyZ9x1KbjfAYBK78vuU
WOb+T9/o/0KKbvz1CyIlEnTg66QxCAZY//4FiScM4UVflofSVE96iy3l80fqNizobIJNMNMgsEi7
m95xUZLM1hnT8x9v5t9fCyaCP2v/+a5KCYDdlBIOvGPoXzTxQjMY+hMjdRg0zDRRmb8RlSDrPRl9
2MWyZ03lvyKZ/tM78AWYtPy1DiI/B5C8hS/C/PIOzASqzE1opwfyoZiZwMHli730MuECjW5FjYc5
jjC0snstF+Sv1uB38oeWPBEE/MxnX/7+fRAYLb6+EY5Ujg6HnucHaKgvn4kumiHLm/QgQ94I9MNy
3Sgs/dPQ7saiMFdah1TeZoS9tePkNOTpjAYVmVw8o0g2SaNFdfurHyHk2PZs7FSR7j7/KNtHJm0K
geQhfvz7izaXi/qTc+PzbbSwgGCwc6XtuF8+vYA7AIpozEWrevaiZtq3sYtkvteQeMW2wd7XivDR
VW+2wTypCrgPI5+FG0SrglHfR2VjUzKxC6w6rbi3aZQRGj+nPqiJUVC+A2FmuLtOq/hHW5RII0ST
HGHYNxyt0w9yPa+MUHgjRATZAii7b5ExboXigcq13aJeevqHV7x8Mb68YtLfeaVsJpQ05JdXPCbA
X7JEj3CcDAdTo/6rq4jeZXgO3VmcTeVuVY5gRhcyPqJjwjKoGQuIwI4YQ9G9lyYNbA8FixoE3GRt
0dCYOIHFsBKjeurZzdFeX0koR6uzoJFUiaw1T/13VRoMpLoqwapn6F5ude9VMYLF0VgPFKC9K99Z
R4FETOX/0/3C4fTlZVu67jqO1B3FT+fL/ZIajYPG1kROD3WqUN3AWz7faj/9oXV+t6t+50Si5cKA
4EFdTTK0hehz6zQBRXCDpBgBRMuCcJ0xGLz+w0fyX12bYVgCB5ELb+OrfaiuVGq2NVL/CkxUnTjH
OS1eC7Ykm6qxn0pcsatZs7afx4HoEW7ZWALygI4HRAHZ1f1WoytYlZ343sDtlPOUbMmcvOdrSeRd
X7nrogXTiV/xtyV1nLXiacY+b+Un17XuqsCo95oY9G2BqGzD5PuuQUqCFThCeFhmOHyj75H07cvf
v2zjr48wmG+2YSjDtpXDSPrfHxjMeMHY2GV8mG2Y/UxU7mQzwylhW7LG2XCfV+ZG5u1uaOkwfP7P
PCFkMqrwIc4knDGc/Kt/uKQv5wrAEi6DalSnlLHAmn65JBlpA1kQKjqEvuJe1eebHtpyV2f5Ice7
dQhbN9kHvX4SyrU2rVNfI4fpQpMZ/3Qly234p9v080osg10CKCxdWgD2/lf58/0hygOsWcb/iVm7
arXGbdpGPql5H02Il2zxtcAuGYY1+dkMyMPgODN8pIHcFEVY7olaGI/TQAao2TrPGN2ZVKDF8Sxh
bQtb/MM1mout7S/XSIiJsjn5eJos7+afrrGzU2T6xcijpLGuqjXUsdYSZkbFiybc5vti2A707ORE
JEiU4Q+nn0FuDEK/WlF2paD8INQoWrnlR2Kp+BEKwlqvB6Lm3OxOaGmw8SM22IWS+dadMzDfQnvu
urBaF5NoLulItecS76s5EP3+4Xvw5VhY3n1QhJzphu0IkCVfDH39ZCRRhTXroEsIKxU8aXI6p1Pk
ugHYBDLszRapnmCX0JJ8iuKMVHrfnBjgNgWDRYcgr3zvJLH2D/eM9aXaWC5McMratunSp+vuly9o
T9NczL4THYZY7ZyWuWQTFzFn/fRk6YhrRpih6yiZH1zfNJY3MGQxFZFmiaBQMCqZ8eatana6m2ZE
j2upaFOUpnOQYjL2c9p4M3N82xnSm84qxXN6HHZ95IJMRN1PAHD3ZC5jmm6OtfciK2n7+4YFdvsx
JrKEemF0a192JNAIdFBWdt8Rmgg7kIEVQjLGcILYUFUM9Tl02w8gCfMp6TrIAQkD957PsU32lVW2
7yR4X0Zx5K1G+Q6+S6Xs/hWQIy2BAtcWaBI+szd8LuT+7z98Z/nafvlao7yiPXLokJT+NVCHctUf
ZkfT9pLyYw8ijNM7C1Gj8cLTzrLvwI7d+4rASdfvc2TXbuphLyw920CkawRix7rbxJM/wrqHEmKF
Gct6V99MfVEe6iL/VZiy8tDEfPNT1ey5n911oAi3FJSZ2DiH6OC2WNT9xFeMqcobuAz5hn0c0x+y
fXEmDy316lm9xkFosyYSRGXmpP9MvVkc50ZSdpCTnRI5SO20PB/G08A0jA3V76Fx2o01WAuNHbeT
raOfGtBeCO7l97Bh6pIOE54H+gXTwZTRqAB2Gg1/pDHYCfyaNWLV7g0XMGRpw+Eb0L9aALnu82K6
ccXtqqqJDtaK+Cjnkd27pf5o/f/wBt/98Un82YhqfDkvuQlccN0mIUoWtepfEo90lYMgSHmXyOXC
/503t8TPdYarHXNiY9rFVrstBmYglcsulxyvJztlxu64xX1oGUzOHcG+o0jXZiKBtIHf2P79V+jz
6fzvXyFX5xyn3hAuP782BZEm+BJpDTPcpRauhv4x84NgW+ic7QiOVgO3GZoXvDc+/Ny0pv4BX/d9
iiiTHUIZVgUadDk7rP9nGrB/uDrmBV++4K7ugHWldbBwQX+FrU5uYzVyRKjq1kLuIlbq66BDTBrD
SPRFGaxR9U0nTbYTZJ/IZGW2z+ZYAMVfDr2QrfXfX5D5R0f/5Q0zUcroOCt1k0v7UpWmdYnRi2Dt
/WhCIbHMJnnIxiW4zj3kfa698kseonCs+RFq7az8pVJRvpvFGwNEnSG5Wf/smCtCZ8v2AwHKJ1n8
opzpTr4z5Oji7RSmkHlHuu+4HcLK9TC2cV/33BUI3GEVMunuoCr3IWBPYozvaieipeKuPvBRXuKx
+SjKIr6Aqy73TTvf+YKddhNgpHV4J70wCNz1rHpzZ9fRjzoOw/NooQ5JirrffsJALWWTkuHcdVQY
x1BxnTBwpka6P3WSS4hoAcF1lDAh91UOGSHlj0IJ3HgWmkywHsGDsuGpsPYeEHwsGjU/i45l7A9r
s5jHXdg3v/m4m3XF9svD2PNh1kRtpmnNi8pYqC0ytxxL0l439bVAAnQqgsjYOKGMn4T7xpsdXsx8
ePB16XvOgOIyaBNwVTTQHHKugegfy6+fBgOh5qlHrrQ8KGC0UFoDsXFFWZ84UL+TaDffmyNSJIeR
hDUTGZANoXVMl8kFmpNoZxTpm2No4ykC7ADPlAxk2qac8Ej5ljHzptYDNK6cTYmS7oIlZTxlqFxX
FafvXnU2J1aXjisV+uGuqH37dRbsBYFShf10aDPxG+e3eOjS+N2Zp4E50KTtXBzM7DqWM8R2d6zI
5eaVh+A1MzR1QVh8aIbWv6bLlr7NGcXG48An6fZQ3mOBbgIwRR36pHk6asCWP1ZryVD0rhQZxgSZ
732BuozuRuxawV095x0ZZZIwJVPzEXEWzktgsJadyvzaQAvxIttEnquzjkVU8ObCzlzHQV4cJ4J1
N/bg/gwlwjjckMmZGdBiME2RnDJLf6JtzjyblQi/E0oFtDnX86Gpr8O8aA92PXzAVOx2gWYbiENK
vMj4fzcNCkiGFxdpNSSXOUgPR3z7ahqe5YzRg6IqgJDTbfrKaFcNXfO2xzCJtME+SfXJymwwLDbO
Tsj6osdpiCgFMruIoRraubYxjDZBbMNSTpbZuLcjeS/MvvWcfKRO7dgFzaBKNvGIRi31s4A47+pu
7pa/wnbOTlro93plnMKetrFlYfZZdNe5j7usmzeVkSFitDE7Jrmxo8URh4Lwd7DpxjbQECOVtUWN
6HRiWzvmSCBwgtFdpt98I2c72KCVTnoV3aUpW9S54fgy3ZeC9dd9bWjsSBJCj/1C7y/KmIwXOJcs
UcSz0ILxRSxLL9mgaRIUTIiYQ0Ja+kB4hd3sEj/wz0g/6MdcNJ8m2TzJCA9rsi/UQGWc+YhmrRnD
gLwp9P0XPfvZ65h+ZulbmzFRLJKXi44adSOz2l1SKNNVg+hmbdMle4kJWrMPg2qjQsxHJVYZMwyu
YvppIwSYUIBckn7WVjIusnUtWedpcW6ddXz7NINGsAOW9STxyoW4Vc79iGFJ1zjKlY5ermFfgkf1
3BvjxbehrApCk+61sYOsygvHpjbsjN6ttzLuxhe3bBPkfvNzYoBdcXJtj6unvrmCi0tYFX0L2/kF
6YFCr6aMy+xWLHEAfOKQsHbZMJsvS+A3wJqwP/UmXS6nYRQmKaxv3ysbKz/bZo1cNUrkt1wENizk
GEafQKBYaI3+VvmkDsd4ixoEkTtad94nl/mEwcYqSljkGYZYVivuz2IwgVEGEvt6DNaToc9DDYfi
EU42o44pFicIit9hcLDR5HallLxOTrSl0KD1r+ZXWfPoqYgNwWjHaML/BfA5pg9QH5C8G6+yzO5g
Nlp/wxDLW5ip+z4h09x1kJbSZtPh5AQIqdHY5JPEU5rvLSd8yoaxvulEuWwkbjT6cTxTyXBx/Bsf
ZXowBoy1Cms3IeHlAVcH4lytN6+MSV4NCpnMapvjEEbhJcvTEzCA3ZxW91bIPVjUJstvZY0865t+
XcdNc0wHlJQRIUf18J4X8qVFx31JYuKY+tqpPOQrxyiJ0Uhb0/XzTx0b3Ingrf1tMg71FudH6Enj
uxxrnlWDRbhOquMWrZtVD93wMjfInz+RJNi7SMTKjqVQR5wFfMXxp6xcY8jxPJzmOK7v8TEVK7cB
+WH4Bv7w/rGGcAe8zazWmYJJPRkxarbCRo5YG7eQcbjTuVC5hUyPw0zyYGTWOmjBQt8HmAfwmwxb
bUgpv218LqmdnghjwJPN0NUHDrru8mq6DEX9DBKEGtrsX9Puvc0Y3tCxAHdzk+sYoqyKaz7gCKbK
kFk2hsS09nheYOZJY/wjeXwrauuc23Z8HsKsplwbWKqarPKxxHCqcQhWWWE+hqyUpXHSFN5QvaoP
sVZshzxzz00P7cR09rJapHxzeiCZ+HWGDncOHb0goPyoO0sWUUYJiDswxvBbtLSRXbtXOUFg7pMK
6R4Akh4zrTFWIMzrja7bACVjAGO0oM62L8nUMbOuPun2onmsta0fCgOia2nusS3BEE4cA2W1+4wH
FOFnmF+UDIm3ZMjVwVrEKojRA9bpCRB4vYNyutWJTqcLt2z6mG5d2MF4+4RSKXCEWY+GX4/vkll7
SGUdbpuMHcqEnXyTJhMo5z451o2FLHacsfLF80GCstk57HAAoXWh52YFahd9KA8oGV7caPg+aN/G
zB4D/L+MiKd15frWY7IsPHiOH7gL3FWkqAyt2n8uh3XNLjp3nH2D9GMtAmmcRbZ13egx6hgzcss1
HLqwkuHeLmudmeSscmcn7TtJUseRk3icspvG/HtF58fYCY8rybzeBLqZKTQLksZ+CYaZkLPGt5iZ
+fdOpY5JhoDfbjUNiwhgjmkMvK4tryYkPFJ+a4CUhlzH0nqkpEaWtwCqcGwGWKe9qZ/JfevSH9PW
z7sfZQARBYULRjfzLXDwEY1+undl8lQzGlnpWvfaDXh0eo6Bw4DCYtW3CNTYr8NHmexmrfmUbYKc
VL2MNsRk7ZIItIQ+xxWPt1ytxqQjlV6LrL0p9Agl6lYfMa30gKHLbwOaf87TBN9aytFMrMfTML8K
zKMLGTraAE3vMRRLcz06WbsdqumjHExoBqmNA6J8iQe4XsjIEJ5rsae5lBN4Cjy4OFtgjW8RuIwq
wUWW1g0aUIvnO1oNQvaKdShG0qZGDUip9irbBSkyvdPbo/moXNjQtNvpeHDJb12FCdIjbMjEC5jN
c0gDR1nhbPn3vL6H2BaE5Q/Dxs5nZ/CNOeQYwISXPmdkF9u72MQW1VQQHOtYHXNlA15hcTcHhEeN
2g2OuEL8u0bIuHKcjGgY1CArlt6k6GX4//8faWe627iyZekn4m0GZwKN+qF5tjw7/YewnU7OQ5DB
8enro/L0rXOzLqobaOAcIW3LkiyRwR17r/UtOKmqUyjEVNav0gk8WELnf8HV684MtwPAhbFOF5BY
t22EOnBuBvmV8RG31VmOWgaOrDzVWvZlIKn3w9PozDmuQFs56AsqhTa9oD9WXK5rfRkFn0QrPjhu
/lg59Q6B/rOi30BIGE0O6bNJtxB1pHAsCuJI/ZCFz6ctA7ad0wXx+BchZqu8L+hNoM5WaIroJYqV
iQG9wUmyd+YoxfemzIv73PN3EUvBykkx2iZzN1DvIH3XVfRYAXHD/WvXZ0aAnBISRt841e8UR1yy
OzslzNR/dmKdS6cotoBfMELNN8QFEHmH7W8ZAwdCoMuXtx/c7nL78vfNLUXIpXm66G7/7INuDQvg
43Y/J59Tfm539Bkf/nWf29ej1ON5FTrevvp9Rxxf/sYf9NPvL//2VPND96kXklkaBcFOgHXHCJ1s
K5nzUfzrIxuqMuDMz6/4r4cdmzmtEHHJ7Zu313n71+/f/H2nvz1K6BuPOHSQC98Sh28vQ8fMTyGf
4GGaX8vt1/94fX97yD/u88cb9+db8/tx5ocN2+LZb2hGjeEZ4wvzWaXne7tpujumwrsuQR3Qu8OH
nwHC6cJ2O2DDRaQeTQetdlHddnT20c4igWNF2yQYQvHzdv3V9Cjwk7x/y6N2E6XxR5cW56ymDdpU
NnkIalNbqbmqVfTSq8HhUG+9ta7gP8YyVGsxdK9hVPhnF7KB1PsAK0tUcGmzAETkCAOLtGoWwuyu
+pQSHhlo+b4OokPjVcWpZPbuuLBSvTy/mv4eJG+KypctGBuQCJY/IkXH0H81kR8+JPpn3SOJM1KC
U4saunfgW8PG208F9bk2TB9kFt2nQ7RGT7YUOsF6DsJmSbdvZYJzhFc1nJHu9/tMQAupex0AmXlf
j/McgkzepTecFDiGKs70XdlNBJCMGVspT7VbqFLbyHIQcmb4pkciLGwkXo2FlM3TriiRJS2SYlVA
xF/0RBuQC7ELbU17CNc1O7ZlWFrBUmrYZSU+9HUTaEw3W5TtFh4b/TGm1Q2Q1/3yuhbMuumjNid1
0en3DofOwjV+ZtRshsm7oXCmkecm4eNkISM3dUY4YS5dQ4u3Q9HWZxoT1D2EzpS5dskH6d9p3l7m
/Zm+xodOuEWpt+AakU/lDfugqCfc2VXPiRl4p8jPN3HNu2f6449K+Fe0g2pbJ4JObq5tuh5cL6Xi
nIabkFGo0vsKe8HCDX2XwLrxamUsqCBGj8B6Np1TX/rCziBF9cyxzFejw8vldBQi5HKUvFra6USI
nmp21HcetsVQXlw9AKkwmjYuMQxpQ+nJbZBbwwFE7WqYRlJKXR9KAN3XuBqCpTnqzylStqU3aTHY
SaxhpA/u2UpCYQZNKeg9EB3sbYuaGAxnrPdzorMZMckcMTK7BX62vOUaOGotsDEdPMGtXnQ0p0Mq
LwgCRWRN6m0Y7yoR/wQqU2xy3fwZjEm0HcYZPaIc7xKhoRIdrxidCTYKF7jt2FZX/rTmnDNNKJgr
X7QEo2nsfjcZQHwNcDxqZNCyiW23uzZK1kjniwpdZaChoTal3AviJwqfA8uTYQKH/6elN/qeX4oI
BgOVk8/em9J573A+EaH+mUyPqAazHd5gGvhmcx69ZdXF9XpCjItaePqwLSrJIu7vsiIAgm79ZIpk
1S7gCnfGVWmHIFK8yDwLdp3raYA+yAGrQoTlfgAflUTtas3F7m1o4cJ5s3MdvTZUOiXvzAQ/FJ0j
0A9pegqIo4hqJgK67XIhrn1WLlkfDatEBD19ejqts0KszRwRQ43fYqNn7itIFYSB+Ca5blpPTZPe
z+OBEVg+V20n3phxQwxJeLLtT1zlAV1T7VpP6FqiHAiHOxM/shGHoa4T4AA24g6a1rjMYHnx0VZi
J6X9DhyMRcMC0SBsKGUuMv+l0aNANiv1BlXlqFyBRNKcfurJLB4cH3HTbeNfbRAKEiCdQ9f6DRGI
4hcHYL/sh4waIrFehIvojjofBbuFoF9ziWQwDdzl5KQGJqEENBfZUWVLXAz+hm0ypsRR0J4zsnyd
fVJjDCqMjzigDpOTYcdVCPHm4XNo1A9+QWIeCwYpr2SdpvGLrxOzZBBgjRkz2caJOOOD2HYTjCTL
p4tqdXt7jJ80IFlLZorhypWI3z3NIrMJ+gxRwKVHEWrTaClIyllquemu2xzYP20LUya/cs279zCT
EA1sDTAurHX80ORSbjJJGk45Zvd5mhNcZehrhgWmK34q0zTWjVKnPJSv/oiHL5k9am2fP1UTltEk
xxABfw2BVqAcUt6rGQeSbaDgU8+QBVFbNBOEWjuCp0nHpryiWAvPmn4BGP1SVQ3TCbP/CJBNYNYl
mXNsR0bXU/gCHPjbkGOwaebW0zQ5iDMpKQAauQ+mijauudQH3DS2dM1TwxkQ1dpnA79w0btvWl2w
YcG2e+4UlHXbfnEBxeoSkpAul9j2Oxa/cR822lWXRKF4AjV9OrvBJxeymMvsLArqdqsV3ks00wSl
nv9wKPSkgkpotMQXNDgSV/3gPMEK2YkAekDDGUreEqoXIkKhHVuQYwgvI4D+YpfJsNMTAm4zBMNx
G3xEFr6d1FQdwI3yHLf2e0sDdwNgl9GHu6Up+kaoU3wkBvnbgS2IMy5aTiWbxDgg5aBKJPU3fWEv
5siMfBtSl1HIBYK8apcbG6dgv+HFI6y4tik2nXvATIxeHC3xijJfekAViBAZT/1MvRB9CTVKqgfD
oachreypaTeao0EXZvVkq4rSPevqfZYY4lhH8xavaYyDKtVT5bOv9wBzLdvKRmPvdPo2tqj4uVQd
9AawVRKP7AfrGD9c4a6Itcl2tgp/BejYEaq4W0oRluWeyfbUQMAI1WzdpJu4mDtUvRXkcEq4cOrR
eBySfFeG3b4quoWFlZqF08FlsipShHjQOJ5RaUM9NwZsNPFwNawR5EJHU9jExV3qdPNYvnvM4RAr
06Ubmqh7I2xkQ7mrHV+t7RyldorQuptPUiJ1szXPiBMF4hdAevpt+cLywl2aRDlvbIJhSWB28Ebc
FMCD7DWQKCjpQF4Yw8CCafuTDL/JQrZWU+1668SosF146UOCzn/bimpc4XSaSrP4SV88k8DqkFmQ
YM+A9hWa2Ws7w5/RWFMcCXnUZiN4QXDwZFMDIdK3MaHc4X7CQKO5R06in3aJTZEodPMwEs6NHdC4
aH0e4S4mmHLojLdQxBvvEGLh2rHboVHXVO9EDgxro6wusW8nF+k6+5ogd1Lc/H7TuID1CDXZeKSt
VV1yICuhxASd69AHcFWPUe7vRn18GIIt6jmSO+p66yQ1WQ6ETCzjd6xtGJrWcTXy9oi2WuBTfMiV
361qsyVBr7JepN/jt21eZMQ4myjnV1zTxkab7lormDPt1FmPKEmsXJ2R8B310LxicuId6IkaU9Ed
xA+iMmznkthdzskuA6CH9Dub5jVonYGVDRg/SdtLVhJ9JdmPcYzgVlADkQUNojVXFN1BhKdyUE/M
CZKlp/k5Ju3kYRJXRdgXkk0UTxIg7sIagxXOzHLRYnKdtPqEPtBad0NHyeXjlbYdeSGBLDrbef/Q
io7eZ0k/ksm70O5wGTzmjaMONysOrVua0kVMrEJS0U35/c22Y7xeIw4y3JLBEujORa5pFZfYynwO
DWZUbahpi6ZJDCYy2MbUVBarliQCNrBs5ndO5K5LYisOtxs3JMUDxv8hTRRmkvnGCaZyFbkz5L3V
24M732BkObiTbu4AVEF8beGbldg2YXIZhz7TKBZVJVaqb+Jj7zyTec+cQMumH6hz16nZujuR+sOh
GmoUaGZ5CmZq8O1Gm3HCt39xuSKGm4YQ7Hq+ByvIHmRySI2kPiic74d4/hceF4aoog/VlkyevdWM
knSbSB7621/4X1+bbe7iY4Mxi5fTbI92S/BTVymTzg/ZqkQ3Aza6ZZ6aPQaYhfLCVyPNAuTw6zGp
sDTMz1mYUcPP/vn0Md23BrwGHEWnP9CyTvKFX0ywtCbt0Wrx4zQ/GDSjoJ9/frvTQGj5ejCgvU1m
wAKtGg34TzpDcQp76VTsP0JXr9aZqBmjFxFIcotuRN2NoBcjG3NPXABdJ4caJli7LPSOEOqCsoIj
AGOAPt+kTY678wKbujwQYcmfM4GcgbEe731yore0g3a/fzjv3/kgGRQOn5NH7gm1KBn3UpnhDSZb
k9BGaNe8/7zdJFwqiBawGALVoJLHmIzcHCYWat9L4uRoUCuVrKjigBOFwGCH+QaTIZIZxuVqVyd4
ntVoHCAOdIte84wfIFLV3ovTHVpumANp+CEdqa3NguNXqXxDXKU63G7oZ69E61IqE/i0HIHZ0dGA
6XX74e1f2fxl7VVMUpSPBapl6Blp4D/NubfmdsNLk1WMciRUqrmDY0REl7fPpWOOtNIgHaXjD1ZA
rKgLBFCIaLoM37NrIBcA1AjX4ldY8u2p6+8z75gG+gtgHaaZQUeXV3+Z2NcukKxejcF8FYZ4sbu4
WSroHVDgHoK424zTAAKJBBRq4u8ypG5+D+32DcqYjaqPh7aL4s7V+nsUmC8NnDbkOs+DQwXidh9Y
hXluIdVKk5+uZX0gvrwfaofNZqUPSzRL+9wrjhpN/qXX0zI3DEzBUA06dpScvxa0lI6QlgOrUgn9
YzxhfmZTN3/rv24a+lEMHdpoX4yKFEl+mLlSbrWEPfv8sz/uGmfzwXd7yNuP9Va563qwXv+4X+eT
Bv/78W73mxrbgxZmncs0ZypU5JDERjNbMmr4hXfnbBGCtJF+/AbXJ17VdJvyagaDUgGQxeirQ1fr
K0875kngHWuyIddOBqMFDsaSueC91nh3AewTRBYwXqSpcAbzgRA2CoMkeLDMeRJmaxtyC9jDYgC1
TX7UeIw2uhjgGpET7iOnnNB/tdgJ7yqYScXQkw9TnwWLx8nBtdzHBL+k0Wr0u+QBaAURliPFTVGm
yQGu8XFo8uFiA4de1nPvLswK5hiV+pTIPLclkk9MWDsaCQb+K/nEtt+lpiPqyIavZSt9Y6BRXhGj
Oq2dVjyKRA7Y9UOK7jnJw6PGGLlcb03nYtYwNCPZXAe4qrLRAYYHxr62I+haHmDFxBt2EVsWSkUU
1xEi8y2dSPb6Svxy4aMfUthOTcokKTGTN/KtadFY09rlmj/2r7rwugN8nQ8RZ2pjOM4X6RNn12nu
MSVdHRX+tOxCP4LOXoUhCKeoe+5TY6unjY3xDT+mTvE7Nltle92e7exzXnsGs2EGdSIff5KP9iIN
M9wQGTcum9K9cHY8x36E3kCEapGb3sZTEbba/o3Vnj+x3FumwV4iip4AQl9dG5ET8/4pg+iUp5xn
qq82HZEPzFymdovk61v7yT6rPyWe8yScEFBhDK4e78QTjhN1sK1xWsK4jkBpur+qsgfDMWHcI1qI
SduBOWbua+iCa1AW6fRosVnJbUNsRf5qOtaXW0A6nSHdS+Zq43rWQiumsYPL6zGDeNZSQbltGSK1
WHe3cZ1fafVS5bI5N6N1rxm7tmlPxTCVG5sM3IVmdUtLj69EbL+7ZnTtw+6aIAawMzaUvRUBdApg
xPa+pHWdrmxNX+MWZ6e5lqlzHCsc9ybDqxQliWGT1IPF8CkUDIGLOvqpmZNBd0E7FhKXl9eeh3z4
YeFeXURmf4V1f1879CqU/aD33WuUdW9FFGF+Jj+Jnr2dVPjzxvzdc9GfQYZZmBqnhdWXp7IoPvj0
U9wh4T0AsS9qrQl4ebQ3xvTEQq8zV/rpNOWpdfrvQVjfLSN5FuiPIUPQ1tgAAeP2OhV5jVeyATjs
GCc3Hz/zxvuF7ZOC2MY0U+ucneJqNj/RwHx2wnk3nmBPJbR3WCgnWX6NusO7H30PXkrzDLDfEpLE
JcrNH+k0twIMZhZN9zL6xsCeKEEs4IWcoooOBTg0BO4/OC7jdaK7NNlL8zKG+ovynGiVoBOmD69v
5Pw46EUACwuMreOQHk2vfhQeroeGaSKtk3xpB0D70OrMMkCXWg8an14YzG7xC2TGdDJdkyE9Lzxt
AJ0AI3hKpCK3cioY9ctj1KofKtMLRv+vsZemeLDJOxM5zb4ugFIGziutq4XS7LtoMOVWFMT+apIe
BRpyQY7rqhfDxexwhyIwSMY23Xa1PDkDgw0213dRaHBVBxWNbciSzzVNXie0T2qkd+XOa5Zhw7wP
or0eWSD7vJDWmvXV68hwjESuRk9EKyMkcGjS2yevSR76pl8A2hQDiYRJWzIB0Wj94uRhteIABBRG
+y+XO632dpyls054n/TNfWtqH4HvPfAOk70wcG3vrmPI0pNXa9ISQX8HB61Vd2DND2Vo70qDzhfx
QWXev9BgMl39F+LnovWZELjpQ1mOj52aXqsebpgvsgMQlxOIx3ah8fF0NvpHQQNLxF8IQ9LMvDdT
LCqu8j+FrTek8wGSjXpz08Q6ihq7W1YF4WmFWaJybZCSfIRo6RZ+F7xPvd6t5wijjLMy0q42UJxU
BzIsmVe25ietieMEt31pBdUXOMVXi75OUjUOu4zvqkWGRqI5syvXBrDfvESx88zUgiZaSwcZ7OI3
wXdcM4V3Dw9h28ofgR7gFXb1i55r50Tgjo79lyFkFMqkEEEc2Dx7omgoXrSaq23pV19hlNAKJJtQ
wxC06bxAbBoa+8vRZ3tqNW8Mk6xln3jVDqsCNq+uQ9dm6FQPw7g3jO5noNi/pO10rR3IbEGU6ytk
MzTLi186bVEurt09bB1OStQEYyKxw0ZPU/OlEcQOib7maFHqKLqAgwhBP7myRFEJjGMSUVsZEUyA
+3uZQHcZQzc+x379GpLcuACBAL6YbuqCWfKnYCiww/0EujcH7ByxllgagwiECflKw+m2mjTezwRy
GmpQWqCTYRKJSZ9VdwFzd5F+8WcZPSmNh9CzL97gWI9yhBySotQrkVcQg7wgkiJhTuGs+SvR/czt
JSheXwFFzVFORNOXPV6RNui3UxvKnclGbO2mMRw/MxQQpJGvlw77S8JpBOPn5lcq+l3mI3siMYX1
1TCqlYuWcTHVSKuIZVGHGOLfZvDAc0A1fAq8rHokyp4WitV0W8rNeO23QMBslcbHwh7vJfO8k28p
9+TE0tjgLYkQitnlSeR+tQqFcfaN7DOcwycDfBT7gZlY77vy1M43pDKr9SD4ePHuOQdj9p2MQ3Ys
B1rkejUV0ADZIKbp3FmaYwDqrPU3sw1zzHKxo3925ySo5243Xgv0ychXubTnIGR3PMSNiSaItn7o
9MCzWi6iwgJf1KcN/TEuJZfbjRhR7mk+SnNrunoM7sE69LMrEdEnMDn/NBOsNpkz4CxMwHx1qH4N
WVqngYshfvIW8kU5wLprSSmlVu0eXYzS+vTo2SnpHbptHJ22NEgMYfrV5X39pAQh77giqBKTxNh6
CYdcqGzt3iyfw7aEGzB/4YRi3Ih5hl8SAtdZNoQng9NrZRkoutOmmS7RFHFddahmKh3Ugq94exyj
sE5RV3w3loq3plE7p2zCWSXqeOcwoSNzvJkIQ0P84wbmxXcHZHMtEQ1Oii0ioxO8tNzeIpTdUFsD
Av9CJZBB+w7v/uhrDNdzxaORem1NJVP+UafnovzL4G17sxofeZSVkSjowpJJdwIiyOqIiAf0TcpK
7/CYW2hYgoArLnHg6xEzGhqZA+mg4cxr2TJEYCLGVifA0NxrPhajiHIiS0RybIeOCxbsdF8+qMmM
aAQK6Hv0zDHRMcSYNDj/drvyImp3p0V5hzxGrTjNLJbUYKcNZKnZnhwRjK6V5MoUN/yyqYfEqc3B
4w6NeK2ir9g0ylv1HeoLxAOYKK1DECOobMyGWtE9hJl1hXK1FzT+qKA0mAXGi6ez97gZetvKipd6
2EAoYucHRAd/HhfQteUla2GFI6Et9TkcpHuOkiHbTqq+qybrNDUg1weX5LhO+0k4nIWWFNhkOMtb
SrCuTc4bgV6HrWuQHrMC8zFFIFFoAyvM1H5a43iZOjJ5iw4UlQ9up2xCspqo4cySy2aBqYWA7bVd
h/Hay0eSzkHpp0Ff7xTdPCROw8VNguP8/2Rz9U1ccILSl68RIjHGmlHdAxAKjKdqjMc7r9fYfbL+
m7CuhjH6ARvhoWy0xSDCACFLisJrJJkgpkyxmJ0Bc2KptubwXQRQS3AOsGBVOxPCws8sgavimyOt
gbGczkn8lRW2T3JSQQPVaeA312MFSxsZZhxgKdYc+5wWciaBYckOfZpgdXqg8QpA0EwgrsA9ZgXV
mZE5r7hkkqsK+zcZUH5EbbsrQjZsU5+c/AQUbJdbR8JXZ8s0bEKfkskRoFLC1AypZlS0Mwd21kmu
Y4ck+dWQfXAg6pCzUs/UAzjrXWL9DFI/ogZHcT0wWj0GSXRt7U7bB8ykVSjI1ogLfEqRODbJ4K1K
L0SAlXX5OqdHOB/j+ro1aQ1PfiqPoxIbWXDBGAdvH7VVvdcxXyW2xbCnm+4zkV0jmTs7koBgE7mC
eHO70oDsu3dcD5/1ofrBKQTvT0Pr6U21v3cJtkfcqd0ZRvliMIXaOq36LJKkP7R2/ICqeHabDKcx
gW3Yxh67YOqLpuhfagJhJqdHdcLMY3BozjpErkSQcJdOwoRkmt5lV7e0Fe1To2MfsCp2VESboEsC
0oOVMjlwfMX08qqrDfR1IN+EgIYK93lh7dsJKU14X1SdhX/cPnqAVWxEy0wl7NcMRYRpE4pIXxZD
d2F9iklomyL16KEzkVjHQ7Uiuv7zZo2/vWN5obp1Gt+RstwEDbbQ6bmydzp4wEXluUdiYtFF1mWz
Ki1KxExA4UyprFCY4/6MXebhNU0KzyKjxrfvuzne/mahuJn99F7ZR+LOccbYQ7twbXva2Sj6L5X1
cLtXrWoUmj6eVjAFiL0LapAualBARdLnQw9iNtMIEQxv6/aOv8WGQVWQeMSsNOXKl7BQrCI5u8SJ
ttJBOJKSreQjjjuXfmPyu+AFlNzcrJl6qH2GY/7EXp+Z2RTtmL0Qw51SbOKmKdPPqA/1nXBoBjeT
WKd2/FlYiFiRtECun732orNIXWaAe0uPDzgDIKiy75xUsY3WM/llmc8oAQzgmDSR6WmWjWfh3ax6
bN7IRtflCEEvYMDpFZjnQvcHkc3akh3mExSabgmYHwSiDPaZyTuOLuqQY7RaNDhgWwfNbJw9WXKY
02+xGtMz2VlVd21NKi444R2jLNSSQV2tGz9oF7d7uikb2tuSmtoyX4ZW8CPpgqdQjax0zJCQr7Hb
Jadx1fvaL7ODRp1LqDjdxIQmxUBdYw1BZwU3WKN3BS1G4tBpkvQqKnpxZGyaC+HxHKlMVlGEFKI3
oP4n3Sm2zQ9XsB5BnL+UERW1DmQrNFjnI+bHyBk5F+w7rbf4kAz7QXKQjLwqr9GeQIPOMZjjD9Wy
FyM4hKtVzIdtQXCLxoTCSENl1jSr+Z1hGAl70KO4awZIbgMKDxqcWxdxoZln3qoV0eftejLJObiq
2I/JtTPsLwBtKGp9fuXWvqtNkD3cdaCWHIruLZr47ESpgRYqC+zQiFCAuszU9jtLmMXWqYb8mPhg
hGoMBE2rhk0escn1DMp5L+u1ZydSw6EX1k7q+mVqnOZcy1adS2buIJSzvZsWw36ugZ2sl1fw1Gwc
RutHG/bWtaOM1AejxvA3J3kb3TVV84RnWjFrK1Z9T9Jq0To/mhDK3O1G69r3KNLCAwm89po8gZMW
tnqwpDPXrQSbkCMQv9eo15DPEp9xHgc93pG2a7LbGR4YtnfbydAfKls5G9YS+2i2wRExCvUQ/JuK
Lf5OevLdz4SxlI24j8DArhQR7r3DRXI+qPQZ6xC11ptGUsQqUfP7R3vtYI840yzC6iyaoPyVp8En
1kL523nPPw7KXSBw0vfK27ky87c0+UkMRN8HrFBfZb1e72EGgrifZbei7cylMKAjtHx6FAZkMFIm
9PNOzaiNcN0wgFEloz9OxBA6e/yWdChBUxc3A/XjvZ0SBDKEWMqI0cbd0+QuatM65ljqtUtJJYPE
gaIpc9JHS9kFMpxvHHbeyjERYAt26wvAc2CnZTUuyxpQZe+8qMqr2QZRLoWoe4pGvtRUxks5sAbd
FiLaK+CffNMHAc3lOMg0m5P9cyrm3WjrsveP4YdLzn6XuQSze4pbuZADSDmUEfvcZepPZ60D83qX
6yBLelJYdzqUiDkSZtUZFooOOIA8G6tx23SvQsNwHVCWEbhJ/5vtIRFLS5XVB1wvqG07Lqq398lx
3rQebZol5mhGHEO3FwxBn4wjqi29D58nCsEVpSvXehgoAtJRzBB9E3EIIEwR3xD0hhXn5EorLdxY
LWIJrw8oWgcambjq6ChwrsbwnUC0JvQMWLAMwVKTIvdRqmupehg6RAQ/ee6eFEKi+aroULvR52z+
V032mRccTQhpEXsLDbLzbDv3usdQqJeRwwqPEiSVvw5BvWboneD5Bg78JEixZMVKYXkvC6Df8pL6
I9dHbx+L6A0XfbMqeoxoUCEoS7hTqdztmNtsfYMaCnWqf+sY2OmWeSu9ZskPLvk0siY7/ZnW9bh0
wcGQqKEWdojIBH1AM+PseQewuoj8gX38RQsxCLoAxW4reddsOkQRaPZZyZuRDd+cv2vVlHwYRGhV
Gsmn34znW0sdGwmBv+zikUmUtOCScaVZzsmd+5Qs7dMmqGbKRZpfK7c9xywyCy3/JKRRYiPmr6n0
fD2BrJbWtMuDJlrZtM/JAuJz/L0mtv1BE2m/8fvkk7wZgI8mZhkii2KjM49ZgoDC7n1STDnbvfGO
PUl0kUyhFjl929euiyRukTLcZC6w3hzPod57czuj/Y5p6OzkYOtXr9S/h+Ex9EvjnUYFiudimk6x
5SQ725zqJUnt5kqjQVXqsE1LWe5j22jP5tDt847Nn09q7BkWMQz/CZ11SWyQT5QFbl4IKQXyTbT9
HM4VyIOFdAlQCftsRWIdVHWt+LQLAcAj43ycj5BatF/KH58NozjDFLj0c2pxUM9pVlx39dra0/tm
k9MKxnr0mfv56LF1ySJFlajPK8Hgp1xmWVRMIuU4pTjjrNB7n0CHuRk+Z8dKX+f1kPME1YFLME38
GbnBU5nK+2Ky3tQY/cwyZxf1BataApaNrgYRCbTwIQc/Ssprs6dDaMZzZz+j3LXmk0gOPFFT0tib
7NkKmVd3YQXUHMUPuReUHfhuyakdab7prMh+BlI9c3e3C3bA3lY3jpjmiGwiaHSVMPBok2N3NGrv
s9K9fWr5uAONPcho7Fmq+goaj2OWg0tv7afBY05OrhV+5sLPx0UhWaJhj5LzxsWXADzKWAYpXPyS
TwczNens/m4+d42kmTY5L2fQvKdBsdzVepIuNE1BP6RWbOdyYjBJhpW4lb3yLqg4GfQCt3RDq9sO
rUuJDm9xe+V1h0s7cUZQ2dpj21ka43jsb1QR1eRfjNkbPE5cCOAKNwvls8hFeK0GF5o9h/8NRHU7
XULwlBgkzhraaXqLfL4hJoS2JcvIrliWAPeuMWy8OPO3OR+GRVebgC+5qpT4a1c54I9S+MtxtC5g
CnkXLLdmAYOwHFtTsZ2/r49IrShdvVXWIRVCMlQHkk/SYmI6knIWkB0+P9d834YFDjzSogxB7d62
O5WrG0vD5Exq4zOOqLlLz0UnKgiV8EyFhop2SKExLXFYbKuWg8LD05Q5NR9ezjWszbNPIzcPdeph
H5s5WUlc7DKXjiIAegR2Dn/25CfjesyPtgefKpr39rkGWLa0v+yKnUqQc32OaEG7UUWSvEbyI5XP
SwfEXqvZ3HH0k3uGZeBmzfVgs3MAzZ1CwvsCIvpkw1Y8zygRXAI6XOBHDHcwZGi9+SgNO14gb3O4
itdzu4KQDoDncr5scnCUeNKnLRYNbT1J3GeQ+znm3ks+OTCs/nODsUbE2j3E1xApu8/U1ALSie5u
GdSWvhXA6lekezxaffui5l1WVrtH1ZGP8zshXmdcHvXXBG/3Kpviz97gpK8tZ9vOuFcnpayVuDgw
INW7EIk/GssJScnk0zKej8f+xkcqO4tX++u2duOlo9EgULAP5a6Dz0/dyEc2mOajJ6vk4o7Wd5Z/
gjEb3hiD6iN0SrtAiJ+h6cXJvIdzOR6kqFPcz5a/sol2WiJrSO8Seg+gEgm959OeY8l8ZuCl98g4
Z1n0kbHiITYYhZEH4b4TnEF7K8nWvT88p+0Yrfw6RYQzNoz4dRUvaR7C4IYeqvciOGsTK5bhjk+e
iSaKkx+3BqFTnvSnXdc0V8FrPCYuQrbRrvdW3MtNPd41dLwmdEteErz4haiBc9cbdDjOtgtxDU4V
PA2YEQJiOFZTv94os+UaG1IAYW4o4d4X02aQ6gr2CFPLmGYPwkR5U7J8Y6QhnNIy2uTcsIMnujJf
kSldXAd2iw8TAs4WPclvpM//+hdGQXPLM/8qsaXFYaT++PI/nsqc//73/Dv/vM+//sZ/nOMv9rrl
L/U/3mv7Xc4x6c2fd/qXR+bZ/3p1MxHwX75Y37iC9+13PT58N+z8/57D/v/6w79ggk9jRV77x09G
zbTnVM1k5F85g4TS/M38/9/ohOePuPj+N7/xF5nQcf5BqpFtOaYB2sG0ffgmf5EJXfEPgsc9nOau
YzhwAuCP/UUmtNx/WLYHasH1deiIUDL+SSa0gBbargtoSBfkp83Qwv/z1/9Fmvj9sZFK/+/IE3/A
s2DxuLDeeCDgML4jnD/wK8pNdE0NGoS7cWEv5rpQMNNYoXQ2vsShfm+fiHBZTVwC9tiL/vZG/bsn
/wOwxpNDbbRtT0Amgc0o/njysrBLCa+DgPEBCjIWDnUkPACdO31dzP2Y0j3nG33+/+fTzqycv1N+
8Cp3dczT1m9k1EY5OOwtYLLlSFe9OdpgT/L/y1P+yT768w/9g32EtZwotY5nRJTVTvfCRTe6DpHR
xyuVvPzPfx6Chv/2dJ4A/oZ4x9BdBHl/0iabTKvQLcrbyhwcEEdsobbMmjtKssKTlMGkOpgzUd3x
AfqP7Nz+k6fzamqc2aLoL1KVcni1LDkbDBhmeFHBAMqpFVrSr79LfFX3YaYmgm1J3X3O2Xvti1dK
Qsccq9wwgsTwgjAjUyIIveTB+tXMZFa2JAAsorRgWBi4NTt1gNiqvkXOqG1qPGXhXOKJpHfJhr6Z
uPBQbZ2K5uhqsTHKfke4EIliLQynTD5EdEs4KaCGsclhSZcu22LDq7b2ryluJFmIfmNfqwez1p+I
3zZx+Eyg4WdsJwvlB3T5KzG7yTFCHQi49i332PyVdLobLnUiQODnySmi58uQ6hQrTbqXclGDyFHB
PNJ70mij7W3x0c0Td57B+o0Fu67mu6UCg6wGYmULa5UFOT7NtIsjyRGwrCMRwAdmGf+IpLvqEWGl
XmV8g/6/pE37Th/iLudm23XdRbHk26wD5HV6PlkCGEmSo7ORa8zVJZ13uyNaaUEqXNifAFAbKiw4
dMtotsiI5X3q2L2aRryrccuFQcZepUo4zyDnyxqAhg1GYmvU+zb/x3D8m8SJFr4+V0LHCmnrfCk9
zhvfdUtfq5ZbrdW7RhZzIAYZBXxse6Wd/1TK0UajBF5xYRTd0EIocNqm2kq5TwPTrN8d2spZyiRw
mL/zZbonNgbeGMGQmO4zsSZk1zVkmyIuzZ3lGwv1PW6+qrL7GLq2YI6+nq6yTvEHxZ/zrAwc2bxH
2B8Vxw71ivGgYY93qym/VVmvyaXFdv06pTHd1dl6mOtHu+VknXcmFSWpuI1FA4zTD+P0J5xiDaAE
nNaVwj+p68DUOzDwJAPh15LbQWmY+a6DtsKgxVN2fGoujnFpY7pC9ro5EMiAE702vxUALjtU5r5J
XvkmV4ChkBzsZOlPt54Py46JT6L059zQcI0ZABr0Qvyh/4iqu+6+vBrxpZI4E8HMhKHl/GtlMb7V
glyjIuae0xfbJ80eVXoN09XlhbQmtKWlWkpfHVG9qpl+KTAaoQ/M/aTlNTtddfM08QRyiMONpp3r
zMOFp9DuMlQUroWSHFBQBAh4abq23D9tDhU9IUCUKCyOSCAdk7wV3DL8h7ElcI0L7bksOm30AUPn
ka8FjKxnjY/4MCSAzYapAd+932qJvHDWvsER+O/2rdZUkwj5CRkqcKrd4gb5hPSkuFs2vQkfHlfs
GtKJPV3RkDYvOSg/a8GCYueH9b4h4PclL+V11i2S/4r+XWvt2Ic6ENQ1E3vT8cAbeMSwjDq23gnp
ODDF70LB1T4n6n4c0JnL5eToTnYgzZXmu0E2dS4eUa5B0Bi6C0CHu1IJvOTkJxJawXVTSd1g3a3W
CQOFNY9hkbblLsuiIBVRHFjrE1cj7PadHU2M0BvxhOB7wh1n6tl+pB8z6A0+YkTgIE14OvOY4A9F
/S61/hlC/JVgQX/Fovja+pOBgcXvBtZ4U4jQs+V9dPiMO0u8O6vV3fEGLHk2wSPeDCY3JpBWQRYy
vkYjaZiDhYy7hHhHh3syfdbPNbtjwY5cHtbbya2BU806i1ncp4jr03thvIpWJ7vVJdLLKu2bVeN+
tHkgEyJw5nqm8Ya2KFK58nQ7oLiw5P8uR8gJ5m51mSAlH6wh3wwFFvky4k2RRavafJMsNr9R8JL+
MnNFgBHX/iQBSkZPEMb5ay6quejfxP2wFnvefjHsp8RgFsoL6yf+sPLqW2qCJBnlbhDVXdGJX6YX
jH2AXLX1/08LScVO/ebp8t6O8114ayM7emBCh/87RS0TZ9N9nZGhnngeljZgUUUeLnHE1LxOxLKs
MaJ8F6l1b6tgjBsyhYQBKIkGhsXdyFrGqMu4SbO4aWp5K732x1uc7YihP9bX55iktc0y8XF1Sh6a
I0oalVmmzzCAfjuCYlMpj9HSXQaVj6KcuDoDo5yEjxWJquOTGL9p4HDxsSbo5EBSQPwnWDNl//HF
PF1EobBreijaaL9+My9l7czSl6J/AGrTLrTncjytrJ+Kx1uLXSLLJmU+dJ5gDDbfZxDRvEhaB1gV
NiW2P8gvy+8b1BQUvO2QHH9veBhz77iXsIfTr/VIP+V7+rPGPprWhJt1/V92ZCJMdPKcMi64R7BI
oHblzTG7C1v7e2LEf0SOez11TDyhS34Gr7wZHEgkXkpDaUoIhdSNYBDF56LZjZ+tqxoz0XojtRxt
g1haoKoEmKQyDQjG9Gsp85srxbyvG5QCfRMhInS6WzZXNAo8WDeusNdQGVyS5P1piZh9TZY3UfFQ
6JN8NOsEfE53aStL2axq+GLd+ZK+uDCTvZlKPaBZTZ7Zo09cwmibjTUFPcJOV94b7P6haenLJs9q
glwm76ePq12Ja3GLAqbZasQDdC5vAQoXLgALPdZCm0nhiT26aHbRWc93stH9DJ94wCqr7JqmBAyV
JhCH8GPN3UnIlwWFkurkD72OEa2w22XrTu4f0YI4HXQimBP8C60zYvnAPutQePl93BWBavGl2FS/
OmsJGtIYkG5obIDTOedH3SPhnqOe3IRRf0N+tXWtcleMHGuibDjJrB9OmY2sprXCkSH2eVFAQZkD
YBXyDYgysv7aDrdyW0u+1aS/Sw29fo0lKGk6uvLLcBjtFqRc7D0sYrqh/MBmPSC7jsjqyxkC+aPs
QJEUFbMagzeVVC4fZ2GXAIzyl3Gh+67jLGDkDG+2zonUsRf2CpTxxDUoKov2mslkAoOoScOclthc
nRVQOGR/yNrK8D1GyQz4bpC1P01CNnzCIt+VHrY1okk+jXncp45f02FiuibdDQvfkzK6B+HRs890
5kgovVDhTaEDhIl7LW62pcAFog6Lu1dMcdaX9sGQdnXqlvw1Vlh8RrQhAVnYATljkzWqe9fTYE9p
DbnVKeJCkKAcyyLsQtoajcaAaz+68t/ikCiZGYI+ngVHitjOuR9fsE6b9PNWXTDRFX2iuht+HGeD
PV2YksZM98VqJ082qY2xwcS0nzA3uXJALTjUtMSjDzzi0+a/F5G24AZma2/OD7qynL0pfUf1lK62
c/zwRgELiIxGgEqYuQ3wIRjr4jBT1DcljtAn9M3eBmS5X4iZRorZrDO6BC1jjxibInSTJ+bLbKRP
RuKsMYFjfBSEtOJ8h4xleFG11WqOP0h2xY70patJI7FKaY+x92YtzZc0Y/pgOQd4I5+Ra4K5Ikty
B41LW6av0eGhihKtuaSAp1mAORT0UY+yGbNbEjfqvtfrJ/KnOCW13b+OR5Mu0RdqNwy1Y/LPxCNL
ZxI4YFaoKyVl2XqceLfZ3EcBE/ncmr4WddSCqSqwyKEVoL+X87Sw5LYKAXPQhtP/7igWitRxU56X
6JIyDth6Uxg5AgMWq0c8nzXZkEs8VDTHTR2iKS2vtZLQNgnJnZAOcGhPSvRYWF9xwcXuCFUNMC5c
kEYXAbYXYsoxS021lQazG7WBkaafeT8W5PSmVCAZwkMP7pJnLcyaiBH2TTePiBXpIR63cOUdQmeC
QUNIoOjqPTWgbMc6MXpUX75XtLBPpPVREpPJYeuA+3d8LNOZZcBCchtHu4gtPMzWKYYh+x8yUzm4
TfknVRHaVJ2mXNOanIVLuDcG7cqmidnR0X9zGwMZNQh3gwMdVqr+uioi/V5j/vtLYdbqK6gqxTcS
+sMEpTAZSUjsVrFWr616EBvJztPaYSMQB4IOa/HAZ6xHve57hBPggyMAr7aMs5kiFKiYO7TLgcFd
6Q9r/38yzSuB9V8DBSujQaaYzM3XKT+bvul8lbH+UxE4fRQWR1uwhOSW6lxX2yQoYbLbA1Kz3O9U
GtC0Ot8Ke3xyGnrYWu2sUuTkELuAlAs96m8iIXzL0WSQOBmDpeHHElMUWE1HYTtnd0MtEkDZUh44
o14t+uh6AYImdY061PSxPXUcLVDLKGrbU2zmWcCZkpjZpsPL3g0UG8RJJfaAd0HNQ3tGPRs7UWiI
CXVC5/7pc83aClN5ThvnSW9Gm2qi7HaFsYreYI0jWuHUzHwPuRiH2LnpdlG290YrvRhW9Bxd0ClZ
Tx2URdQK2C/w4xHDiWC+tmi7j/zfDOpLDWcOb1F14HefztInW42MXumheYlxWWzRALDajDvDfEPK
1qNB954xAvUHTlYMAic7Qsy0glY9Uq+4484chMvdOPFce9J7ALFPRU7LIBkkxNVOVExRXDfE8/uC
3AHowvRpigLTJrPuoYivGQ7JQ0VnNipsCcxy+lxBnSyKPGcaIp5ARhW1u8t8jU+X270nbYoA9a1j
xt6hl/ipXVMwk7AnqriuP08ABAMzE3JvY2uFlexufmeaVJvcnh4uoCkWWKwtZTfK9U4riJZG4rwz
Wh3BsBXKhIpRaB6daFZLGq4IV8kYO6L5Iz2bsz7IzDnkUiV1vKUDsa9cFY+aA5Cno99Q5YFCHgPE
NQcIgLrsCes61bK59AXGas+edzozRyeFPZSYCxCrJCT6Wd3alfG30ppAaGCjRmYMjpK8ywwB0T+h
LkeTU82msdqP2gSC2k0aEjPz2KpA92A+Le4ErqoFyJOXN3Vpv/N5hjbFZ+gJ3P8JYUCs/9y/9Av3
dlf9VWfIAHWlHea6udWp8tHgAGSWTfFVYu8eZ9OvRo09jWMOA1nvqQequX3QCMjijhVfqsxhmMBN
2ugVGByw1kSJOyTvDgRv1/XTYFHJRn29Zpvmn5kRdxu1MqU/m0jo+TbPlUnnMF8hAFEwQoLf2syu
z5GDa6lSkaO/KpNT7RbbSsjsKa+6SwssRbIMebIIyopcMDT9xL8sodkM34RmPY1l8uxUZO+uU0u7
aCnZk8rGXsSi6ignQ7WUbZmYgglo/Qa/U9/C/KvDyA10+lEbol6xjDm5z1xnOTVwUIuYV8Cne56E
cetS82LYAoiTCmM6a8guLIzpYJq8msJ296Zlnr0FERaDlIsS0UnJuGycao3HBpNniNhyHZiVcKkU
c2dSoWydvAzLor2TKdX4EyqxaFWFYjcyt3FTPtqrFkKjmxTMDeVdD9NpO3Cwh3/CIhg1CGXb8bE3
JkF3aJ33qfarzSEJcJvil2JNpDQHGwOGesAyw0h/P6OagZw5/NiJ3W6z3e98vWr4uPQu5oy0jq7h
fq4Zg2C0RcmAstWiY4GqaoPYuihJp7Xr2vHpPt9RXnrhWt+hfhLB3L4R5gwilREF8aghehBCZNSZ
Mf+qN22b6+DwOCZzkZyLjOPPbCrHWtWfCtn9caoe3MaMUWgs52vuCI8FBeKLkdq72cmXMMGdMGha
5cuum7dzyhK2ImtzMrqYtecMlaaRTJsJk1maYDagJbifyxV4qtXTXjGEj6AT+3rRGG9D5pwHRPYh
xuNqZ6IdPtX5hACa+behNsphtLInHL/lodatm9EaxqniEBStS30Os1iN6hD5bsczB3yC4bOG0oDO
rxHHpd8qGDEMFVXPvBifSQejtGsedAfHmbFqHrx5RlIvRag7jsnj7F3QHYnDIIvDqOsPRVtbpwnu
gxm3cvebWFNCwxFjQsMJ6ws2j//2anvwCl9SpmUJVZPnsWFbXcJRN3I82mlqspVL+1Yv5a4cQD26
KPXAxFDCa6vOQrddTnJO9OgZNZaRzvB/hS+NXmAIoZMJUOZhkvItIo55Y+sqnsA5Of7quWrHEIdW
/q6L2R1muTiQZxUdbTLIOlHHO1yfvT/qZREIk1Zra71BdTYCHSiNsMVXUyp/C1BJ2Oom3Lg5u0Jh
eYiM+AB1pmAaHjoOlG7YMHiM89lEPJd6u8rJhD+y9mpJZIGz8F5dC30vmEM6zCjQA4tExDWJHU7H
sZjFyYa3npDoiF6PHVNONSeWfJvRaeOTqcJfYRV3zUabcyaRq6DRVBWbwJg5nMeh25rr/dUPRroj
Igqpbtky9ePOKRRGqXP3z45M2nWW/op94pIWVdDFabLNRUxp9NcWmjzHWyruaTcJcahL2Bi9pPmI
GY5nhcTz34l3nmRDaFkcy+HGIffUuOe5uacTHd8vskFoCha8MqGYl8JQHsaMMOtpOleVtooG9fzR
bJRP0nPTOHe2utp8eAITk0S3xnyx1o7xu6386AsTZqBImJZQnKKWTTzcaiBejJGhgoNdC4Jmgc7o
ognQEKuGirfCKWuQN/CcZ8WkgPAWzfJbL/+qJtb32WuzXXUHtRwg8Yr80VLFpnVaiAqrkCLHgjwx
SPSNVYjUOcRqegntOYv7D3Q+PsZ1Zq5Xysuvwio1pOWDVEmCJYJe5RAwsRE2nSAPVJ3axpIuLWLU
9SurvfvSuTNeDRi9uZ7/k3ICjzyXt3T+WDov29FFudgKVoUEEcG6i6ZgCHwSrjYKylOYRpbHSHZt
Ai70xmvZPkidMSnFXg8JoL7LHlhqLBgHQOp5Q8+1nq11G6Sh/SAVGtC9esB445dj+aJ8WRH69KV3
fNQzjj8nFoDPNOwbAy2VYobWmIQtwUyD2X601mEWOVrVlpK8s6JPO0rDCLkth6vQM2EReahVnFRj
Am27b8ZknIiUYGA7E2Xaa2cYxpsO5mpJNK0neRduLT5yQaYBWGA0vlY8bLqgFuMX8WeoyLTiaoO7
t/KYg3vWzUH9NNlnw57R6umTEvRWyRHRYc/rsW82dneOm4jp8aC9KA1QbBeaIawkPkiF4B8rucUY
Fi1Ra3QGIBiqufEWodoz2/bD1WeGNoNy44T60SAgBEDzlsXumTnBrdNY7KRybFLGz4suPqZ8bnzZ
1Hs75a2Jqf6gMfiWTsbLopgvModg1cuLwsxxkxsecpcGdDR3/AeuyWdTqf6agj/IFXHyuoEcAQuy
nQJ+yVaap6IBRtqxWeaLhVUBBQt9rD+/Mp0m9c4l9wL6qfofQfdIGQWCiF8x4fxaato7bFY+FlMn
QIb97lfy4tSs5ERa+i0xgxaoov/0GIzAcQAReE59pWIn2plthoSrBFcQT8llVXFolLVAlqZtiXrL
t8yn2ja9Z4Ka8XJSBCK3I4oU1uLUuUQrN5y5LcYsdiZsf+x1nN2HmUeS/NpoJNheuBvplg663Uze
gDXvcSe/62SbU2g/dPSXgsx0wdrZRLoCWKd/jkCxpNek25e8w8Uwd87bYhFub4/pVi85OiVJLQOI
ismqwPgVjI8ZlbsaDxw6gSz+6jSSVcryW+QVMV0Ec+RIp2ZhooB1z+fp2lks+ynW+k0ZZ7wGar9l
RtjTO04Dhq5+1kbDRRdKR2/Ga4rOZ4YhrzcEPkS9d5PlTi2/5eh9Vi48EvxCG9K0/04jq0WPh3N0
XxQx8f0ypCyFR8CHFSP94WBE4oVauD52ZaaJ2UxPeS1se2NvReRLajxWhaEhJy1v7hppN2QskFNS
H8kqpdofOJY4mvMyavETumEaqKPErt4cfw8sLQIa4BljccL71FWZQJztPE5ZVZ+RpjQ3Wz2Mhvpa
SjAwnVDtozWlb9nQxqj9CA0hqj1UajU51czqiISy71YrzT0+HdoC6Q5Ie3QqObuYjJjattH3osyf
0GW0V9sdDjUy0t1CKuwOiDrxqAqaIeMlmaevTkGlDdN/PnHYEycLy5cylR76DUYwEdX8MC3sJl3N
phtzIfTIZqXiM3OdGonRSI6edS+VND6gRon3ylsLGQVzyWER7hF1O3iz9Zz6uxcCEkflqz+hAGA3
mOxrbLFlgyi6EgfPxaapGhTWpTVc7IAW8AulcV5+5Y9iSsA1YDlNo47Z6MQYUeXi/S70KBaqTSej
W2+hbGuR7v3eupCeKPHVwgLmtAYBEsllAMH4KZAmbk1SetXSfVSRu2/LfLzCLsX4hQzLQecFbHx8
X1Vo7oia7vc5p175MQTXHbmcSDX6ym3zM8RJ4EZ8WfCJ0Eyb2iCpF1nvejeMxIp562us14DANl+2
vUvroq0pLVi0/Dar621d1czEZhqhyKDshnEvwg3S41E//SrAEuyrmAoWrPmu7afkWx31zPvwJGNS
JEdBU7jzPss5AWQO8Smqhvuvhuq9jUz6HcUY3Qbz2aCxCFBgoUFXBCjukJIVeAnpDicocgNvYVde
uoHRNwCmkE8oG+V81MCNbKtq2cKE5xk0yoXzCS9Sp97Q4cvue2A03qo5ovaCK6kqgTupP6kGDsdL
POc4Okett79I0POORherG1QBxjZx+un6+yskz9qWG1VjoD+lIYkEAGlJakS4ijpXZYvoY5ISTcJY
NpLTsd8griMjt7njzswPWr53ppuu8MxmfUnuQdI1JEvOAP5dVutYe9PT6MS8sjhqo8KTTAbealnR
HrASIjOXI5nkiCOTjMSbiP1xL5TpkVQUILhemT70avFdmOwyky0gOHN8tCO9+NNmxk6o3s4ozL8w
qqfbYs2UkuljQmcmjJfsq1IdxqS6y9RGI1xriN4xSTmM+w3ogOX7LOOBVnbBqdG5VMkWX5u3Uew+
u3qrn6ZdRjwfaftWEfMSuBRTsLpAemH9yP7MvHKeSVSglqC2a2Jvi9MV5K0LDsCis6C3BkLCtkl3
Tm3/kwzgLb3gmW0gc1pYyiuZEQxRt49y3dBQYRqNUNnwMqxTRkaKRkretpbOP0NPFlSPARFdxONI
HbGxUug6Vbuj9f8VNelF6as16Fil9ZYgDCw95hppjDTYiaO3GIrz+5pcbhCuni0vdYtifHK6b4+5
/FYB/mnS7216NJgM6JGkZyMHZEarWzNL0Rw6FnAqfTmqeb3woij3ibV+0NL23JAEz4xw7A5tk1/L
pgX1pwPCt/KO6HIGWFo0foC9q16mgVasl0PoEN0dVnd9kCkKTU6sq3UPRJ23JmsY6jHqoPrTGLs6
+bzKm+N5x+lm7YJP49lszASoHqRIM7rrlGe4uCyyRpMXzRTRlo3P5Rg4m4eIH7WorkzHj5Gtwg52
QCPHlXvBIN2fmlL7KHo0kRPM+53kbgR1yVkO1eUSkO0udqXC8NOs8rORzz86A5HtAL32qNNb2pl5
9acicRwR4ERziCl/mEzhSKbACXH2oYvraGdbPacjXd9NmcLNtywkLNsE8GjxyHhXwW8qZQoAPV61
ExrqVIdG6VzJ50Ylls+22EI52CCpZNbnOkv75JggtVv0lbX3KHUanTbxxUxdMOUpRh722fiQm1I7
NktJrEKuBxVM5X1KPUSguRuStgDtINYoO7ykO/7+VLOLHw0NgiwS9+X/v9RVbjANP69Kf9i0w7bq
rv/9V+aH/NXvv217sRh/fr9Cqr5kkb4pECtQWYAX7k2IzoLrSD+eL0uyWxoaWXRX48YCWHt5qVJX
PBSSPFWtio0dlU3pA4TyUKAs3s3jCfCNRpvBWDTeXvPCXKliOJPxgwe78OPJXmqBZdaLyDHgZqn0
z6p3vvPbHCvaIe2JC2nm6KHp5ClPvOWR95Ae1QZDV2ahpE2HDZJ/70HVmwYjbxzMsU70Xsr0mHiW
HAHMt2WxjpWq6SBsy5nv8/2eNTb0Bdl0BB8pL7wzvqtDZfV1mDXN3zzJezoJ8m9Wan45ReNFxeG7
ky7MQcIi8Mh7xiUWJtzwgmtoYBKcGjmEzPUrpPJpfirLaeelfCIluJWNXlrjpa3h5sHZ3DfkzO91
jkxlVoWpZ5xEGuWcrMHDlbUIlby+TzrCjCwqYZqYnCCNiStYDm99Dawnb55nOFSBpvePtoBdLG2i
D6NOnOhJQeZbsMX0xWgdlRXNlWi5eSBMDyk3HlB+W7Mg9DDD6x9aixzSreLNqzG+p04orajh8h6h
+NEpbYkCy05quT7pAFyw107pE+iI6ygdZ5PQOQw00rWOTPEPrcp0GadbiMad0kfG26zEaxurNpI+
MIgJSmiScqQbOo7RXYeFE1Tc9VdD1UEMLh6g9Ik8uI6xGt0Ha7ij0skovGdCj/TmQAMQR6bq7SV4
cipS+GTz9wwW8w1BxQbv4JGQEcLPO7QfacK0ua1wvc0WvbxqxM9pe/oQ5hU3O2qtTVtAJBm6hNFX
k8cB2Ap9Myg8/3nTfC2J4YRN4j41jaQz0TDFbWdG09kqQxoTKzuZkwX4QdjHmdwINKbyR88kKQTY
Gzxmd85S/2SG9WrJ+R+xNMiKUvNsOdaJ2duWxhDNSOg1a2fpDVkegOeheuEmtq7mTEppLwrs1Mli
PtuPrpIOtyGFu6LHNCxVLdtCd6rIwolsuB/SOVQQohSnhLnKdAtamGHxqIzOBZi03FlOQdOMgnwv
+tI94T+GJdwp3nEEuXJooTIfpcXb4PYvD7EHjr5W644axNPP9hAtuynXjUsWNS45LqN1rSMm7Fly
6VozuqKHIqtGz9RHR4uqgKTLar8w7UHhgna+xzn+pNGH3FqaNT7RgR22UrGUJwO7yKhwgHPjcnru
TUbrQunTl9YkbFcRrfoyeO2MLdMp70h2YB06NQdgYoJxsfbTQYsoqEyeMN+uIvEqKWOwmObiFZQO
d7iVNq8xKEB/UofqtW8ZIjWEJr1qLo5xQlzyV1U0hU/7MntFfl/4JIIkr79OUE3L49doZr7Uc0i9
TxUigiLz3DsLEw35rnHuyKtqH8+reMSsHWA01+lwI49yBYrE399myaJf4W+rwZT+GQrShBrJbD3y
FEaLrfJI+rx1SO1OXqPYHK99n0qw0o1xHhLmmOuf960kpMkrR+ZUjnXptP6EK2+vDbb72ufuvZfo
IqvlEzpiuoU+Sk8Eu1JQuvHfbOkx0SWC8XHcOVt7AvxoV9kU1hJqcjeA3XdHLoQy1aRmYZFnXjmH
qRCYl0fbDNqa2ahQtfmicy6hMZIbQd6XH8q8nGGA1I+ZnQELaa5SGvWuaHPnceEVK5l9ruLs6GVt
8VRaLMdMgEt6rx7r2Vihi+L1Rzl2g1zqERsRE0GzQSlh4jlfRY495BRBA1wJRJrY6AKc8WKZI9MT
GblHRDtYTcTw1MfZqRf1sms7ybTGyh+BTu0HIbPjtGq+ooVFfhyZJ5PAdo5qV/r9coxax8Z8kXKy
4zjFJtC/V2q97BmydUE5iy83ymi4YWNdV+2Y9HGwPoMgvAEUSyMsZqNrXcuUxIfUarG4s4jgrD+3
gq3BTlqmfvZuiRFiIQRrEAjodHkSA1sGqT6AE/Bue8Wocle5UJIs275kHDYpmkCRGPNw0gA1bCpa
wA9OnZ2ZfJ0AiQK4i9w6bNwUw2Ahpj233xoy9qCMU4uIFb/jmNI8d4AwVDMcRxM2mG8VibUfbJua
fqq2GCq0ABcElUPGYNHM7p2ttY/xPIEZoinGsk20SN3isTDQjqavyzIuTzFtBNx0aFsqQ40uXSIT
38DTPZBZcEQSBxCO6LEoKVhKYuHnQwuLcqInwJtcIAcSLOcsmk6n7uKqWn7tyJWa5WCeC4LZA2JP
3KM5EsQ8pEkJ3WTGH6GsdZn+wFQQoaphvClZ8z0X4p4gZObOwmPXMCyfLM1YzRklxpyRuHpWrX0R
WzQta3q1mF/PatTRFMhm4NOefEBoMTksxx78rCN7fxTMdlL5eKze6on5yKx6eE2GCvzKZMoTaElj
pzsPQHjrbZcwsBkavTwqyaiy6g/nCXkZRiUwhplbt2dOZtd4icZw4H5jtJ5DAUnqF8o6DbURgR2T
Nx37yRT07kf4KiZI7rkfQiqT4mg5igjkjBKvjv8qqofsnZbxbh7ax3la89jw+ezZQ//oOmVQYrhr
82cvHHH1dNzKZldkYdW6xY5ooDbwotWjacfHwS3ZPBtx6wwq4JEDAUx1SQ+1IoRnmSZmsZF65mQD
mMoZz47ThwC/BWQ/++G3cOST3IjSVnZJu+ydApRhYaEgGK0dmlT7ptgCp/NgFcHA+wnhUV8sBzlu
UY12kKvU0a2qowxX4utS6s25WygvFGMGUWGbtHXIG+C0Q8tVlujGxyx7NeKoOOYLnF1Vt0+e3YOP
sPq9mWWPVj3TJSligoBbczjg96UW6uNCO8X1oJ2WkfkgDEUaoeuf/f40rr+KFg9ZmiVmmtVlZ21L
GzCZsDsSDBzSP8g5U3w8VqEZteXBmGb1lK5/8fsrvWLMX3krY3jqQeleXDw8t7HfWbq/QEPiPj2m
ywaVqHsb/0jk7i/xtj2kW+2x+uO+j/+8M/mpZoLXOFRo/ALT2pqvlAvmreVGMAN5w+oWfRgY4eSt
a3ceWkJls7ZVYAWaYeJttL/xGDa7bK/ui10V2P/4g4f62ea/IqPXqDfqTfmq4/O6Ln+dDBiRj8jO
eiQ1h+BhcXfOabhcFDVU9q8CAx1OUA74D0QzeS+MCNVP56BfM8M3nvNP2wnNeruAPNhN2zbfVl/N
S06jrb04zQMsaPsWv5JS3bWfY3NhQVhRIewjjDKrk9YFsFkMfTvgdMU5eUEZXUKFrGjYbT13lzZU
DEWYQT/aIYXRn9rPGiTFviwurvOiKP9464jzQuOe9z7SHnpM8qs9ICzpGUV+wFidriYyLeE3x2bX
5i/lM6duE1YBKAzkiqwdNzwkw6F6zV6Vd6QEtJKwPQT1brAC49X8LPSTrm4McO/Jd38x7t4RQnWx
H0q0x/uYYeJmPAGQK2HAb7L38aMcN8Yt2bqPvLnZN/9NO/lGFjXcg5fhVQuJpUBqeyFSoQHK9cyu
hoRoR8WpBchFxqvpbKBfF6gwNtWdVCbUJMpLBswGN+cYjP026q/LQye3MGMq5jkMfGhXbuDty8wH
Xfgs99hf6pBhj5IFTLdOYNO4NvOxOpev2oP1UknftG+Dvi9Q+F7MIwC6cQB6F3rP6s150eetzo2j
HEhS4Xj5ZzjiDVjoDWe+ci5P7oXGMYXkS3YopvUOiKk45n38xsBuDKtvcWn/KreJCLTQ2JX/I+08
llvHti37Ky9uH1HwpvE6dACtRJESJXUQsvDe4+tr4LxqZPIwpKiqTsa5mXmTJLDtWnOOuR6X6vYR
4eSSvDZ+zAX2K4IaqskfFUfeN5JEDuJB+uwp989AV2NzuAMSX79ih7iwACfKOsuXUmB3qo0So2ZT
PVhrH/F1NTfWQzITlXX4aIrzhptsvzEoMjNVF825WKUH7uFoCQZgyRv/iUgzS1/wRipaLOWi2smz
cOOd+kfBDg+aHayNxzK914I1Mc+ut7hIR/neXXM2jQBEXmpoG1/lNpmzDFYUS6itrjxoUChBXyC4
PJdbF8XmpVkRFv8wcdrRsc1qx5+y42b+oX+LN+XeuM/tt96fVzvFzpeocosFnudL9Ioh5GQc0bhk
z1NgMUzmpRqtCA31SZL4Dr8h2CCeqIoZIsSDqNzXjrSl6NO9spQp7/T5JkE9CnCb6neMLO+g8GBQ
ajrpyXrXojn+zkdhTssEctG53podcgdHeq9exYnzNreWwr5Yi80cFag17+fmc7E2TxLEqA+gfIvS
bu6S0+ToQYpLVpgTneLOEc7UisKaV0o5SDwDevmonsM3cDnF0rC142jMyksOCvbEPXH8BrZYx06y
E0/K0Tr64ZoymLseKSAfeEJc1sFYm7PqXVAXtc1xI13SJtI3/ia705+7lfHq7sqtZ6dO/l2tfHce
vmPOHpqZRag63RP+47NcnTXizM0c+nTbxniIj2DyglUrzOJH6vbPojLH8qkutMnVvagc3NaIkZHW
dd+euAcxEzZsiTPjEx3nQHaKeeiQ1uBDZwU641ko2GsYNLAqB+gmSPNIIgOpTjLXmic/y5/8N8HA
azSvPrix9st6IKRzRjM2nhEO50j3RKygHSFCatvsgpKXzWAiJ2Hamibtw8y8y48Yzc0MkhC9na3Q
2VBcEUAjr9OX1cZ9JPpShcpcPiCI7Md74STTd3wIH9FzC5SCZ3FiYyCV9oOD8U516JnWc1bdD+9g
7nOQhwtxWe+EU39v7cY7gSYqJ4a9tfO0vfvVwRvckXFIBZiO6JkdEW5F+qydjXvjxTuxJbwYa+VT
2FUO8y/kUk/BIMGPNved8qncIAYKUIrOxTtriZlh7r/o394WmbhH83UmE088h+BLRwKWIgMY8uAs
sGnkWpvKQ6dAGhCTeWFZS/NUkvvzLXpLYRO+AiByH6S1dFc0b+EuucAZo2pH8NwUpD7n1oZMBi5O
x9e5i1nKBtcpWA/FzlbXVbHw1smwCr+tmhSNmbnQOrZMlTigOY1ewVp42oKZRYYwNJuXZF3lDi0l
NBUG43wt7GnBorIeFgpiGRogznj0U1uUZ+nSg+Q+95cG0uyjMszkVf1k7SXRzreYIDVjVtj9Trct
pol0JzxHy9rh6C7fB1/ePswW5qfYrnXW1HuAF2gXmoWR2OiEOQSpH6lTb+lxJvzE4hG+3dDN5XTe
b6cA1GV2SF+sZ87o0q4QwHADd1wIb9T5keO6n9ohggh7HxHv6Y7oWWb1uyWi00NgvC9dloUFPL+T
1x71fjNu40VlV3MPA5Bd7AnXe08v8nl4TmgavVP68TfmFkqLuqxe/Kd8WFYfTDnoXfVWeRceeLor
iWCcBQ/M6O54EGMxB/YSnCPfsaxj2M0aaS3TRiOtVOAtMadnykUMNrq57NdatAOH7kj2iEjjuXZq
lLvmDEaq/unCausXAALFLYnBxr79roHwUfuSqQXZ6VOFYHDePgovI0+6XRJ6TVASiEb6Tct0eIBa
mW6Jm+XuPyt2vqO+q9axAZqJsmWYAxT6cNeKMLdIAXgINUcgoeGRcEj8izVMHzxbPLwtBsVhSaKK
lzvdndbsdN/GjQF495t8WcKnNIBve3ry2hFkuyKcBs4bwVx7Ko8dMvl3qPVY+XF63APTRlKDstZA
mQygccnEBPBnm04CPo/sCQgM90m+ltKFL85pWCF/aLZxDUJ7NqQb+YF/3yApCbdBuyQjot2STD5p
KyPQ5TP6SLq/UtIVlHju7IF+5KQQZo+6uq/rRWWeuUgKzZ4DW/5VPtQWFE3H5Rj6GiZr6cgChfxJ
Dh4pCqYP1V1wl+Kp3HTF0js1l6iwITMyY2jXzIjKWZM6sMo/gPb6bPpP2l2v4FNZcStGGaA7XgYM
YkNxjuMcKqTg4L2Zr/KeRSL+Co/tq0HtziHe5DXbFWt/02zrF/Uhj+2BjjCa0hNkQCLqCGmZ+yOJ
uot8WRiO9VontomiKNlmpBKkd+SfYAH0AZTceeMp+8xfJ5wN7k00DyZH8y8iRLB7pN94uxL1C2/Z
8Ix3ERtWrANDQjuPhXHOmZFA5rsSpsqGMuk5tYNmW53odroXAZjgfvzOdvopew7NueuYZ4/j1yZ9
woM6V+p5jzdvn2uLnJeFdUSfF0xW3hKD7VhI8xIFyjx+5BxXp28eSbiURvc9db0L3xNzKOYBtq8N
pBMMOuYDHTc3v2jtUbhPTjhletCKTDNuHUhF3xF7jl9sbAXGiC00VWqU7la8oFs5Vdw6NoAiNHrt
B9MhI4rHR2C3dtT26OjDp2HlckZ9Z+ALUFo2nFsx/JAHPE9fg2JRfjU7iMhMGbYnVHUI8p8AdpN1
5XBuWSRH4M3lQltlm3gF0mdv7nK8YCan4Dm4yDtODt4rcybettkmxwKj2kRk5Sd9JIl9NfltIxTs
S0AlRIeippO0jXYwAFBvqatTp1DBaiLlXwEEoeOZn2j/eq8SCxYnqnCBsSTdRqYdP7kSebifL8Jr
3r+K2bElTu+ZqrMHz3DFCSqwkSggpOZ4RiJ4rxJE9NDkhLVwrK/x7XP2EWfWJy+DXTXiGM+FZg0U
ap+c+0czmLWvRByXGwBhVNk/B22mnTG00J2UCJy5L2n5rYoLYbsArh9IDeLWHlRbn4OfTIbRyiRP
+pEJmqEcX4GUO3o2IluT9XNDxO0ue2vNmbeNz94h5wplcVZqEOx8UQh4UN/pz3AR5cBqLrHJWDsU
yxAAEYtvgvv0ga8t3Yuv4KrOFDP4WNxR3BFe8PpAA+UsLm6zBS9X2Mav1O64KMRflbtFQDJ12c/e
J6sx+UEoquqDecGw+x5+l05IS2+dL9UPd2di1nS583FGnmV76wEvI3W9fNdtkmoOFnHpfyYhPSzu
Qw6phsyjchMu2aMYLw35A9N+3TxT+qiLOenPXBoW3p36ILwkK/FDHFbgDEEDC/cR6yHCTx55/Ubo
hvpRAtfHEr6oxznko27ttwsQzR/utrp45TZEzLuWd8LC2CTY3PxFAffDXAMXf7HIPumZoTzsbyT0
AtjzDT4QA63Ewu1Xmm0dy2P9iJjzYsIIwf+I8JO5iiJ0Nex8SMrL8JvVT4oXOgCf94ECnzf7avM5
RwSOTeiz2eXrS3P0lV38qT0zOh+CN9cmHt5d9MHC2hoHCX/hJ70FRBfW+AQRO1saClL4mfoq7ESn
wCi/tGChLFj99S2tk4VPNAFCn2W4rjY+Fvh76TQtNpNIjDucsZbu8+kSa9JhsKnneYfhUXp+LiTa
8gvKPjRt8ZyzMRavMVr2eb9SDwwcXpJ/lLf+F/ZX8wEEaPAdntsPNgHhJK3Sl/Q8JDa5lvrRtfu1
cWKNYlIYn3Tddspu2IAKMl5ImQMyMxKoM+9fam/RQAchc1ThlDb315yI3S+U41zX0d6GXypXDE5G
KoTemb/HXiU+sMp7sx67xT7EA3PODtkbcnSLKLo5wgBC7dwH7+Qzn2buJf5iDLfPHKEHSFRz8Rjc
sRzJLDlYzma0u6pLddFeqgvLo/9ADOUsuC9W3YW7q7pPd9LK2K6jo7g0nktmW4GgNFuxeLJYai+c
rR/b186hG3PJHxGokdqKjnTTcpReDc9c2OFdVrscnWSxqFYiLT+afU/WhtH0Xh4Loni9OTxIlozu
bD4P/dZatAf3o+svYbUSElsT7Yx0GXb9ee0YB9LaufpNDh8ucR02xpn4Mk2gHoLXNv8mEEF2RnWV
cAJoyPNwPJt/MbO17XDI71gF0Rxam4EvW9rlg7bpbZ6AuFOWFQ3BRzzG/oxoYkoSZP5l1IXYKGlu
HabjM17C95Rjmb/sl+In0QNRtWQBvwgs5JNwYZY7xj5/q56xU8hcPKWj8Bhoc0+rW6ZSo9oGIujO
ioHH05rZ/PkTaNoWB2puLSpibxZGyZRGvI+h6XWKw87oa5ICTddNgra9hBoebYM/fz9ChJVEdcFQ
saJtJbUEdJXs43ieXFCVGKaUMX4WYqVaGbXG79YrQd6IWsofPRMur0rtrAhxlwScvVApoxDtmvtI
DAs7JvRx4ectVueBydBNfwmR3cwbOht4vEcFGVy1U6We41Kf/Z+/9Ga5b9RctyPdjzc9ecBqrXKg
jMu42Fhf1ldWWe3OApIOnD7LKMKiT1gmucBN5c9f9JGsdMGzaS5QxERgTLJjGXB88M0LIsvS8XMO
5ugesSBSeFbxnqLkoEQ7EI2ohWchuveoWHS5ZyIakLA+l4dOlT/lCLx4Gk7ca/Po8ns3AQQ3tEzN
Iiu4c5Hv1Mwt3N2FN3wpubuHMC9zhPUazGPPoS5XTBUR/zEvolFlB71yQubbyPbYH42KGIMRqwWV
GRpnbv6kVpdBRb06/TkwexiFQfUphOHZAqVe9tVDLYwRa6Q6z/r4rdNzSqjDZcgFxa5V6KetvpIG
4z4aPCcX5IPCxRO2/0MqqSeD3LmZIZMSQHAoUTIKIUXu0aW5s+xq8ylvRm0VeaiB3H587Eb5jtfB
AYasV+pE+acpgFMy2mYB5fnDlAnXtFwfR59PHmS5q9K+Wje4rFhn4nhN5BuLVu904uAfSgHTCWaM
wXaLxm5FL5hPUDCYGcbejK1+26YcMkmFXinQwWgDjaptWfIHudMK2X6GOwsQZ0CDd/GPXsZG+1a7
UkEkwqyLmnilxRwXpiQvDOyHsPC5DUvm/D//9b+uMDr/BaL+PgvSuvrv/0gggPIsHrwsXX/+9380
1TQRLxmabqm4M/nQK6CL3sdy2gpm6XQqnIHMAlPQsl/IxFBVCbEuSWGXarjJFbiShFE//vzxf/Nd
pk+3JEU0dTpE6hU3x+i1vtYyo4T71X27vboQK4/SQUgVQ5gESoQDUe0S8Ur//LkS2KG/frYkK4Zl
ajS3VHn6Yv8g54gVUFe5l0o6LeR8lDjFSt0OjO5+0PHCjyJq+qTcY8Pb6xZ6TtrJ3GwzZa1a3eaX
rzL9xus3IMkEbJB0Z/GNrt6AFGnigDy0dFwRLEJYCGAhhC8fDrYj3PmQ/+hPTkAYhm9P96x9JMBi
JBxvlbXe8MtwMG58Fxn+lqKYqiZb199FC1xJFrKAXjloYJYHNvgJKxAP+ZuPF80VTPWXN6HcGoAy
Fg8Di4moq/rVm4jo2I15LhCxnlLuM7rk0VA0dJKctJoR1ub0+A2pfs1zEs+T1K5wohY9R3vkALhM
4o1CDAES45BYQS4wYPZ5Shr/JzdaYbvFcVWWTyYakHxAmVonvN6c2BOklZR1U9KSimVg1sefX+qt
dyorioFF1pyoV1fjevBUkg4ir3LMhI2QPDYoOUX3y+T5M0ivR44iM3c0Ef6WYcj/HsQ9TuehtuTS
aUvtDJvm2CbGtjMoftfMmJwSrNGlxzFvwTFY/KEz132o7fF/wDns4qPuM6LiKr/vSKEwCQPGB22q
X1Y9MUvy17go9+MAQCPXC1us3Hux8b+zMilXPz8s+S96FmuQIuuaLFqmBOJzGiL/mIyWpgIOlxWu
AxZHU8/IoBWAOGxotQwJ73Qsg8QBFrzuoT2JU1nZXKVl/ORJMF39CMKI3n8R+v5lRiXAQJgLiget
YOy8ezeB1/vz1725digqjbuJOSbrf/75P76uUll6ZgR8XUbWvJGg2mC4mo8TdkpK2seIlvrk6X/t
tW2oULv0EMBRk5nFplj/9l1uzR6FhVtUUdQjDL0aAh7CEkkwh9KJNLonRhENi4k2MvjUhAq5sD2N
+VS3tNg92hidn3z+/DBuTl/F0mRVhPOmMxCv3h1+k/8Zgz2CokUpyRSZ2wCR6PBogtmcyUo2q6aZ
hy8rAggyvZxWPoUmdaUJJ9Njk8PG3n8RAMWbRuw/r0PpqzYiCq7ePo9z2D0xt2zCXMk7P7e++w4n
YouNkoJp2G4mylI9Yah+/mE3N0bFMnWD3VhWzb/WJTSoDCCxdKpsqzWU2HUFVyCqtVUPaob0l2g9
StY6pnAeQn75+dNv7YuMsIl4JgLcU672BLV31UZN2BOGidMjUJroJvZ524W25BmPoZZSIOnqX37z
rVVLFSEmqfB9INld4eQi4sLbIe5KZ+x5lwhuXnUze/35l/32GVe/DHyyjE+UAYvIbz/qpa2ayS+L
780xyWSQeH2MSiIBrsakFcJqkWsmRSGtlI4WwMAqYvUMMC1Lj+RpU/hSg6VWNHv8MkdMTTTj0Q/H
8S52i21QtvtWxB9qyhKZeDFdKoOKgT/4r0HureqJSUok3AALbHiEQ0JldAJGecZDHrjvE3DMdFFp
/PzgpGkq/3u1V0RRMxXwnKKFZP9qT1G1vFEEYEGOhzh9VrONz1RCyWVEUBDJmWZGFT/i7qblAO7G
Ewq6JjlH3xyK/M9fxbr1TSC5cljVZMm4XnQK3RDNIVcKp0i/BY9muy9TvzZqiT7uQNhl7W4VgBW+
sv35c/8+naCaNBHWGTpsffPPE/rHwmt5Uj2WUVwQ6uIvDJk5WfGw51ne4kdj0Z3yJ3/+xGnEXz1z
fp+pGRjnNUW9Ph1bVRCMRBXgDlMh9IYosznKPudl+PT/8DmqLEq8YFZzdfrl//hl5B5gLiuNzDGp
3YwuuUuQuMFU/3LWNJVbv+cfn3N12BKUWCd7k88BSVELlrpA880tX58JPbIAKVPpKz7EQbYm8K5n
3c5f1HBtFOGZn0+toW3alWBNmislWSrosSTFF1chJ6HZSGo04ZvEOqiUoAjdDJxCBXDTeNSMyH/E
fp+LZCnIyFsghaPohe7TWCaiCtc7ebCWZdnlmh8qa62ovNXYrrLET4gLp0NHDFY2tzwVAXxWL/1s
/MBnLqw7LpR4JjvkkfTy8+ajNUXkBZFPpnOR4trpo7fOWHA9pdU2sZCt2HyRDJQSYB9zzE1dvcjW
yJCkMz7Gjen5L12iiwhXoetovXqEuv0twsRbRC4dbEMzqWGOkrEqNe2Z4M9wvOfSXNguFdbMogHe
6thtwgjxgNn7T8E4nr3g7ueRIt3YmDhQGhqLgYgyTLs+LcXxKChc0zLyjAECyH53auP0qHTyySyt
d6oR7UwcoiN2nouVhPeV5atAmjqs/rss0DZDqp4wrz9rUrGU/PxxFOJXSScrU1ZqMt5j2R4Hn8JO
ocPx957KVide0XebOaZEuyc4qKzwVxvREVsbXSrVf8paWqcCQFDFeo+77qSRejXWzUmGDF21AL/D
lIZIYh3Kwl+q2Ahrlf9DGBPH0TcLv8PLGR4TWd3hJTnKdXvCMueVn+GQrhVF+hw8yXYF0N4qhQ6l
lN+aVLLzntZjwGN3SfNVgyCm1LSEJI24As/CfPqestpFi8poTr4uff75/7X6rsqqI+rbRdVCqJCR
89WxtYFK7mi0BZtSfKvC1nF71jRJfVbkdI3PYhMH6X705XtPU++8CDaEXz4KY7bH7QJzx/cf/S56
KUmQ3dU+TB7XEx7qtNqrjfFJhjnVfLO8ZNgR76OWqJsUvvHYZA/cQRlTE9j+lxFyY6OQLWipFJ80
VJnG1WLiJlBL5XJAHQ2GLPPKYVNDLp3rFnXIpNRWULQ/AwTsSDJK5Cwirz2qepqgrtI5v3yXaTu/
WkAV2VDBTViwPKzrKwpVlrbt8iRzwIEgTydmWggmoxphiOjlGl1qyesm/UrIu7feqD+kTDxVJcoa
3zfVZdbmdBNNwVt3df/LJib9fetQuKGJui5LJlTM67W99IZW8BudRGMsA9S7chOpLI0XxOXe1u3L
FzcZoRMacuxUBpwtX+jWDTkrv2xqExz5+hHBt2U/M01yADmx/Hvtr4eICI2hAS9rPkIESGz8f4mw
/MMNwdQx68N+2KYx4kSFxN+JplFPnnO1tZAVx/DQRf1DS7YxdgLK8v09vL9xn7kC8ieMJbIazWUL
5axb1otRF+6VNua3BLUMcQ62lkrUitvoMywb8S+b562VivsR+a+iRm1Dlq/OYVVU53GEpwpCa3Oo
ZYvWe/kGg2rWxuW56NJz3AxIf5QRWEz29vPI+/sErU67qWSAhDYsTbs6Z0ZtjrtJCrGjmLSb8Cst
+mE4U61bBXqx6+TkYRQQD/38oTfGFKd2cNeGwcFIEfWrX5xXWdZ4bRM7WYTkEy1hHlVvo94A/Qjv
NBeddIpHrn9LQuOIivrz54//cwT892xTRYWfLUuqpOva9cHMC+I8VeOC1DutVukttowOXUZ6R6bv
qN6FsX5sMQfQ3tboSQugLTqqE0WrznrRvJSNcm6mf0zQ+91Q4eXPe5OKSfY2DA9KswfjtwkzLPpG
+dvb+nuZ4Itz6eDQrml8/WlJ+8f5p9CoW+tNwhfHdO8ruIFH8zPEhA+C8pfbwa2BoVD003lMnIS0
q4/ykQq7Zm1FThTBNTBweHiGnWjN3kDnjWWMG2VtXX5+MX8fmPl5ENMVIOfTYnN97FJzwJqCSUgK
611k5W/ZIJ1BMizEXHr888gjN1mqsvHLePz7+KqKXMkVcTqs88FXk0CrKGLUrhE5QtNshrglyC66
C3Rx9/PPk249U02k3KWQ38JjvVrCOHb1QcB/2/FS7ai33OEJ5J4KbmyV2UshKLtIlVehqK1M2AJq
xSpbKjitmmEdIAoEUkWshUJoleD+NrJuLEI8A0nk/G7Kos6N8N9DqxfknjA/bL8lPqAx8E+K1rMG
uLs6qLdN+yIRSDjTQxhR0m9DTZt22uv5OC19hgYkjJ3m6rPZQAig8evIsTTgEipGPyogsBZEI2Nd
z7p1DdNthkETXAMkkpQMZn4BquKEfMUp4q1r3ZGQqGD/B3hrShgBTSa1IuE97pMIYg07ARHzTHsK
ZpJcLnDGIQrJm3TlVulDrGIi7yeCzB/oWD3lb3q4SfCJxZOj7fyHZSAU5lLrgBf9+dcB4lmwk4A+
YSKn1AoOrute60rb/EllGTNxMsWTM20qxRz2MUiO4J26Hsq3HrifkLUOIC5rLkvFG4DnVT5dA34Z
cNMk/evBmtZUmpFMS70ecGMIw9VXWeiGTnh1Q/RyvrbUh01SokYrAKK4WrPJUkgkmKY+cecslby6
//lL3JxcRA7QvrBk+P9XC0miFhwevCx28HQiqeJni5F0No36l0vbjXojI9jSufeyqOvU+v49gnG7
KWlepLHTKTSd0CaaDcgO1umqaDccoc4wD9CDg8uoFY20NnlXuu2uM8ffvsjfJ5WpQi/RJjIpfvL0
//1FxlDERgya1ZEquBcNf1n0pV15b1EyPGuTlfNPvk2hHSYjfGK+/98/cJ6CyoaumqJ4XZFjGuht
5LOaDZH7OT3vEn1ZUrq/LNby35dkimCsjPQZKN/L17O2r6JUGjNWDD2ixWDB+Z/FeYw6yzhGA9El
OmtWqNRO0OrWrKsZ5QDJiTwdVjJRRpylUZpD5BwtjrxT+y5QrUsCM0d2CRvokQdWEgKn35fhW6sN
MRSqRNvhRlnG1EsThF8boexsNgK53kKev/Eo50TO7wbx11X/5nOSFVh3YC/Mvzo3MQ/J0Kl+OUN/
J0gNSOQof2som4KENFHWxMF7E7+rgF86AVxVx4lULzZBigDm54FhTDPgejngRdHkVSWFcJKrfc5q
ZABPXhE5mIxx6QD6NwE/QKAkvCoK0H5hksrq6t7nNMGR4GiZlS2aL4apnhO0NdlX72FdCZLWqTgu
hWyQoKbJaBz5S2uRWNT12l6z3P1Qy2ezp5iRMxhEJX9T6+jJUupTkmdvVi/uckD1ZIHhZSpfSlNb
Fh7JU9go3yhVU4K0zqNUPCjQmgi/msDDX0FGs903E2WZyfoOj/FDq4CAyY1y6zcKeAsCfwiOdA0D
4Kl+SQOuuQx7EcVpL4K1lHc+w2FGhimsndc/fzb0hJBannJeUFHxs/dQ/G1XVW++e4MKK+sf3r7r
o33pVlNJIWFnK8pNCmzJjNpNR5NzMU2IsuvQB/mDo0mkgPckhfGkQ0s6h2X6FnrlR+NX61FUz0LA
KbPuWLCLsjjB4rgf1bLjWGrNo9L/CN8lC+RI4yNK0Id7HF5OBossmjhTRqyjjBb0z5bBZeZaNW8V
dI/TWqwY/CMRAj54qRy3TouTIPMe6op+liH8sg3cOmBIoso1EoO3NV3j/r0qxkbThwEAEUeopZnU
pw9e725I/ZO84jErhzcxR6vjxkcrG36548g3tiCJxXA6NNOsVa7P+7LErFaxbzujK32Ca3sG9v9k
SP6ysNJTmL82kuIozvClT8YyDeGO/yxmxi5zlTezrU9pAVDPzOn65VOlyq56BBSym66o92CpsuqT
X8brn+fqrdWVmpakc97nPPbXtbuFttqXXpY5XYiizUjXRUN9J+lOZZSuxzzaiJ2xUnwcWqg0h5Qv
h45k1onNKa5RRxg+1hn/jlDPj7BXnxNT/BxhwYXmo5QMb1El/nKnuvl6JYm2JL0Y7nTXu68qWGFQ
mlXmYKc7FHpXIhp68up8K4rB0eOwlcb9cgg9ezC1X3OFbhys+eyp8ixLmsVa/e+xxZLX1ZVaMLYI
T5mTB88AU3fMGlvLFpoQnnDWb/xR/Mxj8ZM69Qpim5127kGTmxPW/FlUm8iYgU8rYrr/+U3euuzy
5bjOKJzBuLldrboJ+WsA53mTY509gxtbDaP2HGosl55vzLif7sSU2pKnaQfdszZq7z398g1u3Kt4
M6KlmDoXLPP6GJgbalAnKdWlYmhP0/vpdMvxKiDm9bNqtSfCrZ+yRN/1kXkgutdC55GFyjNJhZ+1
4R0JonxOgewLRNbiKf5ldt7YjiUFVY2lqOxJf3XnW/iWZEAWKUrohnt19qVpxTmuGECBVxzNJv2t
GXxrsCjEbMmaJMtc964GCyPDzeRqTB2qA6uSgLgSnskM8uoi1/1T6A/8zf6X6Ty946udl369qCkK
HWhVtqYV6h8X93zs+lJ0KV7hWL6M6Bh7vOFGvUd/9Fvh27j1tv/5WVfjzRLCKFTVqVBmwceqAheD
qQSpixuOFLwVfQaAzUTWqCq2LxaHMc8MTDjm1hwsJq2+wLJ+noi+iWqsPPp5ZT6sxUy9AKpP6OST
TgJuKR7tfIrN7QxxXQn5GUusD0JfqSnWQpHYGtu8Kc9/yMdINBPaj7D58i81lRzil51Qa8GuhOO6
8qV1kRrLNGvvhuDTk42lVaUo6YyNiQebkotMemCdDbZYWNu8bA9WAvRFGOxyrMh/Ls4RAJ9GwGqK
ATRu90k7rJUGl1rRfIdhfW4rvqWXHvoUgknijictplMiW0QaZZi054EBwiYm2zd/N9f+FDybqRbM
F1d8JsrmJap0QgybmTAowxyQttUvWpGQHAUizarAj/aHcGnxU1YqKknceOpGRxNkhF6xSnqU0mLy
liPNorJYkYNVb0dviGGhpuwjekGST8YIBC9gqwrxnqblBRtmME5QWi126HUIN+sONh2gqG4ICYho
oocm4ZCoWCpgkFiM+U9M1H1kibAStIPfG74NWQjJOBXsGSEMz+Rs9sQ4KHZKLJAp5Ecwenh0GPWj
mR5BnS+UnPOYIfbrKmUr1KDGRfiFW7KDrOjLwh5kBNXZdM0pGfOrDbKjV6ZHoarRUrhonlQs7dlH
ZUoXOca3mEbZU9ivYRnODB3cLY2DiwEcyc0xeQMptnzH1/hvRe5eJNSqARyg+NqqFtbTkOj14mgN
xtbUB0ykfMlpHQCSbqNvtZUI7qHr77qgec4Mr1+kzWD/vFzenD+SYUgsDgqylasLq15URT3oLEhy
5S5KnRWZXMwhJ/EClZA66MtmtLb8xF/WwVuHFOof3F4RU6BVuvpYzR9gqHiELte0fyTROqRRQj0/
/WUlurkdaZwwFTq2tBGtq89REQcBr7dSpxssp+kaPFGQ4BPculRTMuR0szzwj1Yp7wNicQrp95PC
rRWfTdXQecZUYa8vjlaeFEneaXQU8HDEBYrTBv17J+g7/vYBoQCXPnPmeuMDi//SJ1p7ARJxJ5YA
kk2Kj+TS7uq6vI9kIrVMfesmMh0sDViySxBNBzlzlkgpU7ByHS9OPzOvfmh8bwNXfGsNLTAF0qZa
rcShkFLN9wgK8TAQJ12zGDL9rDRg4CKWy2aYeoSxMJdLaKX+MDmdxOFNSUeHuGZE38ZcIjA58UWE
/J9yFSHMaTHgk+tFSHnwUOTH0szQsKuYBsR6fJveZgYZDP9XHy3MUH/iKhUlZDTnA/is8FjCW4Lc
y0nk1SUU9n86dj7rhgJHbyF5AYWaNtybHFLJKgjBKVCFqhKjXshhS1p5CcZRAiEcE29M5AcpBAjU
6zj/wkgFmFSEzd23YPkRRnSeSqRBrZ7zngTTAc2/kdceeAcLh7YEh4Leo9Hqm0rERBmX3qzp8di2
4dMY5dA3kkkkjuczcPmACSv48xy8tV/qCld0C70bQ3Wao//YLwOx0pI0alPoh/SY5MdEj7dDJ9qR
RFzN/9dHXV/R2hzecAby0fENSIopfOGUGjuYxHlXC7/8rJunZJ17FboU5Ghc5/79u8RCzrNCLfld
kVP5pOl56dLvs9V0bg+l4UUiMX3EyQ5u+JefeevUQ5WGkhRHLe5hV6cevURWkMYsLz1tXwjoSYLl
pa4Phm9tpZz3y//++cHe/kSNSv4UbPpXtQE4NeoWOIZOGZYYwMozVJk3yR0uWVx+1ewhUJ2WP3/k
n6Xj+pw16WOpdaJWNq7FP2OVQ/UnQcEJ+9ifq4QctmgcMVtaBI2K5Wys9VMFm4ksuC4+meaZIGwE
MQNnhLKbWn0ZHvP6KLBRVZhd8ZkmNSfSYLStAWmDJmRQJ0geMRJtGyF6o9DlYoob13pu6PORiGbP
zeu5YTLfOlxpZA1Q2962cHQXzJVtEMCXonlbkUp8KmOMcTVMuMRSnCyRH3uruE+FdJi5VGIRNC/8
2ocmbAnRQiY/gdpsh+t4cp8XFdAkBICEhGVzbp/pHI7/S2hCndCA4/38VG+OWsas8r8ZO7PmtpE1
2/6VjnrHacxIRPTpB86zZsv2C0K2ZczzlMhffxfoOmVb5VvuqAqaFEmJxJDI/L6996IVRGsaDerP
R+0oA1hpkZ/vxrp6zSYAx1RSArUnvu5i2uuuXyX4HdXvCpm/OoDIA6KQSUHX/tvKoB20KapMN9+R
UP2aKHafr9qXKete8lmDIZvqjtyfx3/+sr+6+tN5QvGuzzfX2fUPI4/uNymCZJIPUy4hJXE1Sx+d
1nzpb0rnkAjjJivrx3l+8s9/91cj3g9/9+36OVF2NpSOnmNsllsBqp6cofYymsZzUw7f2M4/oZ1/
dDP4v6hQQyF2EYmxLGVUeFMq70YB0AMo084qknsph3EVI1sPqcaaTdaBcam+OsDc6D6p7aRHeNkF
mRnUDQ12dBC03sJpd1b4JStJP3JdeZOE1h1ZlTIPCDi1MkR+mvEldPFitTZheYHzIUEjuTZNZHkS
7F5LxmCUEJzjqKeuJ9JEpQ+MjWT3kjy1iYo9c1ps0bhNWtzakNuer+YSVyQ62Cdsd/4lLXEj1Rrr
DYP46wUrLwrGJXN9rXgEs9FiCaHuHBjbcHBg3HUtND3AkEip1oUzfhiUPQKBY9ljdM4WudclcEOS
nEfCL2GacAnuyJhIl6FJhnBqyTs7iw7zvLlurGfBjFi2HBsgFdZhJJ/tUIHB6h6Tsr+Ae6jWXqod
ZeqsR+JnYy36qqlmWjtRd4Ax212cJoIWhfkVQu9vLjG/Omn8GUBN44Gz9a2oM8uqFt1lRV29YnVV
Ws8DcRSdbj87lXOk4fvcgSj7zUhv/urg9dFk4IbwaBW/PZ5YX4ZwCxkg3My7mATeI7sNzJXRLmuS
cOOZDmXMLbg29ndukIA0zIOLjJNkFyb5Q9PT1qxM2r451A4z+VoE1Xv09sCtBjVHS6RHsnjJS+gJ
VCc2a50NWIANhzSIfz4Hf+EUsPFYoPMwGW6oVb45L0JtytBUZmQeBfkG/RQOd52Kt2yMi53zreBv
AWfH1KdN5K+nWgRsz/cRZk8lFfIQI6Lmd9uhZxTuigeoeui3sDptoRbgxCW/HaRH9m6wNoFrER5f
kXjZaQAoMn1GQ+twX+Mh2v3zl7rWl95cE5ntO8Y8mRKUf+Yj5ocRzXcnkXemle0kiPuaojpRauKx
K91h2ZhyY/hBtSpzosNz03iMyFdgDV9g7w1hg3RFuo1TlgGkVopI/GYc+pUQA9E2raN5luD9rTAb
SkdVwcBgW4no1MfZi5bVd1GJMdqxMSJ3ME4acrxbRz4S/ngTye7s0PpaDAErz6713o2bPCpeu5Qd
RUo9Mrf8dYJW4I38ir4QR6A1qH1s7etvtqn+ixEUbQRSAQRuNHbedjX1JAhdykY5+uwGkFKK36+f
GDYC/QD5GY0IW1eqMt6P0cEfiR4ok1SdfZ3shjH6ok+1eUMDje52RmKQFcx8zr5G9WZML6HidJmy
T/Ahi/VYdDeko5J7AlnRr6hxFC5nixMP2iohVxVuJyfbROq4I+J7BisCKovS22Wpb0PbLVhLCetQ
mhByrIi68Nz5IjclOhCgRkhfRoFiGOZc0+AVn+L9c1tbEVpDX1vrdYXyVLPuhRM/F8iQFlZvG4ux
Yq4kNHFK/c/eyBDsJv2X0NFXgcNsphh2CNlWtfuRxNLXMAgPMiT7KUycVWiVd/P1ZPCewGB+nCeF
XWY9t03zaPT9F5Ne38DjITYNuv/8YkvvHiPm/OM47P2qo0EeHUmtH1ZhPH49B7p18bkahHaSbqkW
YklvapApvncHDpnlI4mADLEDmV9Vt1PZnDs66R+Lcvr8m2PhV4cCgjRLR7TCovZtV22imZC1nZXv
ZFJmxEJaC+J97/OwlVvWc2yf2L8bbA2I5zx+4bNJc+M3ypJfTFowCAp05s58RX9b4AV3Xdf5PEHz
S3bfmFXvXI+I4cGv2TbISXf+VK8VPtJFTNby787iX4z+lEro6VDGZYb4tvpe0GPvxzwudmkPRLIq
kp1dkmHmEXS/smrsVSVmpJNwHhzOgU0eRISHtrugKuE+R53YmkVyCfra3FvTjAAcfEII4XLpzn7o
ZXAmLXMFMOkxFoBDmVtsmdUwJ2yab1ex//5pWtReTZ+fywrwahh1bx7+72OZ8///zO/56zU/v+N/
z5Dbyrb82v3jq7av5eUlf23fvuin38xf//PTrV66l58erAt0NdNd/9pM969tn3X/MavOr/y/Pvlf
r9ff8jhVr//+4+ULu4A0YmzPn7s//nxqNrdSzrM5pv+yw85/4c+n56/w7z+eX1iKFmFXFr942+tL
2/37D422xr8olzm0K4RvYRWl6DO+fnvKtP9FqYkGuDF35oqy6aJ//2H7/9KRQAkGfrxh8yLxj/9q
y/76lPMvJLlz0xS/p80Aa/zxn29/++3C9m23ha/ln49/nOy+uf7ZYlYnXO1ySNkQsb49PAmhrHut
7d27VHdikmTTad924b4L9XEZ9nmxzi28koJEg8430q07lsdCR5BTjkZ+aCtRzw2RXZL1+lnL0t9c
Sd70+a6fDs3ZPFHzMU9gFPn56hw60s68qLPvXJIda1UCjfI1AkaERlBwZtzhv74HMkOGRknswlRq
2ZKlmrHrwxawJvAL8sgNMtlUQ3vcIW9RMeMk+pXVvTFGNz28opx5b6m4IFll8OmHA+EXG/fNjOnP
jz9r7MVsAWP///zxm7BLx6Y07Dvly+pDo8rkUqukJl4cDValYIGERuTfRmQ/WuOHKdS7284wj5gr
opMV2fGJ68ShpoJ08QjTFxqJW6IznvwK4B9SwFWRMxOLzbrZD0N7z4q/PQbMs7jQk4Vd6R50oOzu
N99p3uTfJ0zzd6JwYBqMp3NXynj7nUwrDgsfrM4dB3qxbVqik4YGlKc+hnjccX57keGcUo6PTZUK
sQvKWjvQz5tOtJbGbSzqJyGn+ujlCBOSmrmjeDTjuF+aSWrfuxm5nGHBRc4Pu9/UP65zub99dM4d
KmcGZ9XblTqDb9CHlW/eGZVY6q6W3E/gEHKK+1keB8AjhugI6wHNxpSeEeDKj+ChOzHCM9PoysSG
D4yqi7cyVHJjEWlOwOhIimNEojpf4agl5lkbcPBPHnmMTH2iG6FZ645lE/E6Pn0Cr52WJB8T0VF6
tCYakl5cOyLUDKsSh2RLvl5u+ogz4AamI0GLtVvG+HhAS3nWjRMics/sMqRVr6K7KgjIluwq0tl9
+kRTeCEg2j9fb1ISLwaXiA836qE/6udJ1vHeIU56YxAvawe6TZGznD76pUs43xizEir7c0J9dY0M
Um5bnexHkRhkwerdcHO9N6bDbZoALAWQ0t5bplle9DrYlwgJRW3CSh2hurrpo4v+YtnI1Fhrhs3y
OGnqvWz1BglP9WVypb/P4/a9WYTjQklh30VGtXPo6Pxmbm/+6lClnohum26mjuPt59NPjDh06PeY
d5rZnwaPCUYmmmYbkAhNNIINacK8jFy29+XUPkWxQ6B3TmJNGZYUbMzAOEdlte19bWmkjTplvXE3
wrdOUVtiIlUr1fhn3yl+p/O9rgffHqauz8Dsobo3+ffnj+1qOgxvpzHAuxAxp7vRfZi6NxZozRX1
HgGhwkzY8SEGIU8QbgbgItbSh9Z/QcZuHl09/irCkjAGLJrkLxD3ZEc4rWp4OlPUx79pCF0n828+
Lr17RLsujsK/t2YG3y/SOiWTJQ9EfatPtNam9GM8ZqeoL/ulEAVczkIcRGGfDAVjxAiTpzgV3W96
N9ZcHv7bB/mm6+PTYIP4ebuRTt9xaWIv4UB9qFPDPjXPWUT+ehkztde1nobCh7TEukTT5Bya9De7
0TRvrpuSRcKGtX92aYqOlKyJ6EYiVhNzj2gS+U8LxzhOtBM7h9xB3AiDzAkLjof7IbWJLyQnfAxg
d4QBy/rGq/WTRqnyoCXZe+LFf1cp/9UhMjfLmVIYmLj+NpKZ9uzh1AP9rpXxZ7sfk+PI5BOPu+Wt
ssS5n9r0q1uKO02rwbsHMvuYuNbZmIiiNmOiqKuk69GaQLqMPJKAu1wfFkqTW+UX2qqGP7L456uG
a/1933jzWvD6H76GN6V9o0pm3vBg3jUtQl4zj4ctg/RWef3nauq8G+EQylVnZAT1HoWh3qNLnjcJ
eYxzinLq3BoRyHi7lJ8dMYiTEaEtdvAV498AoaizU7C8pvvITMA1Y5M33cHaC/vZ7UKx0+npHdIy
IlSZv7DrW+sQIUwFPtJGm0a3CDs2IDr2+USUK4ZXP6RFb8r7FJvGqcNvRUZ8Y+yg9xLcTxywEsOl
FsOeq4K4SSSJjXph3hakjnzViFst4oqAot47WEkfHsrEeDD80HrKpUbMtVnSDoY6bRW5PFPo0A45
YTv2/KXMxho2/7zd7XmseHNOeBj92Aw2bmwGlJ/PiSQLgx7pggFmpsoU9I3hforIR1ReQ1iG5sp7
zR9G+vwszqZJQScYp71Luvh60PJml+t2sOlbG9CKsbUL7dIjzVwStVAvEz0c9gTKrEJRTpSgnvoB
5qclfKqUfbVyoVBA1mNuCKDoISxcH0J6cgPbxn0UpIxnhXlUVm+eRVmRyz4F4xk84UaNKeWOMnsY
akJq/Y64qQgZuuQ6uIBVWq1zJ/X3Ztn0vzlCjZ87zNd5jUd6irB1m+31twwCTZr9AAHVuJNV8WzX
6OFFH72n+FQe25rgPOFqtB5YRi+DOM+PzswdRWqwSG1ZHaeAyEtUD+fC8qbVP+/Da/Ppx304F4CI
2EElaThwu94WLfMuBCSSTu3dWFnlMRnT9havEgC09CmoqTU0nnaSmk0uXUWOgOFmBVlCylkIt8Lm
NR++FcKAnTM1JAqbmnVuBAl6cT/opynwz0QsIaoN3GxrUwjZIEaNATbTVu76aFqjeAh7W78frefR
5bo4pzMtVOXau9TrXrQiG6GOYANS8TbPHEix9gwvYh06lzzRXYBdtFudjJX54LdcEANDBZs3rlYy
iNBexn60MTz47oWdYtgLfaC5uS5Xo2OtLMMAnZy+JOlEtnAPcY6hmblHyVzdfEehwNgMwiJ/rary
jR+OQOJ9G5B4SKazU9pqbcXgzL0CY+c/7xKW7T8XFYhyYD9wQlmMapRD/9arVEhAoDFN6L/Ssbzk
wAU3tgY/0ylofJcaYXH1lxjI9MZTk9h3SXzwrSJ67CA070eHqLXI+yRkk16cqbfR8XhKrewKzz1T
773nocKmwzp1Gye0Z5bWp6wNWdskA6AGf9QvkKc2PSg6IIIfuq427tNAPnWDq0NNIOknvdEHkpDZ
YPoWd8bnuHe3xEyRaiMcJ7ofB9N9yDuNvE6aA2ZiDuvCXsshlhvBKb2wyrg/FxNfabCJwy3pa/R+
qK+44iRHAjlopmf3XkyihoqYJSFh37kCcLNoyKOPCHl1xUSkMF3VVS5tc9kW3niyYBMThTXfM/s7
mdsHL5AWxpMgOBHktdZTmd449bjOS8TyltYQWJ8Vqyrsa0I+dLKzhTTwWZr3vgK4SASI258KdwxW
XZ08w/sh+sUsD7LxSd9MQbU3iuBmKLbtNkJzlNVefBNGwl/USTVs0T94xADpFghhQKfdSEWeA51Y
RSrnKx3UF0oAlGF19n5qDGPfk4y1VC35za40D0OtTSe/MvJ104JjZj7QBKO8C0QVLo2kTy7IKKmM
B3gmLZl/Vn067Yom4ns69kXa/Ulz+DTZEnpUc2PB9wY+2xq0Y5E1SA+zdK535VqS1AUa6zUxx+yo
j+0lHzJ964pArpqeFESl9XfwUWzOZc7eKve+GIkWbJto0s5qrJdOoA+XZPCtWxqpH1tLvRSiiDZJ
ioVvopHKNcPYD8K9hSb3voHOcxuXI9QDfPSNwQGR2JAasCPu6tQlSaxsv9iZae6lRzpog1/rsQG1
Wba6OrLb4qUmygMTYwOJFB6krE0vsSbVOoHRttDTrDpmk3sLLFvtZOV354qaJOg4v4hOouxfxUzI
9ps2OWcGPifTJV8vCtr2EkzgHLLGXynIM3thiPxo+hMiILdektpEwFxN1hisnfyMWOvcx56+QNA8
B8jRIqtIlRgKvpZLRelGZCSQ5SKqNjEgrE3pYKHyRgIgx4mkjiFgFUavypvRLGMGAYwTTGYeVDak
gD6fOWDKVVK7PE8Wcfq9Y+NvN6npkPVO7pSfNmBDLffYucAAx4beBz9qbiIVtjd2RhCVIiVmnUR6
dmyyKlwjd6lWkY1xVujync27TppO5GKlNPEsNb4/POuq9emFKVu/zbpOv53UNN4me6cgnTfu2Eht
UpGunFvmIverYplGMcmsQ3DoSts5oSJ46QH8rB1vxuNJ98bIkLlR2QYJ5GhkKApFXLxnVWuz8T9P
kY1M0PooA6FtByRCOF67nuxjjvy1lKk6WCpkrI26V69L5MWfbzzEE4ua1IQNazukc1GQbgeZfZny
MLxV5CPsNTO4LUnA1GplP5a42psmCM+xO3cS/YbA7Kh5l9ep+eCGpH8SuneJ9S31ZNARlontn8P2
E0EIXyYs/FsI8GQkdSQeqsoAgsZIaRiNPFYOMSqshVIVQbOiGG/7yru9zmXCJL5ppRZfAigxyK2j
XVjlwRbPNnkc2azUGWp7yUBA7HNL9C8EN0xpgXfbl/Jj7XaHrJbRg53a68Bx2/Vgqfco0pAw1oRC
Gz10kJpwicfRvqkS5KIkxmDxN6NVXyW7Fow1NZE22HgpobBuDkLLpfdqDJLcxYGQts6w9n0T3Fol
GqrW7+0nZORPGrlaa4kFhd6XgySpZ0l3+OEuq3ceb6WZFwdWs/VhiPv6wLKo+vbQbCVIluszIvFv
GJURYfpxdaBLoPS1QiBw+PZYJ28giFtYkpVbHmokpd9uIqmdTa/1NgQutYe+dpofbhofNGjl7L3C
5viQjLJr/PFfAiQCB9tiXuR6QbdKHW86oKmeDl6oJpC8HrhRc8DCCpaWy90hGodha5r5PqG9uM6n
4eXbj6P4FLlmuq26oj80800OaPrQx0AIXNsBYAkw95DbwcpjSb+LpSShe9L69nC9iQyrPWg6N10W
fXbzEcp8lmXE20INN0tcVmORPRFE+dS4fbMVA0wDv8izdSKs4pCBLZwjGfyVNZAO6hWcLKoBdVSp
6cGMGKhzM8+YCmFakdTh267kS6Z/3rx5SBpVsVJaTfIJpMf1aFfkprXkbgMKZXIQlIfrjfKG6tu9
68Nm0myA93S1kqhmGckN1+IKjNh/7oWjRWjx9XGCRqoxaOrjRL5ppPGQZHa41zouyeQQaNuRwX5F
C2nRRKa/6t1UbUsXHBOBRCA28HUO6XSrxzMVWgBUq0tt7RmveuWex5GuiKU7LmvawVimwqWzWJPC
bIdQTaRNzklXj/oKc+dSkKtyATyM+DDehF4AhcwkhdNvt2qMUfvYrlz0Q+qiQ6wIWA+gLVbBso8c
Enim0l60JGQsxjpnQ1GvOIyN/lXztRcf+WKsQUULI1a4aUd+ZjKumy7c0SK0VyHcLI8pzkmkRH04
ZbQXNdf+zDbqXVy8FFq8GQUwj04hcWgJO529pSdTzqiTYCYGZdqD68TpKgo6ypkhEei54Q3LyWqP
lIZ2RSY4IPLRB1wwKU61+YbL194Pm3Z7/VGi1cXh+rrrvevPvr/223v/v09//w1ORHGwI04CM8jP
fzNvGVLhDfznz1S1HiO5kscffnd6fY1ZD9nWKLxDNU0zTWL+sNf3VfOsKIjq16atTAWdjydKhie1
TGf6zqhY611/w/WZ7++7fpTrwzSsTOb8s9By0lZOk/QwUBFOJ5whpQAaMmkskETZfUmSYKtJFCfM
09TK9ANyYdwg7g/XG2WaBN4lcEucpGPAn2AwT0O3LAyCcSTw4qVwIHgkM3dKd1Nic/yBFYdNqOqy
Mj+ji3H3sR45B+TaziEdHbA0BcbpjdZFD6MQnMnXp683PeugAzIm4itq0jf8wopt+M68m6ugc5iS
BH5gorbX111/dL25Pswd8tw1h9Tw+Zdcf+5kIAmu97DKUDXQE3/1/Q3M5DOuxHQe8moSYNtzVEpa
tydMWB2chosnebituSR7Zyly5eyS9+EYPDi5I9aUn8pDEDrkh1/vFrnWqmUL4o5hbX7uejO6+MDW
gHbLQ1kxCetry18FBleA641fDn/euz68ElI9QlWI/fzrNeKve99/dn3f9dVvfo0M2wzHgWDMGXVl
r3pyTBQYYw7PFBu/mufsj2E3xhuTHgAToFzmh+83OCdJ1f7+eEJM/cPTbx5eX9fNRN3v7winSEzL
749/9RamAwPhnmm9inpqHd9eDSqWFPfrG5Ul+RTf39nG6cwsy/cOcdkWUQ67gGTPPz/n95d9/6Na
DGn2+8PrvTevu3bDvv/shy9+febNW0a/1mDwnH2rum0on3b2t40ke4+oR4Ig2UxVoNruQZ/vBnma
57vrlqlQ/eY7pXtojD1nd91n3/fo9aHfmSzA8jLj9tv964+/v/R677qjY8JfZwXf/IZhMLRpSYY1
1MMkxv1rMu8fFUnRLci/moV4P48/DcJNtb4eAVKBpH4v55HEvw4dbsPqyKhHFj4tIoyiyPcYRDrw
GfLPm6YVJpkhfz0OnFBbai0xmxXsubWnHFYYHFzXXxrNV1THNELqEsEx0zDQOFoDygd05XWrXvdL
w8R3Y9blY8Wqbo+HojyY8w5W3VMWd+vrBnyz+a8/+2EXVdfD9NtW/343SCsOm7jvP4o+/OxpMV0s
Jy6PU0kQp+rnsPPaK+7owR8lcvRVphx5X6boIxfgO291sRFaKzYEhnsI6Ii+knMP006hc3peH62r
rmu3gw+SuGQqCYFJNWdaEGdJ4uazc6u5gXWa/SeGE+5Tf9qHekimcEk0fR8ZnxTE6ktd6o8OqMu9
2V16BLdHP4elJxpzR6HlU7yJW2cCvZZma5QBWIUyukRt3WASrt1z3EePqoHt5GXYasc62bq1+FQy
WC36LNEhEQHm0eBEL2Xsf6ybwriUPbm30raCvT6BaECjcGxd/aMfQbEcCDLbdcL44MxQ8WmEYQmW
keSorrpJVb1peghtpKZIOPAs6DV7eomV/FgQ2nOMEypQus7iiQ6TydzAdzdNi7DKSj2YU1Yp974h
PysawJsx14itCNvwVofm4K3awm7uknB655CnitXT+1IEkA/0tvd3pIGO+Hb8+7oI43uvVfW2GpKn
Ibe7Nc3hDHBaFa6sqSThPR+dF3OgYGYZiqD0EG0SJ8MNsefWMo4ysvljgBKJ/uxMtsMlFm5GnMND
Z7NfCKzrl9DrP2sFBsmhgmqXofOgDnrLgFQfUVpHZHxmlyRxh33mpneoevPHfggBndj2J2lO+jsU
KbrllMdS87yNr8G+EOa0RSkFL1gNyT6A3T1OxPnTQIYuZVEzYH98Vp51GXzUizHi0iJAPjprBAFl
02XW4R/rLTAup4bXc8jpA53yXhTvRMpazHqUbSNesjDWFqGJzNQow2wLybXqZH9KXQYFx2jrW7OF
SOa0BrIUwz/VpViITpPMswM1Q3Fvhqmvd54hp/s4anYOtDLNc3oy2Ahol9ZEjzIXsGM7mFpelrDQ
40KnCe+i7CDcFwlNzKRA2B9l276763pQYv1AkHA2VO/CwTP2NjqxegiyTQ88eaE7lVg1AQh1HHDO
URLd0aPnsu8mmfqnLMoxbefRcIyNT5qmjUttoJ0wteG0sNGaLwO3dvYIRLf+LUoaZQqN4aIC24X+
Fihu+yXHY3bBZf6O/g0zWFboG8MY15zd5UXWHFjTmC8tIkKORuM9RJVlnvIXRcv5Xed/MqvpfoqL
4M6I7Y+QOeUtNm7nUE7TmRZefnHgChNGDSarKaW+nMr2XSMb58Gs03NmAmltiY8vGmpUIYE+50nL
x1U/0kdCGrdSNNcfxRyCoCdwEfK02RVt+W60RLVnfbpHFKFvY0ueBnuifxEP+4q+iVsWzXEwlI+8
OOHTsYGJuLS1XTapJ2i2zWMK9yww5W1qbUI3bO9EHqMrdA9a7GSUiumKGhilt31mLhM1IduKbYhg
UyeXTDbn4JZQP4nILbdlRv8AtHh49GOX8GfSS02uq03aOSsiWOxjp/xnOZjZyW6VWg5mr1a6okY4
6SqD+G1bRyZeMHRzM9kZtbUcK28ZGAXo3jx5DyZ3Rp4LbeE03XutHPFMDllw1rzideqK91EFob0H
GW+ZAUe33lfHWvb9PdKDB7MxqSfwcBWoyqLbonX04j/5mTIuBZFtfZS2+8nTPuisii/dbKubIgA+
Fm6BNFM5IEzx2dTLR1+2j104iU1YebvSUeckr96XWnNxnUZudXhemi8/6F1qrEqkNOvEb4LV3H40
rFc92Y+Gj8njPe54KKQRROdmX3m98RhPH2MEoPtysD+OZu/u+mS475zkq5MmzU5m9E2waldZHq0G
1rKPpJJBG/WmBg7cvYhrfT1I1yU4tYCUOVBhtEBrFZbbbj1WrRlGkyfD1HeedzKzxCQbS6wk7YCT
U5sY94TvQdWBFjaJQT9Oob6HOL0ZnOkZ5zHpYyEkemcoknVZ1v7a9x700W5OYYEhSoIekMkgtlrA
CnDSvHCbUI9auDJcFPF4KjCInZ1+ZXd99WC2gpKWVRE4MeYYPoz+lKtP5Tg1d4JyHRr2B6ZyLt6T
aiuzcXpvtenZglbdWkn04IfgyowoqQ9121RgJ8boSbOC4c7TKYQpH/kPGWl3w/Q5Nu3mk4Z/dFXV
iojSlIOWamTBMno0F54np2UzhCM1oJRc6I5rmkBPveyvnZKMakKvcJ7Y/eH6k8AC4GPJ4jVN/IwI
VzIs8cFtdVmcEHxrO9UyhzLJhFq1BKKdqzIB78rfsRO4sGECKmV0Rs6LPk8pDafJ0xwnT3ZBtER5
nNx0SDE5rHM6Hj6gvFEWNzJ3AGvGWbPmmFi2rnnsWy4Mc0zKquqmLy4aeSxp2Fum+EXTG28fFvOw
nVOLJpiT85tJJVOvxt9kHcHi/YTooZ9lnlp+67nd9kCikrOXQvPW+lAD79Jt7SHDc4128msx9eO7
yoHlpQOiBjMS37cZWKQ2Drd6SVopVJQXcovLczsUuAroUx/wBHk0AV0cuwkD/Za2C0t529vWUxFS
7865hlEVNd39ULrjE6UVDt85Oa9xrGVphfZBuO48VxpfKM7r2yxhCS/q0T/bpOU6Bt5fX6by0oyk
qX7gT6r9yFbYTIZ6H7mNvZj0qEJxPrR07rEiBzYl04Ats6wK76krQU3qmgPwucGQZ6Tpc5jNBGPX
VMtoNNtN42J8tHR6u/ABioXeRkvFTPW9bWdPw2gzg6XE6gd1t5ri0WU+gOLaKaCohuiTxzG8wb9e
EvnCh0g0y1vGYs5ZmsSWsjDFlbA86O4LzTuM5l6/ZUNaeT5+sAro564TvoYNnbmSPhP2KY1pZRed
PP9WhoO7MovsoSTxZjXEaHtbg+GfKQxHxaRuDGXBlWetPHZee6MMp127oXwXs2qmgqzix8Dtz2EI
qqwmOYxEVh/CnL2zEpI7a5lt9YHTtUNAtE483OJp1xBvaK2T1vaedfsrs7ps55tk3xZOweHSV680
c+6d3tS/WFpMIdl3n7l6Vet08lYkLpl3VeY9RSpXL1HoBos+UcSzWzVzxiEVRzt14YmatbZFKhwt
NGf09y2+08rS3+l18ckDuIaZejwEsQFE2FYaZbagP6kw8k8VdHfD9ZjXox5Zx1kf79qUlUbDXPrE
Urz3U+9Oa+eZVwDGGMk4bkhxp+qiwTJMuURX2ENNoyo3WVZXoL3dVRTaPWVhN8LvNyKAII0d3kPi
fvDD7COGfRxt2RzzaAyrcZThEXk6TJV01HddWvvLMbRuRZGLW6cYt4FHBSMb4yMtwR2lbOoqtvpQ
+3l5rBkMWtoxK6OnDFfiI1ugbQsOdW/dJ2hmlpnjdrtaa5ktuynk+CLn3ZKGXcZkP8qANOu+eUKU
QL3YltjanypPC4DK4XrrPB0hki9uK+lPB7gVH2SeVavM4ILi0VQt5HBiqtDxCSprV3nyS+0YN2CR
q9FlrM694Fin/i0q0BvToNhi1KTVKi9ddjni+Nzxbuuk/FAZwJH6StvqhtkuNAV1JqH7hrKcj8O0
CuC66oZ9ZOT3yaQhSBd9upKa+MqExzpqhP0uGh8foDTGvcu17cZ0/X1Tj8wqBlFQwpUvbksDxtb6
+MnR05vcbg9SBkyb3FZt4qZO12k34+4sh5MeVF6XkXQXYToU6UenmrzXog1e7PJDbOny3k30m6y3
PpRIS288v3ou/NQ4dKZN0HnVTsw3x4AuoAMn0+iPZTpW+KiR+kWFkZ/dmhUwFxbklkN+QYt1iObf
mTtdtjSXbu0bj0NW7SwtyOm0KXHoIvBkuH/uU8bfbOqdY1Z2zTKZ0M4hLsy3ejWYW8MmHBe17Vdq
4/cRHq7IKD12HxlobgVqWoXGh3IMzkyP2gN20W2ThOqiA2+MG3k7pCcvzD/U9mjcmhEOL6OGffb/
2Duz3biRbdt+ETfYBLvXJLNRNsq0Ott6ISzZYhPsuyD59Wcwq4Da2AcHG/f9vhhllSxlJsmIFWvN
OSaGzOU6cSU2tdVGW+h/xPYOJJT11j6a+9vce8ODtKNjJZ6dJhcXo8dKPsVGdTGT8Vue4d2qnPTi
R/lMnkk57nKjPsawqvBoesn+Ls+EB2puBWaeHetrQL+kY8hht0yDbHwbyViH7VqMS216/MBOymaV
xZu7vKQAFQyCDaDK3H0aXhUIBtTn0VMH3euWh8HBjsGnQJBlupT8ZLLo1nscmWwoY9JDFU4GZIj7
xGj4txIeyciwZjOZjKvTiZpSF6dmyP80MTmryHB0iqNKApgwaDcWxhMImbfEI967cavHeHrXaoSa
Hk3IG4LoLIwblBH3PyRi10tTzN+VdIcDlV9xXgrMrV7D+axMyJvMUCLlRHYmYsaD6NovnUcGofzR
tQKppE9+bOTUQKrRjcAo4wxyHztV5njMVGRdsqh5+7s1kGvWQ4z9reKLkzzzfeNuRm662LV/LjmP
bDIOzrDCm/4gffilY3RgMRhOTSe/NVIapzhzxA6b2GnGSs0uZ2sXAoWWIGpMh+hLQmzV/IfzdXfQ
ZvsDcGUeZlqZHFRSGRvORKcc8DgDPu/Bw7aKIFf/XS21QhtUajuiELrTMGBq5Lk51CPpW0lH0jFT
lSjUzR6Vrhi2VinoC1X04EWb+4FQ+MJzv2geaAGbD03PX5MawJmF2eSoufgWKkEmZgfHJMgYfOw5
EbebgocroG2Tn8oK1BUpLTcnL7RwFdoAle6OJQb+jeFPiJG2JeqrbTcOBwYR1ne7+q0v1Edzpc49
p7EH6vDv3DPdqbOeeroa36T0H6Exk4mq67jVEn26zSsmDLg2jC/UPXEsxDfbx4i4houIrLzkvbUr
48I6ODphQBwJk91SY2OEW14EJp3Xo7liwce8o55H1rWLy4I8WpF+7+gpXuy2jAI77vu1wZVu88T1
98msywAdptpr2IECYDL5iR82A+kI3LmZD07noHZrzYhEWxoked/9rtMxukx1fDPj8Zqkkf829QYS
5VInH10jLzOrvY7ozOwMVc08lsKgJM0F9haEglvLJStd2BiuQA4+Yt5v9r0kiVubYZsDEJ5CEg8c
rTefYOL/qRQz1ph8sr0Ednn2C+kfbAZlQdkbXxp0g4vbERc+tM1VKQCjTpoeF+5SAuC84VA6jM/l
OtxOotx41LAFd1VyhueTMVzRCZJz9OlYub66JUsG7/1h1hJ1VZ3zSljTxbHmdCdcEiEHX39A3DGT
iOILYMExIN04v2oNcTPOeiCJGzt7LJaBgLNk547S/K1Gl1wxHzyGGMxXtZpeeyd9GVv4aWIEstWZ
zbtfjLtW5J8mRBvO4+ZzY0MOlxEqCozcEG+sofg2OFQk8CAIpqoh/OGipjKvfZoV5Q35pfUQtTwN
eZ1sKcY60uEd3Dv0HgLUOlmIlnI9MqghBQ/kdiYCOne8mFODKKoyt27kRIe2jgS9LAbnqi0X7siZ
0/palGSGkR3jmjMC40sm7XVL1ibiyyVF7Fhb6sWyZ94hY34GBpG5nTK8GL08RlPS7cyImARziPbZ
YAxMMLAwdL1Imd/pv3wqKLtp+Yxl/WOUUjsOtpk9GRbDkHrrCZjud0uC53F40QUxwkkdl+EYxx/C
BsLnZ08xy8VjopVfxWwGUKKzgycnpDwYqbbziOCyG0rW/SXXg5ajXsAcRduNeXqMs04Gbqmyszdf
MamXnBvnCMqAsey97lXLSn8rvVR7YARvoWZa3A2pgP3Rq5jZd3CVYCfPlGlyIH+8Sg0GTmLHE10i
lORBbZnlRdrVJDVVjq3Yxpk+nHTpbWwC3L38FvdT8lCvy6yahQh6N6n31dg8y9z1EIFfLEb4YEVg
PPml2P3VX9O7J1Kjlmtb+/OVmBctaLU82y0lSZp1W29jE/CLwDx8tdSN3Sg9a537496CyV0lAjsx
jYP8aVW5wQwXQRDwMB63RUwMEUc97GI57LWWrFCSSadUiVs5jr/tYgX+RGrbZTpK/VzZAVl2z3YH
nb2pbGQTDTAmp8Ig5xvzg6xbzqzWFNElrb9429+sJn0tytgMO1qmgWVj+iprm+JopIuiVglHEunv
vZFloRdLHdltX4SFNXHvQHu5moN+TGeiiIjG2teIuENnKZcd7N/mYLrw8hjBMQe36vzJNPJXb0yf
/CkWD3GcTlsxUoA4OrmEZFsIYjbsx4mchFPNEEF/FFU0H+3a+jMgsTgbhR1ORtZjVkY9keott5vv
KAJnNEK4JTtcSqUSLqk7cU42ZIBXhwJjROPY1fYlkSRlZzK6qlLfeW5l/1L1xVwS72wV9JHAoMc7
O1t+S60FpqUP3E/t0jwMaRpRc1d/7mL4aPI+ytrpvoPicjJIv160h6DM9sYDf3XUHNrmqz1N6mux
qmDmxIQ4TmDYND4ouNJrv5j0/dopv1hedRudlGZjlVu7rEKeSlqoDi1YBVBy2kulvLMdG+UTfVsz
MFLHDammXvusSYnp1VAPpLZ3RnD0U9R1e2piPBIDFLptm0fmJuvyfjs3HYoHb2L00Tpnh2zHWS/Q
JGXVKRoHnck24CjXj5OXmZEEUl30IWVFzHLj2CGq4uHQ6cZ5yWtxiZBFTzhVxPw850n9YCcwBGgr
2cG99QiJayF342bKiS69NoMf6LMfDYfhc+Zob2PE/MVD83mKZX3t0lW86GuhaTE9LZURH5X/VLsZ
QLP1j1wT3HNd8ZS7kYVyU/xJOKMiHEY9t1Fa+WvOHqmSq3Mpnem7TF10pwAHwLZfrRKmVi3855wH
4RR3/tbp/PWpljTjppwWl0z6K0q47mrW3h6kac4av9WhsNPotbaun381/kiSbr2wkXX1xZKFfmLI
0j/MBP5skgq+gI3m35DaucmH/DWdMvmt/cCRvy/TSr6yOxvnck6gnTR7oZnZs46yflsYMyMbQ8wX
32gDEka7/dSRWjx2AE3uvQWjfeKIoh10Vaf7JUVhmDD/0L02Pei/p0RLTs3Iak9K4XPZ8zdzsMO5
N/zLXMgHkhJdJPdtc8QAR4b54MGaanmivCbDEEuXN53MjaKodUU5HfA40MNKTCuQJo55IdLDnBUV
S5ARHVCIIBeaC3pLhecFpK6UIYcRJ9Si5lnvrDWeJ9n1ieU+le68t3q0epVnPEITeu+XVUEz1h0g
dZfumgKAy1ntVFe295CVNAqNtOpPjZbsq8mEGltWb3wE5G4vlOCzZdyshLe/cokCxO3FrgHhFAyl
K0KLiniPRpd0HDosEH2Q7DnQhHPtQ1Ojsy892BZu1Za7On3r42I6JJGayS0GkYE24xKVEhZQPvbn
3IsJhp+G4rGVH36Fo9Mzi18Zqym8vDbE8UPam+zVtjStbGcbwBRKJ4VyOWHi0JRh/bBHmsOy/y4r
0oLzTnux6r5+7GLWLRip0b5pjTCZ/OVbO43lLZq+SobyxANzuqDlM9+cJMqukyQo0i1/tHrdQQhf
GqR5OjKadBnRyJb9ZShrczvanB9Mb2Oo0b5gOrIvji8/i7jJHypv1q4M+5/9nNEH7br2EU++B+hg
oRn0zJ7jE55DEGNnbklyzTeEX2g4lp/oe8tnTfvK577aMzNceW8cdVQtz8Qfop3Uc5Q4ccrdlqXJ
2ZHWNRNVdfUNt3jMu9e//mKO3BdIsgONnL+TI0r3pFkIVrVSiW0qBB8yh7OX1FTcJEY8nq2eZJtx
mOuNahf3cDdcmIoKyuw4UTIqqvbkEjKacrxzMzKyMkEWn0HyfR8UnTw4Z7eKgVWXDBDmJ5Kp3dpo
6UQRKO1SPfEWUP1m2sHteq5vxnrv2T0CW8fdm+kyBK4+gwdMad4RZHKzY06ccfStTYzpyiugQvfm
Xa7MfCujatqi+d1XXKyAmsYIUYe6F2dpfi1FNu6mAQlHExvOTrTyZ7yuJ64bkeTZa9/iDiy+Ps7T
AR2jFlJGuocRbziH6m95aakLcwNt36gJLvE6dqw7tn0FRdAX9YYhFhVrSVmMJCbb1AObA80ub0Oy
or8pe/KVR1IAdc2h+cQ+3Bjw9BOiI0Afnhp78LddjWxuHPGb8Z7QJPbj3gObsI0n422sOJY16pMG
JqhsMSe7SBVeYNStCwcNOb9l9ta5Vsap1peMkA4EnZZLRraX2MwiSnBJJZEum7a3jRca+iNienqs
B9tV84vIRPYtZsmKZ6CSujs/q87mO/TUQ1dmBGO9lmcpweeLeaa5gNEo0xiRVAR1Re2ALgcLzWwk
5ouLxb1HwlsIE3sNAF5WsPqPY0nxoFEXP5aKjMtUhFJLnXcLj6LrTIE7WD0L0+CdjHXxLFx9OOhc
N60xg7aeHYo/Q4YtBN2DWbn074rTiJoPFy28/glj0AYFtX9miHWs4ia7jfQzAmei1dv1WX+skVsw
03Qea+Dv4cKB69w65vfIeZ9ip3/jYr2mygMblbaQNawBdYEDA8zQE7FLhPk6WtWHMBv1GGHGL/yO
8zMHoDryqT8cEmASDMkQ7Et7qH+arrbF7P9cmKAptcHpb0tVPIgmC0CB58F9MidzHvXaUN6hN2au
npnGbDimASwqO7nzyyAQoM9V7rNA5vO1guvBlq5+kurHm4T0YlbWQeOkdM7Fh4Ycdx8PcchQomHb
HNyQCSZhormTnPpKZ+UwZPRWJP3WS3CPlEbPmLhZ1DYlAJyVAgVzvog47Gar3peADv1enYZ5VLeX
GLHSiWyuTZG9UTo1IWJmcullq28HZzkQT8ioRHOsB7MsXpFKky8vJnWamRRNnW0dByWbS4tgZe97
y4drxeVJN63idP+vyq7Lk5LGW9y09S6yquUYEyN0vP/XtJAFN2kzvaS8u7gajW0Hoy0pz1TmQNIC
00Q25qUxymlCsBT2ISbJXOYSVAcDKZ8Ye7fEryAX42Vu4zZoAJAHbewRUkNc9qVlfH+3l5WMV5+X
7BMh1rURkfOz47yS+MbPenKHJytP65OrGszvClKKo7knS66mgpRmICTFiwl+lJC0d2SJ9nMv5F7M
/ojAbNCD4lTV3RAalWkGsv+q0uJHQuW/Z/xAVxf1Opvy4u6obY+MzKi/ivSYxtMPoUOQNRLIn4R4
cIgssl93fcQUz7SnVdpcYDPFUEPI1PVVSSPT86A+JCN0msw8k40abWlD/Rp4ISt5aIOa4svo7QaU
JY9xqzurXqU/jUK8keH7hDzPD+Os+szSpdgbkRbOpm0c7cW+iMgDL9Pj3vUFFLN05mDojaeWcdHJ
j4pzPcQyJBRebURF1W31A3YNvzoyM36N8b0fKZOcsGfKTfeU3aEnY/2ukx1b8zGtZ2KUVuEyGUI1
40DQWvlQdAGZS/YWfbe36wq6J6mytGAuE2bJ9cuQe8029lglSj3CeM50KsjKuQ/kAE61m2iYtz75
9InqI2zpMtvCTR4Z7VX2tzR1cvSp9kN2QQMZvVpdwzCe1T7wHRQpqZvTGy0hzEDgPOj2MdY050Ir
i7KfJL+0081XL3f/FIC0FfvmvmDyUgwdeEjHS3Fd0tNdbJt9AIo7wip1UEgQyoTGczMeLKXrB634
wOhS7ccqvSY0ZDc4S7pD1znbzlF7OWTupyIptiWnVQ1PldlevUS1YWtreajAy+wASzibVI4WgcW+
QaVtGtdm7C+ZwLZcVD8KWmqEksLQrI263pi12+8U0J3URTQx+2WzPfh5j+/FcafdFIPrHdwiv0zl
8DllBn3JSD5Ys/vaGIxIGihdm0lkuMUJvN72NTkGzC2wCFZm6JBAeeGAQg6e0R5ru/0ZW/qjWXXF
rbfNnZWq+ALx9jYPyUKjNo9CFsL5mMQY6vVSZx7G/Inz36p5VI+aAJQMsvjp7ifohfGCRLN66Hvq
IiGy5wzK22EpnbdeuDlHa3fGpaL9tgFDHopENltt9n3sNgqbHlOnwMkN61z2/a+4bfpTOs6rgNT+
y/j8/4ko/4WIQhC5B7/k/yaiXH61c/6r/P3vPJS//9HfPBTX/pcu3DU2TxerjU7Htvo3D8X1/4X4
ySYN2tbXPJx/mCiW/y/AvIC6PJP5BwnfYFn+ZqJY7r+AEsLsdWyXW8XVrf8nJgrv5t9Mswhi11wY
oB3Y5Umndf4TGFTqQ9ZyW2G9WQYEOOMCLouB1OzqgUSTE3D+kWDJ1sFq49vBOCmOEtJFGNUwCZid
335SnEXZg3Rws/8CsfhfhGJenGth5LVN3qYn/hNV2ueYb7SFiZFGi2AlxGwwKZSB3avr3KOuFEX7
NjN6FwUW6wKFf42T6r+YZder8J+fEKoQE7+sDePrfyHtekLB0E8n02HuaWpQMmPhrRULWs2H4kYv
NdFwRWw9Rq3z5yOj/NzaI6g47bsueYn0vDDnGM+V22E+7EWge2kR1Hr+nvfvgi5s4He8Zi3x/qtx
E+TT/3rphqOb7J1Aa7jS/0l4HobZY0Fw+4ONVz7yh+8jvd0t+KZDHsVFkE0ORXORnjAV6GGst3a4
Kr2d5Weq8y57Lb+BT8MfsH7Wi0Reo2ctbjUKAn7fAZ2Ot553X0dDf5nMpD2mvoPWKfrJh2SRttpj
J+HX9En6DQuTYsRi09+ARBXrbELFYFLcNF56SMEGb5aD4aJuKKbBhLmRzZTcGdy/HCuPVz+ZwjKR
OhhyB3AjjBJsEWiY+oDxNUsuws1FBF4pL1PabunGK0Jy4eMY47xDhpsF7RxBC7PLB4E2J461mzbF
NSNKvicvHK5MyThT2l7gpgj/W958ztCIXkz97tJm6Ce7gTFSMESmyuwXG0O+r47OkDShZa+f5Prd
LQRKJ7vVPkVNvwCfyLQYN1tN+6kTFHKGjGkdITHTdD9MOsfbWvkP5CzpIUmaEn+fwN5rxl9MBpFP
FWOx4fyW7NEFvMdK/Kg8pCHNeoNHJmlBOEhQH/rWiG2mflcprpJCrsKZz1wXMrQyT4azBjgjsa/8
c9K4hb2yWxoVuuC8pyUtA8eiGZFmb2KImzB1tUPk0xgRlXV2M7xozNFvDcTcjdblCYAUuhf+shqL
INB175zprMS7CqFtmqab95SNTPuVF9i1gRmL3gYdTfOP43Iu7LWIn+sZAd53rEXrm9BGPC8Zv8Tj
l/A4xJ790sB6APShvndO9s408rEuMRn68r0Fd2c1qE2iwn8BygnUn0l07Ypu03IgZGxymPkhFBnx
iS4LauCMECMr+z7Z8v3+fwqDyzQqtZts8UxWbwdmrwgG2oZBJxfkLd6wGZOR9A0H5WWpulehdyqc
M/GmxXKLQy7frVA7KUrUqrIM+mZt5NQ81s2SfLl1fAbD/QrniomTnQTwQHCCeD5BZ1iEpOdvMYPA
ze7BezPza10WjxYe6EYmzWOE1iUoFVA4g6NHLwgCYAQGA7+cNqoyWJapae7vIE5dKGrl/CzUNAax
z51Ke5MHcyTOaL3uyyi+lENwYYv3OFMvalndW0YDAYdLV0nYxB0MzpplqdU6yXmCjgLCNi1xH2iE
oRp02l1pDfrGs+pb10zMdVwv9G3G9Sk/YfZEGQrKkKFabwxkNVuf3v+GkT0czLbKQ1stP7NxVowR
zRLV3HjlpOtRsPL98XaYUSabrs05qFnrfm2+jkv+ltkGoQXK+iDqMt00TIl3cVG9tq0TsHL8iQea
b/dBR6bUWzkTXlRrNkJarP8IvFD1RGuknMXdm/pEl5L69EohB3E05x8W5XxotT4Pm87nknpUo/dl
vNIBKHaFKRkFc4zuVXWGIMa8ceRW4jK7CeX+ffGjrzIGWmReY+2NLLRP3LA8gSh322YMktYI3B7T
sD+8MZ5qeFKQoN+vTT1wf1R+/j4vOthSb1/RImZcxwFr4CFRaeZv8pjVNXGgXBq1cdEN8dEWbBEy
n01kDt6GThQKi4nHObuOruqDrGf7FZJH+35FCFXWN0ol2By1P/aUPLUTj9dcsrQLXjWKyiJID55R
gzKPeXclCYklhzlWN346Scz7oojCpOQaVcipq/p+m8LdJwmTlOiqEOSXhlP1usCrFBzM4Fa8G1ZT
b++/iCqFJ3o62oNlopFmvJLr6VvnNVcrY3u53ybsDeY2VvHTYnZpUC48GmNnM+7+lUHFrJr4x/0W
WRSrWa7HX12FGTxPEOYv8c4zxmzjpk+wKL2NW5fvft6iRDPkl6mzAdVM2jdDNk3wRji/jEZ+BRhR
BWNqb5lFQddady+6F7zeUFb+NZIjnUScnxjPQ7TpKtSKOewN85OyHolPighivfetCK806bAV74EP
FNfyqv8ZFOOF711uTOwK0cP9xoxmNu80ll9alOihxql6thCnV0v30acR01piJptxeL7fRZbPsgIl
GF2hvLatx9iUXUI3uZzNOsnrJHMzgQ53NsG9DE0CYYAxtjcsHPRb7m3EMoRGOtW7mftM2GK5a0fn
56qE900WlWJdoqt2CYsCYLI+Y9drbI/XwP+rCwyzcfMJt8EnAionKD4lnFw1W+SZXFhOmEy4WHL7
9Qcx9aJR9Oasv3muarkZ5LWwyveabRXw6rxBr/Ey6lwVuyBoCffAyN7AkqzDK2KR53n3x2bX58uC
AoF9J2uy0NAQ84myDmD+/kYawE1cN68dn20E3oL+mKy3jc1fezMmd2t4R2gYtkJagT7B1kh9oD/r
jm2QnsosPfmTMR7ubK5iTrw56mlrJyIb30OBx90r3u91gDZx30862yTXZLMUJut9+TjHIJsiFx6o
NX3v6VGiiiOfYeUJyXr4WQv3VtgadI3+PK9iDoPVZcnkVzm9QFfFK9JE76BUWBPdei2dz2M1VZhe
WZN9FG3I4TdDzUJmLsVDqc9BQtUSrp+Zpce/Rjp89zeioSmEsBDkGrvQolNIN633Wa1OlIH+IZ/u
ovhMU9Pcu6w2m7rjw/2rBDFSvExNEZY+6xitBEotrw3n2vFBbl5rK9o7prVLEh7zWDXPY7+8+Q5o
brFBzPloyXKb1rjCYcTcp7FU935zEA7q3hVc1LbcSEOkbaH0M/CTl9Z6nBvtN4cSCME5j8oQ9XKf
e+aJWRbPoJjQmmJsqddllTlXR+3Dp9NW9bsfs9o15CsH5qPTMW61EqAr62fRDboMmY6z+BAsGyAd
2cRwbyireAnZdCTEZgzuj6yJkA18bAPmhWcZJT5PsTv/jj19BcuxkILQLgIKMTvobe2PL8iYlMN0
wJED8TVaS91AXzCHMOCdtrHQ3iq4B67H1mr73D9VqhUUG1+cN3YIlJKwZQueS/NH3x7ceeU6kIDV
JQz8qZTn/bLW8ZPodkWfv9RavuysmTdZQqxLBsCSJquyZrsOrplq18/i4Bd8njJhAR1n2qCZJGTF
gSZgFtwwZVd8dij4zYYxR5PymFvAqhCffV/jEDHhE7X+s1sXdjrup9Sr3EBMBN6gX4a1Sm7I+BXl
PDqo2JEbTwPxPKxJidkzzMVqHOXJFzZMDiqjhNhP2JiuMHo4xW1o4WVl5a3WPvIpJTItWiO/7vto
devxIR/griFuke+MEaEwVuxDWtsfiwzSV1bp5rYYxGlmvKmj19zFBvdqZxWIpStKRFm9328/fxR0
1xC5VuN2HU8US7zlobwQNLTyIHn0qqm43cug1PyZKyMK7otxZngv9xrkvohnHZurgRggsnr+mURd
qssWwDBSFi7lMHSvfgvxD3utt7FK76Uu0ttUdu9ZzanG3I/u9Dglr1ZthPFCmeHH7M6FXgJv6uTn
vfZFMs4Uii63Z2mnYqQGr9c0OdaDmpTv/AtlFE83BTci+58+xxvYBpSQqKiO6ZB+pYZ8T6KW9dIp
vuHNDlTWESN1NOb25i3Rrhpm9j+Pk3aWdTCfJXbItURd1uV/keRBN2CD2I+oNjyCDVzjZzSyBLSA
I5LOfpcFG6mYnefcl9/KjM96TPN3txMwCNrAstazuxHoynsZUv9lKi3WyFWNPtvv991x0Ti4ms7w
WKj02FCCc6BI+zCzb8i/39OOqqZyl98UKCFTK0qcInqBBk0xyHufVIIyd7yNa92A/Y76s+OhqrIv
qkSOIex7tpAJ9lPqg3UL8GV1pvNBEdCcWzp/NK30TZxiPiv/DCmLxFI5pzI3b7APNPnnfu+7a/M7
jeh63r8jT0NBrRyMA1VMOXTPECwvbrnuL3KhaEl/rPUCbY6X3OPQPabUw8B3wmL9bJjlX1KN3rE9
jR9V/46SOQ/ulxmipByAZvsIT3etndxiwzvAgzwrnJhhM5TvZsdrbU0MDiSQ7bvUJ5e5+2Roacyp
wWKdfa1HJFQe64L2rBZWu/t9vO7DjRAHfeZlYUALMbTeRlQSyvg26xOkrYwSaTaHP5Sa75Dnh10H
Bh4bxFdvEbM1jvOWVinnXJWgSo5HMkuQB0KXeVIJoyXVn2u9SC91LU9azYUQoGQa8DgH+Hc/rdR+
7XXvV+L7j25e3XKH56sySAvJnfx3abvjnimD3F2lzhLTjC/p4iBrg0yxZ2q1Hv709ZSSViYaDxUs
KjSZCE8LqkYT+gW+gMCBwg8Sicux9gCMjuN6ZRMlIwzsheuhs4p3DghqyjwKQoMpN6rcH1gmzoNV
j6GnUVoQ1/TqsEFufFebOH+xSS5Y+qoCAGgjsEk02AHr1DgPNV4XPWIu0xiaf0hi61rm/tcYufNG
KsSe0pY7vGhV0++jkadmiKPdhAAhmIbyzGZ9jj0qsW7JH8w1Qc1vMckgigIJVk5Q4oGs6y0Xab3P
XXfEe5e5G91hIg0p/5mHEVfuyhHp3RqixpRXOJwgWm/0sgBIMS1uFWZePvM+cnLqraw9qluZJxUm
pcIzsDY6j05aV8d//qhX5IheEse9USZ4sTqu0pClgS+qOBAFTucqBVwkmvHVWn/1/UVEJsXKAUj/
Sh3ii0OEvhMJR7o1cXFh00/pjccOjr1hPAIdG4GjMIWILXcI5bLiEe6O5vsf6NoxFXiwAVeT8/2P
v77Fu5Mf7n7n+1cxK/MPdTPlBBwBi2qmf/8x92/555v/+WHj6pK+u5rvX7v/9f5f/3ztLw/1P1/8
53v+z6/9x09Ni5JOFZ2av99ecX+To52BJvrn99xfXsfMO+x7ZAz3/3H/A0XNMcnmiq4hin1SeXjJ
RHAgLL2/gPsf0v9d+en0YFUALw2dpCTL0WQX6IUgq7Yl/Gu1VnFBRsVUW64wlfvfY9f5NtTAou++
cz/qzL3Kp32zgl305H3oGVTwWeL9ANAbTF00BXmSO8fBFRWxJF7vHHndsBfWL97/aJo8Ca04ww4Y
A1GkC4bjLJKI77rJPcZ55h3v/8Vy6h7TWg9MVLQHDK23HjXmrppj86i1tXlMaMgco3n8ZjK622kO
J0yg8J+S/beOOHA8xKMfdMgGgsItto5RNPghC2iEeobrzeYNAgtDy6wKNODlofLHQ5RA8ndKyfBK
YBxyffGaa47/e8AQOFvHtp0bJm5eh4ZhDAwTpaDtFM5WZOllrDjKP/j2oiOdh6PUmGQlRSQwm6hT
dz6hZ33yaHfIh5NSs9ijzSPPqsVDn1JAdJw6R/slk+M3pNuMEbvyUcPcFpSt/xjp1dZNX/GRH1VO
eBe5CoQOKq/AVrREBwtzHvLci3TUOUXPHBL28dlF8lZbAKoIzBlWXSFHmpx2p4zLYLAX6vAovk5k
2FoDqCdYYSEU4cMymM+DJ+VJ5Sn2s8bDlGl5f8xZfHrogcBAYTsfVfHb7wbS0pr+E5fEOI3wjnAp
UCGi2Ez7m50Nj11tUAUX05msTY4rDgtvY6uwHqD2Mia4lL0KkVVwKLUU7rnhN/Cw8anrOpTQIkKZ
ULhbUlbQ5nJDML47VEBfHiZbESsJOKTNrQq/He45biCXnpl7KNqUpBIcL4diDSBxYP+QKiDp7bhl
aLbJ01Q4DkWLFCfdbr3NDDt6g5OIuVhHWpXynu01ccMnzR6TBRv0aNXMCeJN6mEyXAjDxDkk6PkW
8+NYaMbBzWbiGRpj10DWQ95LfJAX/2xWd4LoxhPYsSqoRmt+GPM27GrC8ujeYvQY3w24bXRgsCf5
zyb4HvJGgbmq0aBvq851b3lM7Tx9Y5TNobZQvBYOh8w66n/zCjivGJGPKK0majIOSyQVUMyihaNV
gmhl3gs9OUpyFcI4aXteBkq4VD4scUqQjw/6GZvQGXYMcTRU+AQ+0o/TAyaR21Hv7QfgCNCTmMIO
Xf3J0fAQ1+a7YGvcSyoxEjMQEYBY4BhDDzFr+VVNCmbVSXYkxZwS3fMeR3rX3ECE9rV6w0cIZUQf
D7azhK5Ccmp3Pb4v23j3bGzIbSyuuop2Zaf13PdGsekt9eb0yY02wquDdmOwWCycpLlVjn+B8fMS
RbREWo+UagM8mIYQBsX7BwdXWioOnEOt+m4kAxFj7nCru4leloFCX9RjUKWj91D6zQexhAdD+ckG
2+GAYst5dHFDge4eeVpaRa7H9MBJ5YPW0AcS+MtoYIfKHW6G8vF/CDuv5baBJQ0/EaqQwy0zRUqi
LCrxBiXZEnIYZMzT7zfwntoTqvZcuCzLEgmSg5nu/pP7YMdpv2sicBJjxMQhAsZvw7OWV+wzybQq
J+2pLbJPo8ctvm0jlm3I0AbJMtLAFR5zHGbuKIHCoY5Rlx8a4b3Nk5c/mg5Wepz8pSvbo6jEdwFp
e1A9rzTnc1YyRShwFwuDBOMJnMA2MnQvjaXo58TFo5O4Ql/G7QA53dyr2WNgPI7DcD+nY39HHuze
SjLEZYHkRs3DlZOiJWmjrQxrc9WPMtn2dbxuBxu/Ci4gdtp9mOn6uQQkv4dTdkzxYjt2RXYZu6xm
7zT6beXGzenJGmznWUvoznBK2OEkd9E7yNR9lCN1m91XkhFephIZI91L1Q5QbOp1Z46v8xxcqOQ2
weACkDvOvCp9mJjtZyjvEY9fRWXv2equCSrlQTL7q8hcBdxbew6ZTwPzXuEcOte6C4bqrjCntTVo
AYxymtMKjkNkiWdFzqqBgsL5QDzfjjgJEA56xAKsL07MtVkPV2xDkel7F/Qj7RpHTqyMpqe8jX/D
JN4mYfUANZOp1YzCFD/KqVgLI99kygvNz/ejoFax+99pPDGbEJWJBi84Y7v2ZatZhsaEkdE6SIm2
wYIdlOxBtiZ64/raucYN0fwj2JYL5+kYDsUXwUYHRy1pWIE7RFdafO4qa6uR2jpGIad0ce5qJDnt
hxHmW+hul6SGb2Bb97HIrjOCtlVQIVIaoMGZX7FJGUzOwAERyusYmU+eK3aQAeBLwTCpXUesbIOy
nKgMaODilKUROEB/sIfuTr3nRUP0uTTfjam+GHl0NpMRDSDzAwcPUKgBMLfsbpPkBWru/NxE1Gqd
MvxdRyleoNIoUwpyxlR2Kjdt7v3ConlY4eh+yeW0Qo67TZvmFb+3U8E8ooTZoj4a9VCJNx4EO5vP
ZMxs7lP/3c70NR07SVXN8BH67u9JeNd2Ywf4FU+T95LzcfRT/TFzD40EmfrGixPGXw5Rx4EfbcLc
AfGCI4wpwjGS7l2tYQ5kQPTJcmVNN94zg1+R27HzGYH3Eyz+6TbNQ7VBprRS9JUsjjbEmH8yT/mF
IUOU0zPqKU5mHWprO1rlRJPGEqpnAULBttTtUazSqp6khoP7yBs/5+xsiffU+sVnKSOcHi8+Q528
bY5OKm54UEOJi7XPlp2sS5ks2X6BpzlikxXI/b2lkRZ8303medRwy2pSPK8Nkf3CEuCbmdgbpcpG
1PXvJjn5Kcuw5LhS9lxHROfZ1i5OE3ZEExGgOmQ4KUW4cw0smGBrP+FocfNGB+fDbjz0jW1tyyzF
ptPwLvZc6srtLWMoWpxDD04cYrOTy3gNV4Q7jZt5xCIi9Ym7hto9cSbNiD83ThLexCS+66ldu10b
QACL3I1ubEWh4f8x6wf8L9kNyk6hTPWm86evNhNfbsupj04NLmEGxIrHllefITxtDabcPnlKceWd
p3b8QcJY7EkzW7cOMqywrGmjnOhj1FhrEN8BVikPpmDcjmQ7bArfwbWiR+DZe3FL3AGiNy99sWb6
I1GYeyTStBdxWW+0iZaqaPJXe7Qg2UKpwcLtFxPuJ1dD15/mHPTuxIzWRJ5rz+OdkRq/ZookNXnJ
EFQbDJRpB5WfMJr8Q6rpp3TK7D2732/DCF8xT4ITVw8ffWlFO+ZL06qZ+lsFgBpPfKTJBX0olhbl
CJWaM72eh7M9ojTROLFte69V1dtgskbGtHjrAwanGc4oO8Q85AwxbuNwvTdnizU/9h8zYRS9ngNq
VQJ1PMQHfM61lwinwU2RixdtmO/dJH7BuHbjmQg5IN030Ob6U2o6+9E1sU0wH7OQuYmnwy8mwnAL
WobDgBx+yIDJVwgwRtKh/PgqnOACu/UFHhPU0S9bUl9T67k4Oa/mgl4YrtxTOon9iJzdNuuPoX80
sCX3jS8hQV75g/QHIilg5gj7rsH91Rme4RsRdVGPO9hwKzBepmKiZNjl2Ixh7ZWOM5P6NZ+z2/zf
/4N6v7Yp75ucMXoK7uQXmLKxf/MULg+vHi3BtVPUxn6IPxtyx/7xq2ZcsxtBFlE/EoBdTQQy8nSV
ExzUQ/RQ2jKcSmav3848HJW8+qdplRsreZHKixe+lZhXpkpW5odDnqOPfQ8zt4ydkKvC5oPAYayH
sitEvYY8kprZGXEMO4MDqY7dDaqenUXa1PK1+j/+1ATZB6wcq+5Xy/cpUg3Rb5uUgYX+NR6aSltZ
Vrz8XQPv0lVAx9k3iHUCXEIgqzO/1qCYeTv1tbodA54LXRdsT5Ivq53dnkz7UXnhG0zshk7/URdW
djPGBDxCmoxPdWoymxt2Hb9hpCeoi+uhCBjhlNw4+9rGEoxvqeer4/ouhuqvrtVpRb6VRXizyEpU
T1432IKrFwBwbWXTESx5EuVGPZy6LvW0mno5GEAvr53HEM4+ottSvx37+mMDkm0UTEz40WYM1+rt
US9PvYX/eKn46m5MFMeKcykkzQQZ2AnAWjWhP1PeUCmrje+1IGCzpzRWEDT5U4H36+6XTtsCCf9O
50dbTCbUjyeRvtcJnVHRRFkQrny0tQZzLCYUIoYWyrdwxl5XLQk6/AiWNBsJx3Im59U28t/qoXSN
2TXKUJehOxYfX2NV4uLJilJZsFhxykf1E+qayuo7fvjHRUV8U11BhAeIeiqe4n4cUnZqvJpbY3k6
9XDu2JOY9mChnaFFwXQbBTF6+z7dumV1Lpp3vQLE8svyMpkMFptI3kENbzYllqElitHNYIJ0RFby
QzDo1eKuSkcNIp7m1vs40jWO+/myAPh1l/5w3F61ieVaOGIn4+IapWZw0gv90IOYm3goINvSWUvM
onXEwGzh8B7DcNpDR/ipg/YwTaDZstKTXZkhNxwdcSBEBXpIeoYOSwrHyGFjPtEtfBXDVAC4e48L
DQJ6Nqre4oFDkmGZAkVscbWrFvuiwmsJWZ0rGvm2PBJtHptFfITJ/IzV4jWU2A2aCE4FNQ7jhvyu
rYYn9acIhLmtFU1MUcFaSEN45cndgNV9C4LFIbIm3edHD4dql3i/ycUU6wbDnS5sBpAaRtR6wuRb
UrFho2RurcZ7sWSKZYjn40HQrLGaIDyRE6K+zU73nEXUQ9JhyO6aoE1wOJmwD7RxeMlPmHfM6sBq
Umw3IMgXa7em9vQj/bqMu32bafoiQ9I2TVGcNYVXGgqBYWCXrxuSBQgNOeBImxyCBuMaZqwsb4bC
czFfuj7LMVGu7qOcwtadHGetdzAo2jL7bTf4umMBdwrMkesvvyu/Aqy18g/4E1sdFTKgi8EAl3QN
vQBAMhMYv3q4FR2mDbVRnkebJKOwRpJlEQ5hMEpFKYgbQK8/E2YNSmbmt7DCgRinD2INASmqKEwO
wqLXWcBJaucDWicAkJhBtwmvD7WptZdhBxKbcwwTckUaNToXnLJ25jSc9JpooLrRT03AMGIeE4yo
FJjpmNV5GeHnx6LiMhfmVQVVbKXXI/y/YZeggFzpIbNsvFHy9WjAe8ur5yikSF0Wuu/hl9SX7rYx
AmdrT2G/K+hkZm9AONUC+kHAb6mwwJ17teRrDb6vxOJ054izOzsWAmo+VUwz1mNG3aiRr1U683hP
xOYGWMV5xK4iqLRXGU6/Ex8RcYI3x/LUYlIurOgutpNZxigRovKoU187JT5ynKn0ZFb18IdWUPWV
HjxGblZobooOVpb3qUxGZKz+qUhYF6PuvuaT36wRnJjbPnd2Q0DdIpPHEK0vrrj8podW2dGpqGCE
XRE/B6uRPTolQHXSjIXJgGRCXIuSUTOaaSJb5vDOsk2oznjkYVK8Sd4cLNlW2AA9u2TL7tAJlvtR
+QCG1XZOZ3MPp+HUtRJFmPmuG4AT8Zif6QOd9TzJbAe3H1Fa9Ru8G/o4pMBtjIVyH4pL3+LF76Y/
fn4fYF8Iy6Cxsa9i6qzuhbBnbWvF9ALXpV/XLnuAgTuSOdBEGDq6JOMIsR45dgx7qyidlasofX/h
VAUoLiypouJ6KPLWrUxu7kj6DvW+h/fMFscpiBIp1WDLUmJsEwexviJpRAdTHIG6cOFKEVL3PvbP
wEULaNDk4HKUHzd8ZQB/FXNB/Uu3qwtU/V9YzuwBewBuuIH72nzoeuvVSWngSlxbgByzoToPrthy
HOz01AXzGftsF6LOlShYV121y8LLpPcMcDEakhJeXGlRlaknQUrMbNV4y+vqhoztOYvhASmWF0cH
1SNgmewICky4gQuXZZb7+S4s9G+Fny3EHDmwD/OkJ8eCN8Gs+D6aQ3BaejQ7zuD+n+k9mCKpPneK
mL9Zg38SaXYzjeJi4cMJnB9/aCPeTC2gtglTHrkXVHBz2sZdr2+ckAMfe7n+3HZ0oPr0BtP8A6du
OswBJk8SOw3icDgykFCuhmRGVPIKm6me6EmsbJ3GSAfcCGIl/n9/IIhh8ZCScR4xItMipPVU4P7G
bWD19znGBgJ5TqH5u9oxz3Y2/JJA34wOWSDuwItI1IdkhyVlRIHfpqjaLd41z3UbCNzZ501S9dPK
JfuP5FsnPxJG9GhVDiFN5u+6b7/0FAzZktQApd6tk4GPgISSlSBcwvP+wowkmt7FIVbKcU+QKJye
bk0yWbQiloE3UsFMWMpPK7v3d+T5HQrAuSZqX7Mp2GOtzK7ugWl73U+Z+te/5Kmx/SzrH218Sqoj
pu6nLFe8WAX55YlLSoxxpytaZ6uYnhnOm11iMDepMWfW2wbSSFTeFGLnKpB9ArzZznPyo0BB169f
W3N8zgwCt1S/McysXgbBhJjX7hPr5lfZaCtdw0xrwc7wVF3VVfDejPJ9nNiAqhTsUwQxm7CBY+eQ
p/8lxGyJof2/jB1F+TZc/KNMqNWeb8E7hzX8TzHQjcmNBge2I3gVDsXcL6AoyK/v497OCfosIYdi
kc0Y0cZ7KZUB5sLc6mnPm1RqoO6KHqV3bHwTB7viKomE1VA11UVTTEYvoiwKA++4/MsJJ7Xc8xvv
CSb4kbs34w7DR4sOR6/viNOkfxuAIwMF4Ile3NGA/pLKy+ufmPmXv6/wn/M/nX/P51UvXL1sYvIM
Xvu/h81B46qKOsVshjbtkLNxTNK4DzzIoxpH8wpTWswGqnlC0mmgbhG+gSeOoTgXVcoNQScHK4By
pYJ/hy6RLRgmwBZk6Yci5FO0qgCTwZcvEIUO/q53ePeWU5QB2xpF9GnIOdbMuHgempAbAQpyqCU/
qmyK1TrNFLFpsvg8/nLtFcGhLBkFhWK+UGV9ELPhQ3moboVr0hLFw9HXBSYf8an+JkfxEScH+7+8
ada/hv/8XS28UNNyVX4qrgX/ulqI3cu8QbNw2MFvakVK91WCUSIxYy9TWO7UPHcmsNhCplzoEaAu
x8pmHKeOFhqWs1cFpJY62stAqlYkzN1CjlloTVKyeXguHhhGkp+yruWdc1lCsR4/MSb9+Mtms62X
wQTHlbRIityAfvMgs+apGyYO1RiH0V0UM5RWd+D/v2a8/1wzlsOmgQrDh8n4HxKEqCeqI0iiFh1w
a+6SHCWbihpAhcssNwLfGhKY2+wVupkyE/QxiFckPZJR2BkLRQJXbPJwDh+dWp4xiNuy+R2ky1ZX
DMe2hmK5FAyTmJ8mmAaVOlQiu7jNPu9MGQTXMi94QoNxCxwI9h/tFBYjGFFAcIwqXJ00hjJHW5HX
erQqxnY7ekQDRcg8sWSE4ZGjpNfLA4amCw8pHW1BLFt9dH28i1x1ttmxEeydxD5WiojlR0NNVgAw
kMX4KKEF3wcN7M/spodwj6L5JYOaIL3WRQ/A6QpcVVOQIxFbCmUTo3h43AzAbOyRHO2/RISZuvev
QW9qSWL2g2jFwqvKcj3938IPnV7Dp2MeyUCqCnZIitV95+P2Y6LVK8rxwZWuhfuRx1EqcOJ3yets
hviHM7nuITabXfQyK05drXhWpShP+Lzc+07kkpfAL2lJ+dYQAoyDPkXJsim1WPO6/aodiBjUDPNT
H+UfL4lucM92Y5tcTRwZsIyB7aE9M/jgQG1MMBRYZVnj6sgnPXRr/U0W+P7NIuTzcD+E4nHaIbMh
bYiTbTzn28LTXsIOkW9R9+Nj4BGRKruTJjod7aS58ZvSQdU6OifMO3DnI2m8ASaJeejzUEx3YTBg
KeaUxjEcTRztxGPLrO5gTXlG4dWSXUaAEWxyuLObmrgCJ9eLLVsb4o3qpjj4nnAZdrLhKWbYQmez
OhjojvVH7fhNTo2kijS3yX/yINp1PnuTgyfCXybV8v8mhZzVaE/6EP0QMrLSUmTSZvtnKShxrbq4
GghmU/bRatFZKOJWg8mYDJuz6oujOnn30uYYVOELO+VNtaZ00dZ6VrOhOO/ex8B5D/Uai4IeSu9A
aIwMmj1jyLOQVFyBRo0gq4Fwo+qDtUTKt722lacbHMYfe5ieBJF2ph6T85HCoU8sqnAZ/MG98zVq
8sPCVO3izyrqvzRTPVZMDxEQsVwiiXCKYqLd1LZDxkqRMYid3ldbLaMTTUSJ2tq7ZppyvoEEpSrO
NsfWYOktIZWf/ZzMjsjByewvv61XfUc5cNPpRU8f2RDkAYfUZ4jgxYw6FIHOjoGdMp3pIQaHyOUL
uQN7UkmnaEQN+PyiRdysWmEq2W0LMXLX9tYTaTrvodqFPEmRonfiNRHm+3KDx00db5xyeorTAQYA
prfgHealTifs85SpVMvgIQLRS/zmzY/Gi2NpbDb0PStnTPeYLWEY2FDKFZR/BjEWW8PTf02i+lUn
1WVWuokOKLmjPQ5aDn89zMdNYodXjeE5GQ64QFikvy1td0dwCpGUjAIk5b2h6I8VQRQQ3o9IiM99
9MmkX9OWZRvHJ9KPOD3AjHLLP9UuDP+0s5JTw5tsyxqSRFm+jwVm3T5CNvzn7RPI+AuaWOPUQ09z
yNMbxyy5YK5ynGfs+SozYNDjFaT5yiHcIUhjZNFnv6py4DzRAwf/tvji0FseNZLBNnWoAwD6I4YP
8svJZvM5k8ySswE1MlowiYil8178WLAdNYWOMICJUwLfU4+LTePVHeMtjIeSLrF3Zdya69G0hi0d
OuEfCCv6Pt+7neYA//fFpgomNSXFrFTaAHddDbEHkmaJd4SDnR/sJIIZ7TlZpXwS28mJwztYZXdW
Vosd6ZN3GKO6m2bSrdWkIeBmar6PB7JorLI8Ft1s3slA3sekEW6RwFy03qh5uBqbIZntpY0NiJW+
17MQHN4iwtu3/ZlMvutozBgq07DuoKRZd55HyOjyFbAhCvziTjP1J2m45g762qHWiTWNXevqBmje
g+51FMSalBIqyoj3UEEFz5cdYFCPnW4Vo63v4BmfTK85QXmYDiKU2inBc+eukT/LP1r1neUrFHWA
oA3K/qyc0y3nOKpky7+XkNcPtu0Fp7CX6d4vrbdEBBiHRBhaWLLYBMqoyQZSwUiguu/pfw7VKB8i
z0sPeZobKEcQtidEL+H0g0lVNST1mjGic4oH8wKJztkvV7lchYVzHKyM9qcK4bCE2JBDfkiAVPzZ
WIe0oetqtJx94ZP/RMzHUTk6uMitz2S6BWsn4en0KlFh892hzhmcG4CHW8uAx9vCEDz5xavA98Ai
XuuYeY17qlUREhoVfLqpJcq2T55s3PgOo+PvPYORSkbdCdAyvWLjv5PJvMFJ8o81ptkWy8XmZIuu
OU2x8VtATt8VU9WfMDHscbAool3lzttsGowjJjyAOUwJT6Npe+s0AjZkL34OI/81SwY8LEMdOgt6
5wH3/b6kh7Ss9DTOT043P5Qttwv2AhdTo7VgYgJ/UGvTw/QcldLAY+OOQMXfvYxKBkOhsYfkNOxb
I7+L+rnb4+dPlyyEbO8czWuZZFirQQKiKLPRyxKrAcE+PaZVCPcY5QIzQiND88+5gsgEXX7BR2Km
+A2px4ig8h5GZBlr08NkiWjchwSG+MZUGhWasQSjCMC4Fk8zxQDOWpQoVYVKH1e4ddNGjNW9+LBI
uCp8llZNNvxELnwdqGLnZdcqVdkHvfpPHrsvdiFfluqiGOZK5ULuRxM4L+ra9wFvg50P3AeTG+vd
mW1K4nqhKz2DUzFoT23MosPtQo3OpynZxwiqZoc4CHyA5ig6LfTs0szdtUchDVzXcDMiWhtdMmt9
a7dc5UKYViMiGRaXKd5AarwzYuPBsMm8BFRZyz4A/mqJsOIga2aOjxF7DQJTYurZAPMnwgUU2dlg
4L12Svmkjs+FQ474BVZ/w97Pq0iZUvySIdPfos1uo6IG69DOKdObqxTFTfFhFfvctWCgI2wCSpw2
LZKABBFkWMlqmZqP0bzh1KeUJgiN2gRqDiG9LUGtTDqQ4mTgcDUpDyK/S5krrvqe5+mgPmcC0pnW
C1orvrOIZGRU66vbwu0fYjp3L9l5OTOCIhv3Rj9eZUdcAH52BJ5Y8X2Tj9VOb8kCpe5eCMJTg4yg
0elF8aGGRiZQlkGk/LHqCE5Jy5yzsOhvxST9VeIWd0aH8jXFVZh73jxMmnho9OAaORKs0rzQ3aIN
ccerA3O3yJMfKXLuVSCoXrtmExMH10U70My3AXP7VaeLrTmLi/BswoRdhCbOYWmgPcU27lvvEbbE
41i01m5oYXF1XnPMl2ma0gMG2rEJmwu+SFSi0YwkgliXvrprg3ojc+s5VwPNWqlrSFkLVroITmPc
U7RYZ8eEN0WnP7QoX/g7GZlVzh6eGwCh61QX2U7gNM3U+M7CZg1ABhVVFH4PMYbvy4qQMbYjC8iQ
mvUDRfS4WoYtZN8SdzPkb17Q7TG2eUeadozAV9AVZ+NGT7G/Srno9lj00FXsieqJkIxh7SIYsHpc
7/KiuLWatmtz7W15gsgJIfSwP1jlhEeo016VaMdmf2C3FW+q9lzmB6FNJSKciGCu/Ic0mOcM6BqR
DLVvwdAmTWnrY8ybkkaryXTzfuWz9SC07j7xYEGHDUxnnOWvepRAqgW/dQPeukCvEc6kD47p+hDk
mUv2znV0cmy7pjfdgA9tetwgHQa7q8hJTHgI/KDB9Hmtz94fhlvw+UclAiO3iU/I/fYHAssWm71O
SVETJUUKdYwvNBucbmkRNR4i8OJ7f4j+aNF9heacafWLboU/NTZt8CazfYV8ZzN5FTX5KC9jybWG
MwbFfoxhtz1Ujzl4K7sPUpcp3yZa9GWUvIeqSuXA3rqzd5OjuB1IxP7Qi+LHIIoV7CP+6Yz4yfWL
w9DV38o2Azdnul8mv+h69WM2N38GJqeWusaJ+rf2+nSTBrLjEgOYQyXdRyGr8E429ZEII+hirq3T
aOAtwq0ThLazIb5kEw/kbae9sPdODFvXmtKfZSLiw3SItJBIFQaBGxvQffk27i+rcDCe/cz/9Kfg
gRnUVtVL8dBj9e+HimvFO6DUflV0KzH3wdw1wzhUnjLVsP/dyyI+6LFKb3juf/pR/F1iVsI0Gisc
F4eXELus3WTs5phOHpI422GLbmIGDbVGimprX1c9DY7S3LUalMZBeDslWlH9uGpJnJn2mpqMJ8HX
TcCfWZykFn19an0m2YxgUCk8lv6oxqpxFcU14pmOINIhuC7CqUWBYahFJWbtpTShJiGnXgZwy9za
VFWz1yJK6UbUNxgqwCuNkPxS+BVqzmyPZba2uFEzBpGHfjKQ2WfxXwBg0efo6BxXYcTI38Nrduk6
bIyfknY3YlbiOtS9VPaDoWE6AqcjeOhlty8qs1wZcE+OSWtAxnJ9UJwkx2eTuNkyeeltlw/DOaUE
NBpk2q2t1st3qevSj0H8R6SrPQzS/dXVykxYqcq0blAu+r9ntcsSIgNnrsEtuIF4Tr+Gnswl9JVR
hj1hrQelVcdvkrynjdnxKS6KWD2ZOYlwXUVOSwZUuzZKGv1ipNtbLsFO2XHHUHzYMZ696ubWJvux
nUpOV3aktKBZFHhU8kaxx7UUBxk2cSKcLwZe7Acb1UUvg/Jo1eSSVTNCIsQad4tAdMQh2ulpjfD4
fRZaSdwFXc3S5Jp49tWWd+61DJxdGfcU1YfVabuokg+tMpZfVLehB17pEN2ys776YLoGmPxvOhuB
WjKV9jHVRyoT90+FDGLXFd65LiHQzh6D/HrWSVQJv+wqZvagk7sXhYfFpmPutfnetF/zyMGnaRwQ
lqiJD1HbaP5avzwzm77DtZh8E7ZQIs9+SJCA/+ll3HRVus7zC2ZIqww/MaYH3DaLZnlRnsQYj7Kj
XQNbfCyQ2zxz1vnd/CED45zq8mkoCO6DCq+iXjPFUig3+Ah/LGMrlKKcq3H/5YUYu8PbHivv2onp
1c7LrZe51zEc7pvK2fuqf+0ZVcAaQ7OlfB1CHPfwqgSQUXCzKxDLcvFLP6np+DWMWoTtaZUx8kkq
COdiheIg+HvypXVzaXvQY9DMnVIgLndXZmGzI9qTX5pQl7IXbAHZJlPcoHo4dGG3ylV5Jzq25+WW
KxQis4AaCijqhy+PxDMm4Dp5w/NrbtO7dywuK70kjv4H5y1IjVq8G1x2zqDA7UBNjvEnXrd6AO1D
Hcl+Fn1paQVVmXf5LyRt4NIGJcpVmqheaudQc54XpHf5DKFagNWnDJ0bwPymbo69BzbReleAJk4W
VSNVxA2BayGXg399nCaClBUYr+na92AP7104El4FXimyKN3Eh8Tl9qgZYCyrQWuServcF8sMQQNg
AfLhAZlP7mcdY01qZkibGGMp5GIBsDrnM/S750VLFCBtXmmQGh1J7PjkRzODRPkaTxqUhjDGgJxK
erlWm6HhKseUCqiRh88YQYkcRwsdi7O/Q8yOqmAZqk7yHKkFWff0zqqW7i38FOhBj1pTXgJfaXvZ
eI2czbelZkoiDcYDbG8KoelgqRMPQ0oquS6/qHrMqqZNgXWN0gviDaFmX6rSMig9l3c5je23kbrT
n6iTF4mX8eJJbHVxGQaXbDVOsWwVUe0YYX+a7ehHYX1JDD9FCsKp0/3yWI5CdWUNkpo24krj/1Nq
SKInzbvz+eTXi7C4UPs4uz5jO1J8kv0yA5pgnSzzZsIMIJyCSSjUBf4ZgWdUeyC49S5FeyjGTu4U
hAnVDMzL52Mpmgvy5veW5laK4AXpA8AFswwY9eZ9lsfvyz0kCP3aeVODYMWrthEhBX6nkv0YCCpJ
HAaBLH8/uixCWl8J8JWa19P+5AwpUDEFe7QllBnqzvSH/MbgSJf0wctO0QNoG/O0zSiUptRUb8br
AnHIAlOC2n2e45f+25kr7O1szp7Qe0CXcytpqVeEBKEjBeQVZf5jeeUtKcZLQtalq0fGgn/b3k5Y
cI8X/STmkwx3a07Ooi3PszITKLwMo1WshdEDVDZ9g1qsM+Zu605Np1TZAkaWbEgc3S2qQlXPYTiM
fLRA/qo0igttxLGKXa7swWqyKLANBKBEcWd51dpFFbQtk5CxccqqVTcWsA/mu/aTGYGX6dpMzDxi
57EmjiaqfhbCABR7MNOy24xW1G1uTaMZMMqLC/6fFCiRe0MLg3F3cWOne9eDeafamURpa21cx2KP
6liB32rXS2syCgg9oDmKrNVIFrmaQY49NeSi4Ob8eI3w0sHJgXXtZ0iDdbQ+jHthnf3VicrQOY4Y
u62XlxAPE2NvvNtFRVi2Ez8vCAZBLbSafnhdfC0yZNackbB/yUWo8ATIar1fZ455w4AUUJz7ilwk
F96N/DVpAGfC5O1eDINoQ2oTvWrUai5kYDQtNmpzWgixigzxCzNHQcdL89fzsQQ1+tjeWQ0aQmKW
xVKsoIS6lKWPjjb+Ue+oerbYaujIlKKjNYFE1EwaX84N6FmNF2B2LpkgS6fMd8uYX6cxNTZlU/zp
8+ReVU4yo0Sjtt3laYKquGTtAKu86gZjmBCNaGGM48qUb4L8AgyS0WmpQsIxbQP/Dnla9oxW6dLT
FEJThn5yhY7lFDbTjrH4lsul0QNM/yuLp7Ih/5TW2WeWi2XuunEZk1aTnNdUG8TuDHS7UbFRzheM
iYB3lMKhaLpvHcBDw8ZkTS5I2hQ/UEcZ7obesTcC5il0YLYS3DrdsIFLhqM61l6wMYbfbpru1XJf
9kT8cnm6Pt0teIiro/rPPSAlSrClzNRjHyq/89uvkED0xTm143jt+2V4B6a5HoXmbtQMfLEs8BOH
YGT/YbEqMJQoPp6Z8lYOYqmCGnK5f3BhRsDBmHdV5IW1bWR0VrWX7YGH1mS/TCMpjThuw+LzXjAE
r6FxvyzDhGWOobUzUaCD+byYYzT5DNs2a2F7ogcaMrZRP4jpoS3ya/LqSaWrzJLDxsXKftdepc3R
nWUoswqfrIj6Z7YxQMo0pKfCcZ5jEPBVqcnD1LEGypKDXQ8GY1dlh17ZvBReda/1RI0BU3764/ei
Ug9J6WmNgPe8Z1bj06Q6dXKOUer6/sBRQMTJPhhxrVbEAEz8esbw9TofuImqkDFkzD5khYLjmpAL
cm9jowdHK4mfepa6x/RxoNydxvq1Y0tWk5WiYh5j1AdBZ0TGM1AOq39poEn7fras/nUYJ3tt8vlk
WZ7sF4+lELhEA7Ude2szjRNW2QLy7UiD4bnZd1ZXxznXKQFdubI9RfVVg3rYZR9zUnyaMVsE6Nyw
HqXOXgdly/QgZ2iIdBKxtWuIXGPuEsapz1Dq7KdCMT7ycXgQDWFjs5k82D4cLDJuGIwp8lQdUbw7
3JUMZ7cDR0s0u8SXS6ZvginpRsfwdaFcdK5P5+lEZ5ciZS0C9uNQfnsUtnBzUL2UXlni0EWdpMvi
vRCoMZwGF6DG4/EIjthwh0LsytztQh6KMW3ezBHtaRuyKdl5/j451sJiaI3hM+3adZ9wyV5zI1Ax
56OkOFYnucLEFuedxAUAEQ4Piuv7j2br22WAwkctqEreFnOVBAdY8taf1bkp4KAzuO9POFQhI1ct
fAo6RHIofWKU/676t2ULXfazMr0lLk2BVcOltN/yINmHZINRaqlU0aa598Bed7T5Nw0TYKOon2Lx
Pfj9Zy3A1f2Uzyw3Kdmw7czWk4cA08rOrYrBVTDeYhVCMV6vcPNj/npT3V0ZBQc/wYEZoo5Vkl+m
R3shz+YQK3uAlnkN/OWdXQcnTQv3hZF9LaYchcYOV6jRNBqCVaNIH1HoX4OOCiy0qMB8tnM1/fIw
BVg4HaOM70Y/eYdxyHBvWi1jzhqoZ42ecB8MXnJYjKEWptdIAkPEObAQBxT4l7mQaP0o+4byRGUU
9uHKFtn3YizkuJwoQWVtOIHf+tT+Ttv8RRkYqWOT8D5EGlXzx6/ae0iUfxa4Drbffm7rN+lTB+G6
U+PtonwbmHIqztDQwbZsQXZjdfM1XXVFonlcAGDDA7EjB2FlB8EFL8DHELrfFlEGW20E570Ln1X7
NE2U9xWGTECSDPMGTzlYUR0WiuLX2wURJYG5JnvoexkOm66SE08D46l+DUICkdXhczdamPAko8Kx
VuY6AwE+OvgcoqJ+N0B+w6OV9QQwOqydwV0XLVnLAPH/w955LMmtbFn2V9p6jmfQoq26BxFAIHRq
wZzAkkwSWmt8fS9Hsm7y3a56ZT2vAWEIlQwBwN3P2Xvt+z5CPSu+fQ5udD00IPOuOlMmPAutEu6F
/Tr3W9dupXSN88Aj+Y80IzM28IxY+L8ahI8Iswn32CDRjf0JzG+XmC9EoWE7CYPvkZDURkrjOa1K
i5R5iNbY9zZr2mM8VC8dwfYu7R0ws90VrRlCeIESE6u0SSCR8PvpMLwBqMa/hpywLYpYy06U18v2
sdXRXK/Lm06QxtY2at+rH4YO2r83PjJjwlEocBJiZSOqozEjYNHCY9AmC1siS7aMhy1hnxVSEB1p
SDLYN3MvX6JyQSqgsT7TjRokKxN4q7DexQmR5EjTVHw1Yha9CuDSlpmWtcTf6pukYUGRiw8aiRlA
199Ie7PJC4+QDSghSnu38rtIBsppl+7QzdusAFXYfbRbPRNpeFtqEedyIO0K8nQ/IZBVj3FTNR9F
dXwpyXGWmndBtBJrRhofT3ha9nVW3wqmSBkb54WiB0Vk5oyTLhj6D2BLX3ER4sPkSs7ljuvKbb7I
jyv7MBNv35HOkyzJXp3iISbXnPrO4OR+oCHTbU8UMd/XKgshWsY2ahcWos0TIPkF42mMDDDWXPEV
EhADW5eEVluIecoy0GigIIJhqaVlxXMmr131VUIpFp7rmbsIup5Yg621J2oUR43ZC6lNPzRRPxXf
sl0tl7yyj1ZFu24xf+RjjU0Gia6c/5oF88jSP9R4uhM/j2aY6S6ivcnlnmaAyXHIryHCdujZ1Bbz
Q35Tvb7HwseAThtPPKwyRZtwaWxqMbMSX/M6Ixbl9HV9PVmc9CutSDx7hg6HWpwp87oC7MAr4DxO
T7O4UIgRHM8RmXzMQaYEkUSVAGWThG+TyrYmeUbOephVwxu+5G9Gy4VXakwm3HBq+CYWMdW2Rfke
1uWNOeFXEyrPpUdx3dT2/TqSDKh8wB3JTOXp76+pVxyi30yAhfmSH4mPhtnGJaq/pEX/TVxr1rHf
CJYrcUWRh05Un3cCxdYjx9moYfwrgIOxMeT4pFSwDeOieu3Kh1kzHleClJj0mtrylhXOCQeewA8S
cbCE4Ut3ldvoWyVpH9Wdvkv10nAbMmjXWcU62Eg2btB53iGJtAMxVRXVC/XaAkuA+z8QoDEesEnd
INF/bkdn2uCufyxIAszpJGOJeKxVVaORmHDpIotDzG+lQpe2ebAhxf2JOO/xsxqnKBQDDANnoxpq
/000/ll0cTf/F0RjaMLqvyQav8wlft7wT6Dx79f8Bhorsv4P2dAUWzcgylqWpv8FNFYUhYcsgLOa
g33W+gIa61CQFeAJKAhNxnhHRXT6G2isy/9wHGJQZdnWkFcIPer/+bcf0/8Kf5a/RZ3t327/KfIU
2q8/xK0ysGBcFCCV6Uvy/2gCifuHuJX43DZtHBIMtPo16vA8E0fMlRcGkH5LxfdfqwP/LqX9f/63
v4kjWXHL1TSKvITL/GsaNuYz1SRxqb0jz6mBpvBSpqfwovkEjLCmea28+Gfoxwd9R25iQ2TkNjqP
z8p5cq2DvCEsZsReL3ld6ZWnf/1WAf/+Tckp2xRE+d1UTcMIwo8n//NXM0MKIHBIV1jwIhQkL5rU
QbFxRhRiG12iyz6ElBurDoGNVjxa7TIdBIuKCmJtNMdOGZvjupeEZA6HU6O7Efx8t9apFqh9nJ7W
DQnsyS7Q5Td6s9NRCkdahsqCMTqpyu16XxGMYDbMuXJrPCluCoODSMd62C12Toqh4NKsG3sl0BQL
ji1dwS6sZXZxjOWSWerK1l9vD21XHtebyJlvC6KUd2mowtwx4mVbAiASerT6+LXpSd4EcJ2YOyRi
11Rg+dcNicmKXxnh/uuuRokr/DaWkm74khxXEbQdOUO23K9EoL6vUq+bGBli8V+SMKLui7oiXxKg
jy4N2IXMdbveIRdFdUTJE28j0B3gM5rA14ZhV+pVfdQH/BqMBb/3HLG33mybcwmd8mC0c30kZ6Rl
CYFN97huMLXVR8bwyh1lLr8OEdnHQMZjDK0Jp9DX7VLPHOJoghemFfuulqGhCbkENYXuuBjyRWYO
u1vv6hZJDFgIgr3Ajr+hMEY+0dH7H5Lao1bAEvevzddNpU5eEYeJ9B7c7OvHNcSXkHThROye+OTr
r2I34Rm1TOyvn3f9lOteMGgQldZdRt6KUS95+PqEairVvz+21Y0NzS+t/6giwjKCuiVqaao4SL8+
7LqnsM7bczp45Hm2RwzzUM3FHkGbgz+Q0GtPiJocyxBm+vaYxUF4aCtUJmqr86uRGDTFiNGjIuO/
dqiS71hIPH/e1GxoP1i4xJFgGHYFsYe99ehQWRnsUZdu1/vXu/jF7W3ncMyHTspXVAuOUx1kGFCU
qEMd0w7kRoeUgjunNja60VFNjOo432g9nKBxtNgNC9J5CI+lr8VAe4yVZjqOqHJSMpn2lngP62E7
iPf8ubf0d7kRdLs/jtcqseBYrW+qLQGHtUFzWd9Nub6lvzaGgFYRScTbFPcFYk4Tl4tBRBAHTWBz
qcjRwRzXm+tmEg983fzbUyCJpBvMhQQNlfxe8swRGhLVzPBeNJaPMsxXHA7d9dFF7P3tZhEQDuk4
bezqyWDARdCE1ihQFcym/EFTWSyvyvrXrz+/7nVtzMQ5Gz6f1UQtZ900wwPX+b5Gao7HWWzWvfW+
uZq4fBcsbUlcjIhyFk9cFNSqBvA47/PhP57ZyT8lIukOibhmpQIjte4RJVE1r+vuTC4TZlPx+Lqp
beM9YsgATivZ6ebrgfXV9dedX39tfY5k59QaCzsBosg3n/719Zv6SDleUln/1eOhZpxdQBlznQoN
AS0D4uTsx0XfjOtHs1C0f37e9UMjPkTdHcqnz0d1c+F6F83iqvf5eKTaxOdoL9giCs9MtHMwW54h
/sjnc9dnrbdLRf39l9eb6wPrfZ9/7o/XFFJP/2jMTkqjWr4mSzvQ2Zxk/9Gf+boPx7y94GrsPiz0
Q67mkIUlDlN7NEYPQsX7eisRd8nieM2ihdxzcXMEg3Bc9742f78vF0Q209DE2kc+5ZIU8g2I1xXQ
vWfx4f/D164v+3qkXF/3dXvd+/t/9c9vKexpRTt8DTMljkZWf5VczTwSB5qjFimeNVXZXirkVz0A
aJwYKZdUsRnFqEe20cbKIBxW/iDK3qRDoyYr0ScsED9QCAjaEimiXCjY2IZ8z/Ki2SH/rI5fG0p8
f95cHyCO+GcbC7W6+H/oqSbbAqY6GkCGuWLschlrHzl5GgBk94uZpooB+uvmuvd5nxj1GrBnXK8y
cdhTUPEKnS8Z1DqS9Jn8q9ZY9slY5zvV0Q921mPTa7o3vo4BI5FMRGOU+TT8hcX7aMj5wDV9eNBv
9DRNP//PgbP9aK1nUK2XUApTSPxIQ0ovNvh6mib1ZqO29kUcd57awakKxHg55C1Cl3UXH0RDLZZN
Q9Q5NuxwcW3MKdM4B8QX/Fi/G0OTCmJvimqB8npl+V9yFeFbMsV4l1rtDdqXxA9bNLr5aPzqE60+
9RTcMRZhEooQ0lrh3knbee9Q11DK8KiHT1HCyduKGdYkpidwmBAPD1VwHxPoSn4N94nDQVP1bN9M
CW+4lRbnMAI2URhC2hr3Nri+O1NxnjvmuvMcpuBocKMo6XFoc9M3wuiAFko9KpKmfG4Wvb9xWF6j
7Jn3pFbb5IYVm0hdHlF1Drtkzo/DWN3HChOckngGlL9g44PCukv0psIOPlG0NShfrxtxsT06+fT7
5ucDoteWZshPUBZS5habzyNg3Y3NlEmw6HfEUccga0lXK7LUrdwuZAFF+nkMRtKJVZArlLkPgz2G
N91E28kYU+bLKvNWs7duTMFpAjs8MKDmyi9o0vknGFEV8zVlHaUFNnG9SW9H8RfT9otS/6gmxKQZ
surUlobjukeFC5Z4FDVQUzgJMQEzt0gXfpk/bjtU5I6AesTdqRO1n49hMz8NRpP5X3etz/j8G6Qz
MSVrTdzYLUribSvGllpsMuClC7oTdmk00FGIgY1Zes+MSB6RCxAFzENVyhxjfdK6N4mRa937emB9
3udLlin+yBK19db7LBxlvk3UJgoargRiIyPI5esTuxzsCj2LIneZs3XH9T4L8RktwuZMopBxWO9a
HxQ+YRKzeFop0beGP82ltkd2i+zIAyoBLKw3bqeA4HaOFIZ0NTpkTTDCRaFjvv28r2t+hnbYeGrF
zHy9y8gVyZU1h4aXeNXXA183x5uKGa4Ojcgbps0wQscHRAqQdWP5ij1cMx/8U6edFMeDgDO+FD9t
Jb+MqEwZHX0CvR+zK8uOewntIPhMd8jv53wTTVQ4CWTfqMGpNpmeu3Nz347nJr6KVRJKtvA4D8+9
+j4MMCAF8NpLVS9Kn/XkRkl8UrxyIu6TGyvxO5VzBgH2yR5oBQec3+cige9z7idgpFgikR2eOulg
O1vTuAtpzBBHFh/SHBEdeLZpF/C5duaxONsg4Bmxt90Pypa1l/9CANt0MFG2lvTWlBtaouNDZx0M
NGcyOc401tIXtdnAwA3d6AnqWv1dkWBIbQf1sY88KqsUDntqYhsN97C0Qxiqa74lw2o94KMJyaiA
xqHf2JRgn5rkFjpcdpF31eZsHKt3AAPXaYN5AWHodjlqRwwab/O5dakQ7rT3ttwMXulKtwZXIgpv
b44PD+ygfih3hTce0lfZrZ5r13anPa616EbbD3tcyZv41vJM+Aq3LDqbDbnobn5R9tV3UhOj7oov
v0MGRocoJq/8AMTWPGsDPMSdwgy7cwGXBO73dgMT9mDslkeyZ2ie3mEx/Dl/RM9YOc/1GaMUQRte
/iqs6yyzn7rCNa7qY/uquz+7/XI69G94MQlr8xc/3vKGmYccy9ujhmvOpyc2654cEuvNkOWKtAm/
gFhXv3bJPo7ux9BTa0jpO7PeBzsHPXiWg0WCSYJq52HJXL3byh96eUf/dP4WljsKsqbmLujxgbQ0
W7AjE8vahLYNUfce83p8EPDUoBlUCiLq5q05na07QsTvioO5LR7M6WgPnuPFBwWTYfCiLdQ7/QXB
Pj0HDo6nHpLuOdo7d7TZLuFueusgen6oZwRReesSeR/GbjW580OGfdsBULAnfnMMDmgbSvOeLJXi
HUqivOy+kduZqHdFuq/K67iTf1SSVy2eFzGSin9w6+bv1gf8+IEUSeOE2tWSsSYeknGr3SjOJn2u
5+3JeMRwIp2UXeWWL8ZHxDjYkh7DkXQO7kPZtb6RoTsH2+zN6XBNigfx7Oj74W1+dKozdm5Yel50
l70pP/GHU5mQvyMqzY7Du8xRifi+3DL7IYvXrUgDOgixMrLDiVz7Deb6FhjCS+HTDkeEYD2b34e7
/NZ+rQ/TBUY5gMmqOHP6SzhpgcU9DOaGKmT/EW6bnw6nD517cxuULhLQDNQPHCmNqi9EEhb9W+Wi
HbU7olenyXNwFySb+Kd8Gd+lH9mt7kHwP2IMfA0/0kfC92oA+f3W3HTb4Jq+1C+ko95RHQh3kYci
o9qY13KfUYB9zQ769Xm+Nx7Ql9wmP8HcWiHZNxtENb/iwjWP067E7rnhQtM8df5wp+6hcx7ooTbP
auQO76yO0wNyq43uoR0pt9YO/O2md3uIgHhTNtCr8XKT4EAeiuJ20Tblks0C4m54yw9wrLCWJSZN
mo18Dl2uqS+6ckTg9AD7mI9ON3qDmlFl9Us7ZKPuoHLcOd+AvzxPHkTAPV0n3wDZt43tGwQxcuvh
ffYzNzwWaPxcxJ/0rs+cbsmOIt0+xFP3wnF4RtunbCh9HYWJKKTn4C/XBNUBWkR/uvsR7MMzK889
SiZO1Czd2rfdXj6MXHmanZDjcAUkIwJggls/8J0eupOwSBIguqVXPId7kF/h4Gaym3Ba3zqvpJjP
E72Eba3tAnOjceSjpLtaezzNNsehH1D28kMv3dZ+8m28lM0Ta69EwgSELXdnvNA3KDn2YDGd4YYe
6nOwy4/ms8579mEh7Kd0e2PlW+tEviAmTMYUgKcuMeCUI0GFJt7P+SY9O+/6bfoUXuDgfS+ULcny
WU50zl/jol3UFHzWIVLjspEPWbeneHSUdavxIy24IrmATy1WKkHJel0Xa6N+HDVq6Wbvxar9Cg6W
uTXBDlBWtKrqEdWDLR7ES9a9UCxI1r3R0Lpi/7nryLHsJdlwSvUWCrp4Traubv7zV2PTYBYD/mBj
dUbilr1JGijNJtv6BdTKYkEVOf2x/2uTNHJ/lDTQ2eve+kBLX0IqZZM6Ev01Z2z0Y7gsuyhN1UNL
5coG1bJdSBw6fu5OMrXH1qjI5zL1VvfaiAnnCDVlG9oD8RGVheoGjzgkJ40aRLLeDiwesjB+zmk6
085zmE6D9KYUalMgWve6SCwKvm7DAmL1EcknJAmoobOGJouSF0dZbKyYae2693WfQm6Rnzf9bSAP
bqxw8JszPzDLE1a6daFUZEspkg9TODRl+WhbGXMQE+9uEjWt34u59LrpUuOK7FvZYTgscMz9+yZc
V4F/3VRHFDDRIN+sVbZJrEfWvaYC3U/eB4uU9U7dbGPSdJrIU8Uq0ESNL+uLvl/LwZ0oCa57xL9S
KUtVmcxJYuRN5SHDa7CzHUpT1TSk27limEB6WJ8aWVF2usb1uH/GxT4exnjcSaTP+18FJNku+u2c
muJkjPt8E6OkPcLsxivcNVzVnZrlusrMs8dVNhm99nlTHmOsrUyVHHS6VtjKxyif6KFGi/JYNSC2
6QFMR/oAE1jKSfO12N6Hi/jFG914yecKQG82lcs2EfU6QmSGjRXYBLBCtOIV/HJfm6/7hkGeD2pw
LkYFd8/QWEyV+nJ2Z1BZctteLVY9mhWYZJQzYK8lugLbLM14fPNryqveiirSZ/H4q5isqsObYVhc
WFHLoJiZtCNxrgQQ1xFX1vo7HT2Hc6TvIjhl2stApigrNzYyql3At73XNqbirWXV9bdcN1837a6M
+ZAsDGXm5OvPi5yfovJsKSyMRHxjNY+ioWlT3qlF0flzI2rIRtVwZxgqbu4QZa3V4IylRaFCt1ZY
ExW2/edtgpByb21O/He86H/RjKOGrgCc+M/jRa8cN9H/2L6TmxYX73/25H6/9CtkVMdvZAHdhVah
mgaNqN8ho7b+D01VMNTQFjN1unJ0zMThGP3v/6mZ/yCGQ9Fsw8aDy8t41b+njGr/4KmK7ai00mQI
Xf9fKaNU1QVU5o++HBGXukpX0DJM1VZkzdL+uflkpVMNHxT7Zywbum9O1ZNhw0WSk8ErKrW/S/BX
3oXJeCxyJfPljgNRwzl8X/R0hNJ8Yc2ZV5gxCvOesZE0vVYtdjGYWIzYVYR5Wzduic+ww2q4Nftw
F4ZF8lBKDTPyeARL11fVi9ZcHCXdprG8vAU9opLCGeur2hXVKV0K5gdJO+MqVKy72sECNxtB/mCl
IE5Dk5RxJdDubVWad50KoNYoY4exoGMxQjagq0a1gdCYE7Wc2+lH50gXgFkS7xzqhF6Y2X6ZAsDv
yjy+yk3jBm08fYttRFkgMryqybDG5Wb5Ms8CuxhZw0HLuGLnYf80zazmImmuLj00iKcWEeOmrDrD
rZBPC6Zc9FSEmYvGB4fSkp+49lzn5W4OIp2CSf3uWJSZkjT1lXrKYDkbNqW0JfIxIO4IAapoLl01
LX5xKtjCFulP9ZIPZycHpJzOpzZQ3YAv61nGhZ6hKjxQ3XosTVSckjE0rmnqP6XRZoHEf0fZhjXG
gihjDX6vB7eIqmhfLOM9zivHs9QHsO1Epen5Drpyu5OYrsBmPZPs4zxDArvDcF/chv30Gow50oeJ
0v2cs6KYm77cQ3AfQ7CSI2tMB037hEn5Vp8GkEqDcgWPAmeK2DgfpO+immfJziBrElXYlciju0bO
93Nnq8fWQsjV603yHGBo0OOluCVsJ0JappT7Sv/gPKr3aZLre2s25ZvYCTJqCNpjm0pB41koUeyo
vbHVXKW9HFQHpxoc5FIqJSgqYjuDH2dHFhVQ+ZnFPM0MFiU188YklYg4n1HPJHW/71J4FlJlwDQY
pV+AOb5Xkjzv57DW7mQJw3KgHRS1cM5G71SHiT+KLzfWvE42wyMmOpJk4jpD0hRLOylY8f02ZrvB
0W61Cj6gQ1lzG2jZW6PJKZIuNtbSnfDDxfuo6FnjpRnHfcScudWOeUBN2XLul8xSLzYo2IumGaQl
ZEj88Jg8pHFFqCYzRpuwO/B789HWA8wt5JWbtW3eTdo8UzTDKG8SNY44HWkSbyPzmEYGoApYvFfY
0W9hnoAMlSwLCLLMz5/3MFdiy40WqXe7cibbUZXcga+cKFaSIhMqImaOcy0JksVXc6bp2gwu3aJm
oVSUyh7HqehPeHa/a0GXHZoaR7GBMYZGSeaWcmNv7VryF6tp9vNyD7/thILfgpedFzhtxMcHAY9K
rWyEdXfBbmV3ficOVrIDYrcsTN1tFbq885Dap3hMX+RIb26dUn2gnnWMA027qPjhIykoT9kostOw
Yw5mSEJ5qRDZ1hbA5WzjwrnzYnRhzJULmKySLXfLpM4Hodaemzg5kS0QoWjWqNUUIkUT273fg4wn
KSqyNr08LBt5JoGLmC9ONPILRbCa6RItol61OK4viRYBGyre0ELVLvDJ5ChDFJmeJPpWnR73F8SR
ygbaqY2piSWvrHXHyAYNYDjLczEV1Q0BJICGSng14zRQH3Reme9RFyksikJGDj2d+BtTD3a1LZXf
YsgumIB2fa1VlzDvoPw70wQCRMm3mVVFZ2teCCaDXbol+ZV6SGGgvZXy/qazGvUONvmNSijKDb7b
u2VJpW2DRI8LuImAGBpcbtfW93GIyJTELlwlz+RHQihHNeYVbjkkyWFuA2PTK2l8GLD/uG1u0eFu
YuKjIpjlsSol4LKl75ABx4eE7M4SdqMOJupiyqYDk7opPcYhgbMRq/j+RZ658lNlsCL1puLo9yKW
QMiaDGZftiUheBhYEDqLuqXpUbjxoAdHwCNbvbbe4dc6zxqYp6uOH7AhR9CdyFjd9wnKMpjT09nM
JXU3y4ZDgjGcSuz9t0tkl2+JMeo3liY9YeE75Y3ZP5WW16qBjpHPEiSyBPpt1/8CC9dTPqLnkrZl
dIZlyeAhC1Bbqs+n2k5fs1h5CONJOuGtQhafpY/N/KMagpueJt5TIkmvudWfqspK3CU1SaFQcaWp
ET4quBKLl+cWI+1SN1ekt8dwHkR1e35Devg2mzyTSEWw2E3tHLAywzIIZ6BfcEz2Dke828EMuMN/
runaR4gD6bkOiRlY5PA2tglI61M7ekhmTIDjHN9Pclr7RcO/IpEueaSBSNACV6mc4aS3Kj60ungN
IrL+xjQvKXJHmPHtJfenRcLGEFACNBvMRGak7hGMl4991ms0qPLJx4bn3NjasJfBB+6sBuuzMRjy
2ampXpZSZ+MnNEfaavlyCJlUu3aEh6OB/nMdgcFe0tJ8UxUZ64WpPo1KSREnUW6XGAYXlBHjXucY
ClHlmaUyHLuAoLreAPrNSF25aiY57lirv9R5fgciozzPykkeCucZiv09E6P3pYiKbT23xJ2k7VM4
OEjxO7lvz0tNdQ0jMzSXkcL6+FohWVA0xzVrRDP491NMnMrpcyCx5uQQwaDZzolFA7xu5H3TMib2
facyB+gUqFMo7CPhFXIy0PCL+q7WsnGXjrJyyORaO6uphvtRyCcjkRgI8dfeN9AlWbRE5SNJmovn
2AzrvdrgIS5nwiq1tjw1qpYACcN91afUIILM3nO6I8off5jZfRYs1NChcvidYsPfr1PlPs1C1+oG
56TVpT8AsDu2Bj0TS7uh8Snfdx2Wtio86Up8bOayPFRpR4pdCSsPN89utcvAKmvvWic4OVyAyATV
EEuneeq3ZMqdhyI6mjWVwYT4G5qh2c96qZkVSECb+hHWE0c2gKOJWmP/0LWS8dhQWM06qFyFUss7
uwt9ySphMyRvmSYXB/yrH41slF7hBB3ETUKGYzu5gETsN10rlJBEyBTYHzFkDHYG2jMFTZyGcCt1
096pdN+rMYRczOL5GsOV3JZVU+yjmXREfmnNI/AGvTTwtLrsWw8XcHgYl4Sihu24Q2n3N4PZM3lM
RlrtNYjqERNl2xi6q9s15IBBjc6mUf7sm4k8QQqTZsQirdX1ggq53dxqkvQylpFgvNAgkMqHxF+n
EalcwopS7pO8UHZyXeNIS/vidSDJeeLSJi23ipH+sBKmHbraoumqrAs6P6rFYUWlacHEaznfCuNe
ivTxhvSGdxz1vZ8ve9mukbErSXuHpHkzARQ52VmGMc9UzrRQOgy9p2yYf2mGRjBHEFqbIlwYFCxo
w04sCt7QOE4dFZE+DmaP0kjEbC3pbnOmWpNOjT1M+lvmrPk551vc0gLGr0LveI/CHISyAAEMWkiJ
1jKfc7Wl9ZLiWMlLA7mAlcJSGuTuJGJ1Bw0XAom+4X625ycdi5mPlv7RwugqNFGxbyTjTcTcDQXI
ciiqPtguHed8xzsyVekx6Y9qYDevFnAhpkGYO+ubSi88LRzvHDWuDyndxj4p93KqByCGZvloEPch
Zth1YrK0HvuFbgHIkgBzx32ONS+idpn2RkV0Ts7YWS33KdJlOY7mSxmTABlO020pEqi0WDm0E/Bi
aXI8iAKDq0nCSjXCW0XjL++irPjA72bSydZigm9mJDszZuios/RrZ0NFMCdz8Vl1AbySqCjXkWTt
sKCV20SMKNDaX/Im0Q/rZIj3C5d0ooDSVQ9t3FdiFaDeAFeBprs4ZytFDg8QNPYbtXqwJgTKsRIn
OwKo7lJBveXxY2baikuLF+tuqpJEYyyNh90NYII+g0sRk7LRGqczRNqSr0StaTElzkke87ek7Kji
SEV2JiqqPgyFXLiWFKdngxg/svtMz7FmLNRmPXuO6mhQDYCymAOAI5xz23iC3dtouBFMcBZQ1Lke
GnPgYUIvRyJVZuWKWUgkK9NLGeyItwXDMK9mvyDxdnKM/D50KGKXXI4jU+4OZUg2zzyQI1Az2Ybt
SdkxVuuMWaVzkDQmvn3MnFpqtC0euHI/5RyVNRhxirTq3oICVjjNCKzHaF1FHjx7tguv7N8GlRkW
KRV0pwzqrfr0a02kbR3G1KwDK67i7Ne1ispVBdMAtLu0LSjikb2picwOANzYo0i2Bsq98iUyZyBe
icpaDMXtWlZKAkunjgg9k1QOgYh+VRYmr0lqh17Q4h5cLwP8dF5LDLtZLzftohput9jNocNsAuMu
YQU1jtRJFd1V1fDqjEXxqFTFq9MwAwY7sg+ZMJIawLU+mKfopE/TQy6bg192MnYI8rtYXDHS4adx
5awieKyPHxdyH4lzgN1JSi7pVg74ROsBAjWRFBWGuirtcwZwk1AFM2h8S5IGP0vmFyeplWvQYdPL
2gBqrDgsG5W+BobfI1ifSzVXL3FE0nFmFj3QfvhwVTF/a3PkAYM+lyeYUebObumFjkvADxqnrz16
5s3gmLGb9ku7G2zzYqgQ1Iyx5EQJShjMJo1gfUpPharXB6U2Psh7GMg0pZiP1RUzQpxJdPOCkXG1
1VxicEgKbt11wR3bxEEEXf5AsD3f+KD8Kpm/eENCXToKhx+zUfFzZ8Qw0d8/Q5TFZEOoq+vktY3x
I3bO8sipFudkHY+zFO6a2qKnmoqsoBTabBmRez2rxOxFjb2nhg4jQyHCOLZka08KMxM7xbyQvoSV
UdeOpsVsRce4t1N0/ALUz3/EoLECuS49lcgjfw4IPTZ9R2npS6QM9x3XbTS99btpzD/a5dCx7twv
7USKxZDG27IgEKOmSVtNaSv0KZrbW9p0r6iTyW84j6cZHjT8BC7CFf2MQl2CyxQMb6xceUI2AIex
uxfbGsxDReTobVPeks3iM4p3NwHjka9TyiGpR5iPbId8M1dbwFIvI8rJzuRcNIwu28lNiiAlRKgb
t8tPOyHRZqqnhKk4i7Bkts/45JRHM4R3BDGeer4loFKsTRk9inuCew+aoXY3yDFoKxF+7JsYBx07
bw9NcZ1KVT+rcB8OcQFlCB6khPgAhsamnZfWUxwGv1IoW/MgQUWm43ZLW5pZs1EoV7mrdpIDzSOP
gudIocAvV+kuTIg3VTRmO2XR4mZbzgsWnTit0isrAtr9DjlLVRbKnh1jH+1mMPSmRjarIobAqVHl
c+AkT2bTTeeKpHv0l/tlbm5n4H6nPCPANQnaR5NImRa0jhU5xoV1h590Bd2zSb6vROB84kDKZtIl
m7Z5ID+1ZE6Uc1GNyOtyiKR6KSFUK6Q3Mlwufh0YBJi1eHXiBo86Rr8j3ZXxIC32nYIV7ba034a2
Z8E6lreVkkO5psFcLtD2CIOzDwpxQE1PixcX3H7GEbXNVXPapRVFKksniEzEw83KpWc5fInT8ZX4
xvYZnCMFg+J7J0nxg57Fr0Ey5KcwiN7WESuh4h+0BYFhSl3sygXSMIUYCITNQ5RyfdEa7ZJCLtxE
ePN8LnLqgcsKU/Y77PfZc0QCDKwrzPgOn62Zu4oMcj+PB/VmlHW629hGfYIJiw4cDrJss2z3tqMo
jwth3ixE5D2kFuJgw+mqik874bll1azHBych0kqjvn6I0YVMzPfCUZn3Y9Ah8w2ZztUJ3K1UCX+Z
izXfZpm5lzWpvQesQBzRfW701bdEJIB3CbUjQME7G2xSmujlySiSX6iw5IuBKdTII1LJKPEeABkS
fTOpFDFaObqStOn09qGeZoRH9N2D2s+jETFFvKSneNIKSOpOtwun2roURNvua7t/KJ2R99+k8mHI
m72haoU/RHhzkzQpXX2O4ks2GqpfZaKBPU/z1pl0/Xs/IDrRD5Uxtq9Ki1VSoaq54Up+o6OSBKoY
MMVvLZovknORyw976vyJhtG2aYl6RwP5LRIBYDb1GVr4lAJCRrfbNlfuZeEQ1npWM8xsxtv6zdYX
cHga5rpG9HX+L3tnshy5sW3ZXymrOa4BDocDGNQk+oZkBPtkTmDMDn0PR/f1b4G6pZtKyaR6b1wD
0ZgpMqMD3I+fs/faQUBGC2bMhyhiktKar1Hf2Z8hJwSBoc+x7TDmUcFRCTc8Jx7SgcgfLqqVRxq5
zV4mnsnonXWeXdyARGXQjMnNeyNxInhGbn83WJiasoFuru2ljwV+M38uymXqOG7x9eEeXJq19tA+
OHFDMxMIBjVt5G7nhDyXUhI7AYD5pU3vRzXNtFLUV2FHw6k33OIiJRQwPTzFYepe5HAM6aHf+OzL
whqCg9OOYOhBc1F8k00yK4Pxez6ST+l5wZ7GOV0s3NBQ4zN9GgNjWIdDOq4N+O6H2KC2LvQULiEx
3roipxYDYxuSbg/I/qNj0c/kIcCyyfdGzEyKhn637UMj39WIJXcwn/y9y60+E0lEEyi6Ii19wM6I
m0/JOz3q/gUl93xkf74bpPe1d0r/MU0s/7GSdAhGehOevMIlnNYW+c1LyznZoUU8GtoMSfQIGNU7
eKop7m6HMH1tM469LJcxrIPav6c/AmirTLfDPObHkVqPtj5KxHKyDwUYM4MBwWmyYAMYNlknMcmq
3iDAC4X0C7UirKOLX5VbHby0eamdr32PXvaDYtKb5g+8uAktS9ofXkjlHI3+ES9lfSqr+u6DuEPr
LiN6q3xUc4dmoCLfMpvkHaVOeAzNFJFNFIEZ6sv2JmA0vs5KQce1FurYG8LHpWqdHHSb9IIbcs76
pDkY/arx3IL6iL0iEcwi2qL90lcYZofKYM+ZrOuYwxrxjOLdM8gBmlPsQovkNmA0ASUko8mAxBbL
yXTIGvK+MvYjRWZ8HbrDPgndO3cxZ/TNetTmoqahbZxmD8Zsr+zUH0/W8sX8Nsa0BnNm32IZEMI5
eTRpoey6IPhs1KOBXJ5lEmnqiuJ+XquGjqvBDxlFwqRaR4cp95Dy1Uhe2mXk3EOd/JAYk0SPKVAb
DRmeRnlwNI6Rju2LJKBo8WeIVZz4VP5KXzTsj+MYYZlN/Im2EWEtdjmcdBgOpxExiMfbRu92SWRq
oivHik1TO8beziW6PN9Zgj3uWnzV+2Gu7yXpEGcOdshY8hAc8/I8017NvF7AuHbWwXSwef/98tnV
JSzu0FqPtdpkvTeCzzdYXEsAZVbslJvQtKP1145F+6QWy00yzQzyp/T4ARL9jSZKuZ6WrnmEX0sR
OaQtFuFtX2Ghcfr0tWyyb1VJrnfShjc5gs9TEXN0tHFhu6WetzrUoPOw8NKngQETdSCS0sndD2P9
dXTYrBkcIa68SRr/bQ4+fShlxQwRspSkUC6TeXf5EiIahKA1ic2HLNk0wFfQAtMbuVwiH19o+aK0
Yv6yAcjUnySA0X2g+5t0GedOoxjIpRu+dJHf7EKRPrrUQWvKPcie0zKXkOVRmt46LACZZyHiqMqy
+KSL9KGYALMRnIcVA16K0upEd7Dc9YtOeV7INB7jeEpdG+UyU+4tuFjggCIdsLBQYRiF/yWss2+l
nPfQMZ7mJPse4AMwS2IH65lBBruk4lohBAhxrWWH0Q4exUuAVv0kJALIqZ8+O2g9iHjbUAVm+3Y0
ru3oWUds4Ct87VCmo9w4TSZY2yAkULGe+CDqAmYiGk9tmvD5lUQLO14Rx7MFls7th15dySTfyTY4
lwNySyupZiR/KRdPGL6AoxDP5dxBH0rdg8MicIQPqndhVQYL3emZmCV78zEjmUlqPhMSzmPd3ViA
N0mn1umbV3aIiKg+HLc1TpXlPEXGKMBpujbCk+lFDKPaYsYyVqPnSMYY4T41BtZsHcpPk0LhZZmn
0Arkxk7pctOxmkzi72aDs4xCNRrhzGvzKtxaDmN6XcIEqunTL66gYfkC/wC1Ik6A365LMXasoPZC
E1fPMoa4BtAt97853UuDvhGXdbCadf3ukgdM58LXAFIUIlHQV7MGeGBOG+l300YhDVoZProdQVo1
bWGEoG2nUJ4EHXMdaR+qwhUng1+OBB4mCXqOiQDecDbjtR2XFEVclDjA6CHulObc/pUyxVc2pAEM
ArGBFjyTD3Qc15lG+GxI/90T1WczRl9YFOc+pQBWUBiuczh+ZhzNUuBWHHCG/pNRVK/tV49YOAtJ
lBHcmC1YzF4vh2rx3Jjto3TVyRhoy0z9A27pDbG4G7DvHInoBSmtyeDUAIZy/zlFORMY3nPEj55c
FPmDnaQHZ1GXj0FFZM6MkXkk5aK2ST9AW50vupZJLVprXPjEGlLxznTIajBHBR1thsxr1cXtyrsZ
Oo6DtTUh9pvKe/IELDA/CrCAI3J/w4EVTgVWeEza9O6ilO57+JCKmm5EAT4GM/WdJFpqZguf4seQ
9hPlSyihwgLDt2GeRgTTrUrsVUtLwzy5eFSrSeXbVo/fPkwlxaGKOmIGGloGRsGrJ761mmxkgSiE
osbx9yEHIksReGpPQPmiUB6sRUb0YYIwE4k9FNqWkwjj4Br2OhTZTiV+cegH9m3YWRyTbP9bvhj3
RDhTM+di4JBP64v+wNpQCYdK37/F5fGJgjjcjEF98RZbhf6QMY2OdQib0NzH1uLYC6Y3JhMcMRLY
Vc4Ucm8EZnJmhhJu29IEwJEPEhsblpJ5Mm/6ADgM9SQ9PG3uQ7vE+AgxHaIGOlkXe6kax9cc3dbO
9qaXavm1YNEceTWfTmvcUyGA8cmCi8n68x9bTbWs7TJOCtw53rU2o/MowBWIABBrs4hsMCM9Ahpi
iQ1sCuIysjZEkm1Z62rOKoJzIQq4kgn18mzrgPc9Cmdu7SK/oFqo8cVT9JU6vDNN/gk/PFXYNqoO
RrtKudHTcsESLRJu5mhd0XBoXnbp5Zl/fDdk730M0MBtCfgcSzShEXM+RG4v4z2eS7AmyPyrlqhd
Ct+Kcob2rAd2vmj3WU3smexXSe4+sF8N26ZbOAuJ3HEonTHhaIYAloVsNXdv/RHOeZ/0r8LN33Wo
xnU8DfPayCh/cyEkJ2T7i79UJ87Wt1me7YKhmif9jUF5iivE8k4I84pjg+VDQpeHFTe8AO8aFkwJ
KQ9BSj/eBybbwJIgIqOW24zMorWTJQhV/YCtK0P8F8FTPWWW+FFL5ygd+pjjbO8/9m0aWPpotO9Y
zp5kPF6i5Urx7OAchupQW/KhRYezd1uXaExQvHTLmCK4/XTRLQaTINmNpmI4Wam9tOuXqSf5WSXN
XdqNZ5uO0JkY+e1kN/LBbvKaiUTAUqzGGz7JDiHA8BT2w4XK9p7TmrfxnAZduq+MtYyLHw521RVn
5Y1vLmTOOXv1uJNqjQI9IG52kNWhe01NLY5zS+IhtAY+ubAvttL83kLU345l3K5Z6YI9ZPYESXfw
2HAEhNzZNhc6ok0Qc2RZIjbFEhCaVdhH9bjkLbMKLo05aHZQLp7qBF5iEUX3rBMBbUXaGA6Tbfwn
VkX0M/SM9qjxeWxblPkfgGeat/m1zE2TG9jYN3Yd7J20JUnDgsxOxw4qFfBmnTvm0fRaqI8t7YLc
e4sxgh1NiyLGnS49I5FzE3t0E1Dc6Hi4dCEiAAqTrNHvQVJ8MfmIV8qbprVjaUKsG+bPQ19/LpT4
bAAqtTvnbFY24VoJSlokLOWEE9n2jIEwebKfObC364KT9bqA1Wz0DyUZEJx4LHbJVeKb/U7GYMLZ
H8lUTUfMBZPbb6icX/xBTgdLfzMt49BaIoD+ihamhpnhW841SXjzgKg3ewuO5IrQySeXge2hnfQh
7QPrNDjfgzIgdgEOrsNZct2orANd9KMpg+yTD2K7avOjaKP0s7/HZRquEypIPMQFMZC2892vWkVa
KXmLHXaEAAtJHCXAqOfRA1FeHW0AQFteQLgzFQ0ySew0zWUBy9dNsR2j0JekxK0CqV64CDCW0BCK
2moJM0QYAPfTWSbzgZ9f4iELD6J7MHukOzBekGzGFHgy5KZaF2b4blOwLuOUr8pP/Y3JH4YE8g6Z
QPusQ6/bB5pWo9moHbZ/bvD86DtqYEJE9kwwDSGdpsemScIjEqxpjZKhvdNJfw3ddlelAlix9Y32
vXP1NMrpoL7tUCBu+rAy9kNMu06Tf8hI7WJxwHZypTZtGO5ZoJKDV1ag7ySiC32sMvNb0KDeDe0R
5TKu4Q3Dr2ofOMU+oDHEakWVYiabbL71iAklqazfuvN0Hke089KFZtY07XqUqLZsiWxMyAXtGmAc
8fCYdI7bHYTtfu9v5+0Y0/9rMMstKczWulTYYtS8GbcmA7RdkMjPonmyXbs56gGNQjwmcplfofxB
/bE1WwUSkCZXaSNzSYt7xBVk2KVZw0AZCUPuHVJpsB2lW5qPnKCcmYzGkrDWTjN07EBLCnNg3FXI
82gupzUUOiXSejcLz8osP7mj2uQKvh2roFtDE6Smjjh1wF8pbRYNQzJsglv4BaE1+LfliRHVTnjz
NN2IgsTpuK1rvHnim0c/uDbP6HqLbRilT1lVW+cJF5td42lxe2Kaa4MimW0OITakoKghHiBaJ0mj
N0VYP3DKY5M2s3pdxfPWktMmi/V0lBk6oKZF1oq1MMqJhIzn/D6nUUA0dP/FbQDidXCUafNvqio5
Bhfl2ZARbcZG9B3Xma+PZhPtPDk2p5IYGDWZ6aHTBekCGXasYGB6iL8ik3a7G1Peu9AaHowm9DGJ
JPsqdU4MRklcC6p9Ig1rH1i4iUYThoMA2RO6BK2FrfWV0a+9AGHtTZvkNGLEeDWTJN+MDx/ezIU1
gcYk3klv/lzHOCTKgKC5LBk/KeJi/bZhfiO/ZIONDWrAdoUhNFznZf+G+AdBc+cStJf5ZwbBxj5r
8q3Hr+wyb3xoilFT6Y3IkJZ/ZQCvsqtLiJoSlVNXZi6toGNiG9W9yguCSTqYhMJRGxlMP0ozWpC3
6tb2fGAkmnEEZ1VyRCI23rSUOxFGlxTsWhB08qCR5+VZfxMWnrWyCZxZFVytVQ1WC8Uyg2bmFpsQ
o0VDIwXvTL4NjfCtwSNEos0zwfIzV5QcKK0HIaxdnJTgjV32Iic36fW6A45N079BN2ZvmImP23wW
q75Qn4ps0muv1QhdCAfJEw73jojWYxsz3c2Xq6F1mcJnYu0EKO3g3G5NM3nSynr1GB/lkjjrAJmo
Z5UR99xzhg5xh0QjZE3IfERkdntvR150Zkx1OyA8BC6s4p0vMOqp4DUia2qjO8Dt4RiflcTRmTvR
Yenid61CGKNDsnOp/2eDIB4ov6t8GrD3QC7eosu61lV2Cdyx3VkWl40nmwBxH9CZOo/hawzRXVNN
b/jntPxqZ9yuU1U8V13NlLcHGQUrZxehf8+jbEIGZy1tSDJnyEbZFn3HPYEaDPcrh7dTaJNuXp87
RvGxYF/2GYVRz8cvgaOwMNoiXMP9PirT6U5DsdyJkEmWtW/hpSwOgNrUfUds0rPnut3xA8rxQer4
D53EXSjzaiJP5wMBYUx1SpMDVXqeh8QtLI2Fjy/W79/9v/4dGS/5quPgCWwKe59H4zZYZPh9QuSS
OXLOnJS2dl7jPZocCdMymFAbdfugSYdTknTD6eO76PfvPv74V3/38SP/+Y2/+hEpiUSh26M3rQRW
asc1ma1tE11IdPS2oTWPBPJ0KPOmYN4YLe2ZaCY1PGqe5SC/hTpsLjHJ7ttAYXuTtXeGRUt3RJnF
TiJHXit+Csc7EG6gWtRKaIiqkyd6GoITY1fd0S0c+uSGK2/PEit240RNon3IggO5zl2US1CgEw41
0TGppM3hMKpdSR2f8Y+spgjdMTqWtZ4PNNuCz0AdLf9WQkmOe8KGTJY53U4ORsVu70gfp5b1Hia2
3kxBG25gVTuGlbBK2i4llF7RfLdOZBe9eSwdx0BtitH+XIngOoWBu3c5wi9DbEMPX0SlrDPM0o3V
MQRVLn0hAqV5ey6Nn9j0DG3Ejz2KIgFtUywVpQqMF53/MFs/fxyst86avoMzjzazGTyHdadoqhNI
3XbVqUxhm2qyiDBzCQnBeg/kW+6CgZP9MJbfsIvcUruwDZrtC3po+tIzS8HkZXeUC0CrEV5Glptu
Y0s/5AEsauMBFRF2S+E8Dw0OeD+O+QmzWQsRf21pUOCDi8fd6BMORIDaU2GAz++GYdqAOAUvYfcX
sqLePD08jjmFg+ngehxyaGllJWm2EMbjRdrexwDwTrZdO6deew4UE+8pMyxNzcuJbsxHUrpSYm/c
cfJ2AD3vMgiGpxqP/zrQamAw/K12uHEhEpDu09rGqRwTGln3IR3Y2iWqqRwvgln1ikVTN9uMjYZ4
vzRaTaWPOXLM7+dJP0a+1zJeFz1ph+68MqzRPakc46E35YQhO0uEAOOWNKadOviY1FkFeXb00vN8
IbMTbeL74uiBDz9PQBO6NB8Ocjnj9WWVMj/AEhI2aCX8kvfCCnNxlu78ykERmLpvbUN/iA5V0Jyq
KkXzPVqHj9dvNRdCHGmhjOYd0/KTmCds1k7+6qbp1RkxOQ7o3qIXGaAC8szKRJZAY5mm9INOqHcE
7aePf8h3bmzFazIGWs6RMnYdPYM+atQB3cYER5ZeLJwx0hXg9gGQIjGTJNlDHfX9oZ+cve2YE0Mr
wVS9PKcwL+3sLimSU5mTsGX29PRxkocuKZBOcHJrgwuHehiNK6f/1N9R5L01EWdB6ZIo4cEsmCrK
tywdV0lMfKT1CpmgWNt+8N5W1o2dqH2XuW9zAW2W+Mkl2O/gDsGbHUSElFiJfuztaGXOZoQlDiCx
w8hM2hLJMwjUVgefrFqbO9dOaO7H01taVRMTf/pRfWKk2yDByumZkflYOjVYaHffEJryoBEyrMxa
rSFE7Im/ix+KiMmWnrMX13P9WyOjXuf4sHWZSDGa9pJLniYH0wDHjyspuk065R/HIjb3fk7XZZA3
5egbBx03TBwbn5ZQ7aDxji6WtjjOvCuRQdee34nLI9nSfRhp5YRMHCtEHbt2wri7nKJIJC3pTKFb
8Jg8MHfESZkNT15GnyMj4XrdLlOHsvK/JLgPUHMR1md52XQSy+XXObTq/Za3neSwds14+RyJxa2U
0t0yqUiX0AOguUV7R7wwc6sqeU0qUE7+QKLxByJrdjt2sXyC51EMGBQdS5H2EaID1oqpA4D6DPPK
ep58stsTB1AxmhlmO8Pbf0xe9gJj8iuM/JBPwm0VN7eF1fd7i0mEZyMKymqMtHNyCjphMkao7nvI
Cd0y0Pj4opf4Psc0yGLwgpcxHTE5eg22ZCcG4d6P33KShdeej9S51vOZkqlcYhzstNtIET4VOYUi
zgmovTSsT0pjnpTLF8IuaRF2TBY/DIOWiF/mip/N235JIhf6LODfzXkDUhMc/scvogDgYLWsaQrk
jO95HcEe8kU24yrm0jj4tc3Ms29uPfRNb1XFBK9CaFYE42uzTLBLD2+tOaTfkEtFx96rzEsPWHrj
akkzMDZe0CvmcxBfERl369EA+G66qdwNrYLZpUbmACZZF+BG9IZ2XHSejR8T/XpOEvKMRVFd/I6R
NkFxzXeP1Ol15vThGtIRu4r9adAMik0TMZYDXPiSyvqG/nm2R5FRUJfp25xn3/hF+RC4zpextR9D
Gc1vRlmefXcYv+d2fOtfB2eO3pqcmfZsODETnAp1skdSBVO7FxFN62R2hl2f0MGfsAzMZP6ufVHF
n4T23+zBab5N7asbleusMK9hJxWnpYFQwcL+EbiIUZMyNFZJ4yXboBecDQsEWzZelI1FbCg97+B7
Okt01N28jiZkgITBFLfkBSHqs2b/0V0k4DCMvc/WcOyq9tqZzoOqY71xmhCHt+ftvLx+pkfF4Cpb
3AKQQ1HGvTvJVY5x9FQ0Fm30mBhPhvrcGaxsbp28i6wJz4BD85uus/WOKrs6goUxKbnKxxKNHBGX
Lfri1uQ4Wz8MyEbhLPZfvY5EYY9571MVEdtNZQu860FNursJIFzVkwXhKrYCtAIIu6a6CnHA4Psf
+RxV5FbH0KMHK6bvvp3dFGGyL4nW+SHq6Og1SL45vKtdPPBG+dp2LtqzsMLCSNtLFBaPeL445+Jp
+g6fj0z76jBT4W7ccNbnMHJwzGjr2jhItceGsaKr1I3Q5X4qh/q2j+z5qpWO9qmIaAHTbrv1lHnf
IZdGvtzCSahTpqsJzdS+MSFgZNp6a8Uc73DAuqD0GFN8fMk5E57S1yHqqtsiTarbvInV1qvorv72
Rxr5+7aT09qmVpnkPFy9LvoUTXi8co8Jj67EQ+IFDvSqHj1VTb5KZtSLTcSH2x4BBzAcl/VuTLfO
2DXrNFDdsXPbT647pzehs7znFZ0bmVrypk6NZ0cLf0sfoNh20Q/LVcsWOb0wDiJIaZ7RQ0rU0g7j
YB0wbqJkJVuqShG5ZjMAQSe469ED2NlwiqMpvXqPg0qREDlFsfZK8puFPxIlUljbFuQTiMicklhI
ekkVphnAc+3ByAtv+xH98ZPP8d9cz585ns5Co/zFMEjgtiewDZKXJsUvIc86CrK46uLkoESLiWdu
xW3fmadYdP49b9dO05s6pdKGyU7fZqvkhNHcZPI/F5hSKKUQs2dTnKFoSV4+bLQlwGk8zbFxQL6S
EwCmcrCO1YK7WKxQNg7kddlANw6r9qDGOIH7ElM7p5l66jK/xfuhrbOdosOHawY+2DLnLf2k6CCq
4C0r7OEWAn5yFNq+VMEc3v7ni5cX7SEL9RMRF8y1JHVSjwKO9CTQ+7MGuF6Z1oN2/eAf4tvlwjv9
5W30bIt5l3Q9m7cSWOvPPFSCryxmDKR0dIP7repD6003CUgmOyECJyXIIXT7+NNMzGuL5oegRFgX
o/2A2tFBDpKVRy0z+4H5a3txJXBoBAQ7JXPsLzS7H7lxMeNo98mcWuOY+uQy0JK7jmmiiFnJ2m2p
1NfMavCSW3F0L7AhIrmIPmdNhqZonPMXKx6JvS2JV2CJBgOj2uDOtTRwxqk+Iwm9dgKfnmzrY8fc
mfqstV48yfz87y83+08577xHtkcJKBQ2Wddd/Ks/cWPBlAdlhC7goEWwGYu836qg3VdDyctNxEQp
6SzB1nV37k2krBF0LK6B/WDr+Eh7+C4ofPMmYkLhTlmDM5zedeJ09cEJHZ8AhyRcf3OqPLx423qc
p+d8jO+gVI2bIEXLaAT5G+lx/aMxyDManr9/bTzuny8CXpxa/kMubMlfyK8FGWG66Gdk7yTPHpGX
0j7dDaUdf46AQW9kWMKMlHwQTK/kzq5bWD9GbHzxaou9q6QIbrLqIBMn2xYew1bmpz0Adm0+Nz50
cbfJaXVzWa3auUS8wsT2QmImYSu/f5c60Z0r7O5u0uS2GSLtvvYskcqcildFUNrO2yP+GU+4cq27
uWwJKgxN9y2o8mMumcYRZvhidslbLPr4mepG7zMcMAfpavGQIQSHAt4jxBwmhUTdIEOhVo9YJUi/
TIgFJI+CyL7St9Y1c5MDGTNHKDwWtrSziK6NJwh3CC3vkU3vhLRcA5DIopvKV9Edh1kWhAAvJWnh
wbmtC4z5qv8OPmMdSPB0eiIFTiEFFc5D16NjIBanXllOJx8revn7Kh+Lk8eBemNYGEnzGjmfq3v1
qR7Li9XMzneW1gPdz+Cs1IihNg6CVae98CkJZLbVlqPusNnhuDDyA6bLmH2CHmS0Y99udsCCo27Y
tXPVvmF787AfHrl38e8OfncjElwusmc7GprqU+Eqf+UjUkCLJU9J5OSHzm6mvdMhxewTQaBd2YGH
p8yIgtJ6+/ur8IO8/MeVyKF75Li2L8A8W7/eYQx4YsPGk3vwEYkcTKTLNq3NW7d/zXpxjd0AzELY
qC3NRHHOSKmg5ZeGByT0nPi9ods2y8wxNsWXnBCbrWR2t3dN5uTmBA0rn6bN7GPvEC1OAb2o6mdi
hdyuzdc5ydBO23hbu/Tp3wfRG8I2RBt0R9ck9d6aHT+ZwZE85Mwq/+Fl/wKkZuVFTYHrTdnStS0T
uvUfFhbDqY1ZC5fwYLe8xASGX8QUh2uVGfFd6OhzXoj8UITFUyl8ZPK9qZ840VyMQS9c+lZfW0Ku
dO8Kpj9OeGsEmVqalTYyGTzLVY/6O8x7lIOLEHIe3y3cfyvbwAEYJskzN1G1gWRkpk17p+zotBDw
aUcTdDQGzKfd2iE8JHd2tbNvmX9tZsZZ//AW8IL/tP5AJJCOr/B70H20fsFku71Z4Qiuo0Mvqv4y
ZaF3qxubeZn4pNyuu59DFZ3qMP7qSrQbMq5ehzggLT0cd8o1acjlfvWWpZeuh0MypaiYc2E/5W4o
IanAKmYTOTt107/68VuATOHaD/2XejTNg6gnfG4EtrzY8LtQpHCntQl+lam8dHaAfJ8xdlRmLwWD
twvUzFeDlME1eV7JqTUa/ei7pyAoqidNR2hTk31y0Lq8ZpU5XBpGyASKT589s+2Rmea7tppQhzvq
pZ0S59JBJ7mwXn4iDtDcKGFxmUJwf0A/ZMPjau9ErR2Ohjn2kMG41biK1jO5jNt4mKtLy6hmQ0b7
7Ye2hDX72GYc+Xtz9JCH1PND5VikMlTlWdfNg2133g0B8GiGOQxW/oziGL0kFMrhbJQVnpOuiPeE
OOCmmD3CBP1zR/zvaQYbzZLn3TuWTveG6sx11IVyOxgIUrEphpVEge5W3o1wWgPREvKXEWnZjv7H
N3fyyZeo4KNgASuAmWXBNcutCx2HbJ/0WbOtPJTEbQHpL+b4vjWB0ZIDSL7RaBnpLhYpKXmxPiA5
Rb4Xcy4PZprdjgUVao6G5Iymu4XFTNPcibxga9WW2MsuZSl4obii/iP3e2VEGJ/bLw4xV5tmnpBy
zf2b6drtfo4QoeCMpLmpMThWBSSFPuHc0AB1rTNxRbd5ayHZIlGZ5qjEYeohzFnVHLuuTab9rXId
eztONFxiUq0YrRdoAV3UFlNsPuEzL++zaIzXg+I3o0BRq8/eC0qxle1y7kNhqm5yPTHgqQLj+e9X
Fkv8AnRflhZXuJKYcWlJ5ctfSuTIMmgM9a6xZ5o6ktKUWJfMDYI1im6xmmb5recQ/VBUSbAB/p5t
K1dCEIqsz30BgXQcadwZCVyJ0vfHa2sAatQ+2xrEnyfH9+JDA7Jg17uDdbBt9doV5nqspvzWKZ32
0k0G0r26B78XZd0dsZxr3/FKDnjXMUqj6zLuu6cgxVthCXcbF6h+A4bzngnZy+u7bpV3Pb8X0k4Z
3SJjF7LTW1UifuidQW8GrNK3jswZm5cWebV++c7YnE61V97qKKpQ93M9xo7l3omsq9e2Iqw2Gppk
Ba4y3+ZT95oPwr0Oaby1cZstPr1dHp1yEOBf3ak9xj7qW8u4CvGF9kV/MEqm5WWymyki7lwqXHaS
YTgAD0F/opLNwIK8HXoeJRTEwpp5MB9sFV67IkFywxGM0dx0hHvhbD588I57thVtvSyo5kNOx4ac
ncF/wUZ7m041dAp5X8xAFyi87VPk+NgBO7c+YJ+PcCb49hZwZk54SGFf0oLSHGHSDTrMtUV+zyJz
PTUZypgBa9JZFaG5Q8a+iNoWJQTiavQuzlOC8+Y0u16+6QO0mElazgffS+u7GD3IDLZiK0PMeKgk
kzDJv/opwgCfPFGrCcRZuHgVP67Y/4/5+SfMj+lI+6ebe/Pevf+v39I67t7z7//nf9++t+3710i3
37uu/QPl57ff/DflR/n/wkS0xDigRwSkwzb7b8iPa//LMRUJUZRXnJj5id8hP1L8y/OY53nYd7Bq
fPB//m/yhvUvweTXJ3SDiA+OBeq/k7xBisgfTpqQhFxA1bZjORTORIP8sdDx4XIYaUVnxmyGu1Ka
mwDZuxtV9s7wsBDFHqv4T2/S9bfa8ecewV89IrWktE0X15Nl//KIWYFChjFDdRi27eIxnL3qGe7L
IEngG4JI/0Mds1QpPxewywvkgXwbth5bt7dUOT8dEcPOCOamSquDle3Qmhdrw0UmOKfvmCZf/v6V
/cVDeTa9D5MuOa/u11N772YWW9CMy5ikH6ydPwKDRE2842QE//0j/Vqa8aJ4JIcdxOUa+NOn1qlo
pg9EWYN3BF/xsvu1EXqIlPCDf3j/LK75X99AD/40wnbfIefl1zIwrMycgGpeFTIigRnbfEHfD8ZI
IV7ROKlqE9kEFrGmS8Eo1ehC3Ts7rLezKG7//lX/unMur1oJ4UO3si0FFeuPHyWCU88gkKE6+D6i
8zS4VXp6mMLxxTKml7EaHyi6vweU6X//sB+v8JdLyFO2UsQ8C+Wjffrj4xqWU9quVXIJGekxwQCB
/4I+8fBQdyg9tBGjvbxJivkl8WowmUb83shmB7WN+0c2JP966ilR6dP/5GlJ/Pe+SzlBQtAfn5Zq
Si2yqEBiSKOFWCznoFwerbOHpbTrvmmTeh0ZeUdDdm3+pju5n9Icv7buHz0HWRrZdIMKQZj9Djv7
ixv8Lz8mxxUsT+Rxsbz88XnNOtFTXOYVo+e6oWUmyk2j+8004T0fJHcEdA9XdG+VYMb19w+9cNj+
fLH+9NjL///pbvc8X/YGBvfD6FAeovVZaXKpF1LCSjTjC0oW3opkPAxKfYnj56IJun+4Wv5qEVA/
PYNfPhXQJxECCZ7BHNHIEO74osbkfSYyD3hN+uPvX68wrT+/25icPdpEEMHwCrq/XJxlkDteXlb5
oTSr/2LvzJbbRrIt+kXoAJBAAnjlTIqaLdrWC4KWLczzkAC+/q5kVdzudnV0xX2/D6VQybZEgUBm
nnP2XnuHreFOkqCuMN8xAiUP1cFe1ZSbMU/ehh7yzhwbIKl89eK24tAHI70Wc77z+TdzPt8FIfeO
MILTpIJd3ZmXOkrWQTY+wOF4oSn9wlFrcquvOsosSNKrtDrsSuN0WfIdg5sz04NB0qRdKr6P/vuD
xGw5Ej+nqj0GMJzUiHQrUjs7H8XSctdIblBwnvBke1q/YngolxZ4rmtxr7ikrnJU1Q/UNKoXx8Gj
ZYMJtvAlWlp/RWAi72h578UE2KKKqzbNfFXd9JQ0Dm46gVZlOlaQsgAxgtGgbum9iZmWJl4VxSB0
0O6xaOiwhWLXpculb8yD0/3MhvSaw0XOBBqiMdgRmYkEXI1bO0g/dSwjDp1PfT/ZAbewVfI7JOWz
cLEr6KVYXxkzU/Y6tlFI0rz3JvvD8ADdmWP8KeNkT0DXPUqGEB2HerEmecCe9iXvh63rdugApstt
8ejldBcj3kbZWJNrMxdX4mOY9nGBINpdVICbR83zi5WAhzSHqzL45fyF2Rz+ITRDiCQZQKxUT+hG
ZU0kWnq8LRVawLlAnB+ygOnLH7rk7GXZ1q6ML7CuuJJV8dkW3S5o48/ei+6RTcJZmwuDdGVg0WP9
EcD9dyZ+VUOx9LiLeRmT8SENfk0+A1zXV5dYsU/YOPd6OFVpHZya2Hqsq4FiETv+KvQX6GOoJtmE
A398CQKO24V7F2ccbd2AGvYZYBK7Sx1dAzqywGqaTZn8bMYJvXZ+1T9CA+qId+RGSwaKCPOSzM27
9ogERn4Vi3mHVLtZcfh5mGr54GXmxVBg3IiCzarsaqXFdfRc5FHTpQGAuiKO1q+iZ4HAGN4WyBX4
DI7Zc09FLiOeaICQUfHNBb2pGWMNbpiwIJYRmA0izgChGtLTZhNyvFh4Raix+11TJwZT8vR6I0Cw
Oz6i/v4Fvgttj+DNamUw75vsofpVWFvrCY1quO5LSTJOd769eoAd2Wqyxhe976YNyPbkatcMAZrm
So3D2++cA01VmCyGqExlQLCaF30rK705C5TvzNgQwYXFATUT9yl77B540NoOx4tgerbr2qo7ZikN
xqRsz87EaxvyGC84NiAWLFyi9a4xw4n7Q9ioc9PH2+2I9uUz1Q/uogMCWyP/hpLt2etLex16/Ojb
UgLF9lPJ6RLkPCvVgeUWWaa6iJh9CmupFnCiqTeWGSNXiM41iK/Ul7yjWcXDGWT7eX7tFs6Et2Vr
1Ft9jPVTTdxCNTKCacqxZPbzxdJvFEQH84M08RFPBbU1JGhveAFiFWPgq2HVmix9fRttvTp789rs
ajTOoUn6dzc50db+VCO3C00MPJxQp0wTLNXAloWtWrGFW8WKCG3aX/ovBMM+ahQPmTdeSFPMVr3B
y5okL10IfpTFT8HFjPvREA8dLLu1j1B57s81Hh1UPq3noBJvpzuzTQz47gyVBq5NAE9vr0yMSSAq
Wg8YvEDopHLWbYNG7M5tJyQrQ7XBBHiRuX66ZEVRzeuW/YAYpeZJh6qHb8DqEaj3hCqQELapiK3a
hPcLY41zZnBhavKut/3IDe+oU21DuzNxNqOFOno9q2hHDxwtxRSuDJMfKzFe8GyhUEa+MxskSdp9
dw/eGPsTbqg17aZX0nfp6Uw1MLc6fZuisWDO7BTbIOfC5RaQFIPnKo+5VlLNFzNX/uZ2Q94OL3JI
P/V2AAL308XVYZhcGpa4voekPvfmzyY0X1MoXKNpPaswuGMgsUOLV21CiQjij7eI5sEQ4M0qotPt
5kd+hAf/JHTuLEZpNoG0vFpWNpM7hOe0Iyt5bpAuu9zW8TSS3jcPvwbyVrduJV+bEoOrCtMjBhiY
pcS0MpgE3Tkxk92JqH1rBq5I1CU7v2EoHxgeVlfrhxw6dxMu5JxYARIQaC7NWqaNjeyCe15Exr4h
VJk3kEYxrJKt7xU8lDV4unqS8aoV0clTPD6uwXPooOEboxy0VrpUmxpGuD2TtrNYiNrMbt40lt8z
OQ1gW5QCOXIzbQoP92PCQ9iiYC5rtNz+yLHdn381fv9gD6xbM3sm9pRfEpritmi4SGM2AKzAQDuQ
YrQTLj9sZDFvyMCBVzlu3Qx0/e29q3KeoXHpP0vn0rXD4zRxu/RF6zEbt69ZDF8pMxODdmWzQZuX
k5nH286E4co/fLCdLtmXHvo0B5HF7Uzk2NNHkNKuQ0ETbGZDroIM6kWNImdVuTCNXfLtV7ESG6dA
fznosyzKk3Q9/NKTOKQfSDT4pYArvJS9ZOSkE6bC4XUp1bOt13ImMQsSwLXb8YhGSnxDFNDT/+Lt
cAf0+qkFMxDTz6AZp+xtdedeSIT+daO2Cd9881B+b5aS0apYauQVSYCTXvEZ7woeEn86N5QHO6em
uwMIbSOcCIs3AdP9MJwjX2N5GBT0sk62iDKHjUSFsXXYFzdo6qrDEp07z4aiH3AwGHiWN2Uzueeh
ZIJSvtowoF5LpGGOTSi2vfgfc6GeLc9XP1J4ZXEmTzD95HuEqBkuVG+oL2nlnMdR1AeKb9zMKvlG
VB3pWGAtoKuS+ZDAPxNVemc3I2SQOkFJMZkbMDrASuwIZFmOjEbE1UcS4GpcmjRDo4O91boEEYv0
nARrqEFvuDsJf0nQK9O3nhvsdYEJBBiS25YbOln1CNL2gG9RQ7YGrfSkgcZtz9sqk8c2FvdmZ7+W
KONX3vutJne47ZkWb/vB2/tdaO0iMjlwCJ3LhHl769roDnH5WFX1mGnJhmvQHI4ZlMwYquI8Luj2
+oym54phKSGVGRKdqBieTIvMe9dDrG13MOuK5q5xhmaHEB3RdD+DMg5I7U6b/qeh5MNQpsMaEscu
EQmBKHVx5wZOw0ORvQQ5d1FxIc6owBbJ89lO7KiZSeggjWLanJXcojf0NxbHPNf76Ce2D3NQ1q4H
1wRp4LEV1jmkn7tODHJErXRj+py3xsn55hhk1c8RK7kRQdVMIwqTRvQ8+pLnfw7I1gDLsJqqeE+P
nLZtg/Jwqd0BGBNbwGjDg1MJ9lxkeUM6b92g7bi/An/vzYSY0q/fRG1mMoSqFDWfC6YrNd1DPLUE
W83NOba6UzVHAzvShEqjG/d+0OIyABoPGnfelL3DNCIDcukxuDPH8XuX8KQtuLhX+YgDR/j5pvQT
cuns8gANi5AQL4YURgqoTrhvOnJxggjwlRrcQ2XQ8G7ZYTY9ltyNrE3Q6oaF3p2Tn2WEP8Yu43bi
oq4d/dNlDxnFxajgyvhTtN6JZzDf33a6G/esdpJ1LztrHU6Rc1xaXJYRfQKWswCBYfliN45NMzY+
JX4kDkMgNjG7wn4yok2E7/M+kIBvw+gtD7GPzmP3I2+McDdHRYypOHuv8GfAI/jWyJKhnD3uMqvj
UNQniKVwUPu9/OJ7WbKjepM7YqDu5dy9BT5SubnAkBEnMdPjcNqYNmeDZfAP/hRxQCw5plsagYkq
l84uqxgxu6RcDsEd/kl7Ba3mUtoZfOyZY7rBMdlNaM3PdX7VG+Yf3aV+QYKGPJjzDwY01utudFam
83WEYTdXNv5YfSjIvGVcocC6q4yG/d3mnCVNKjOCw9ADsgiC3trfjq1ZLJgfzbyy7mvez+ywVDMp
PLldW6inKQBiZnrBHp0yr1TwBikIK5zx1rdrsgj/S1VWT6xJXys/ergddfuUMtO3kS12SXqxfQ5v
WdS/APCs7F/9zO/dmhCv670+KSNov5S5CRenZt5amiNzEhxrifHdZe1gEQxXYOvKLR67g/4vsPml
kTF8Lu0QcojH0Rvh9jVQGsBQ4EuoQXwG+AO2mezawt+JCkLRLWK9D8ZGYJs+x/7WoTCFnNKuYbnF
69EZ+P6cLsgOZdmALRfGBQ8utE7DahB/8TamutgadK9l0FchxgKBAdJ7C7v0x1KZFzdtoUeL7Gpj
tWfMQ+BUQZ1myCBlaFqt+zRPybtH8GuXXNwqf/LG6WHx3NfClw8BncPa0eg4fOF+81CF+hFzlwvp
kGJdJ7CC07pbz0Pz6uoyRE3Zlxpe3oGcinxn+d2ykZA/xViisYTbHTX+tA2T8jsoFJjXl9pzsbBh
YtcrL5kbIVEqXFkj48MfR6q+fPZS1rmS4mtuEFnXXQjrig1Vl6WyD97tXo/5eU8d6487NBo68kKD
5S4t8g36OmDHBe+1ftmDL+tVZZE8ZlEtjGaOF898lEpUG0mIxlqCWsB94L0meQD6jJ0aL+iLKAKF
xQb7uAD/p+a7pOVwPHhceE72FGiA0ZNPg0HYNh3Gl6zh3FPkESGlFUOpgcqUEe9i25fbezAkRbiF
7XCIB/0a9LpaVrq20PWxGc9fHTmjWcdXWrfJjDwusFaeIKTrViWLfDlMJN2ZLkctadKsJnTziqeR
m0u/CLurNoEubUtZ3OvDFNeJg7guVut0uRvcNy9FaWVU86m07bNseCY6d35ugOF73nyXZ/2jTRti
toBmIapdZyV/Q39r3f9wo/GHqt5QVa7rARh5yj1Sihiidc68Th6qwX+vRzdZ1dZ0thYOu7OXXIUu
0ZU2E4Uw6vVmpF+8pfec2uF+tQsaFSlftxL7EyDbRlX8SyODkT7i0KPzrOtdTNwdN3yWyAcUNfz7
6c4vrOfJSiQtmOlepOyYhvtoMMPmyr/pBWMguD5HnAqbDgOFJVeJaLlJuTxGQ6Hj592ZgwaHYGo9
zBcr0bzeusnwhwVb/bvhS5pnNuWl5iTrfRk1HGmC5a925JnWRf1YcWQfLKYVXoU/jRFkL8lF6sMK
hGPkbzliILKkEuYO5l9EQouF95Y5QeXkqV10d6wxYb70WIZu97wvmjucEPpBg9h1KofuPZsoQPRC
W38tk/Fn24wveinR72q8DAdZudcpj6+p9ZGSlggfNiOnqWSZMR5xdt2bAQkkS8KvrVsQY8fTE0Hb
dr0v2RB/NNaO9D4Q2tJGFCOO4cCSsehrMobP0zJ907+mNHRPmUWx7uWD69PM9Azee924HDqbatLW
G8mbzdPRSBoVynGy7QTXZXObDYgeWnDYT9otKJq1YS2Xxug+ySd9YV6+W9S0CWIef4JUKe7j8jg1
lbHWA4xUI5ogZZ9Sk6bXWMIxSclqy6k7dMOHYMrP2cFhLBWvOkZIyKhnb3FIxLKK5E9/SFrdnMIR
izuoMeExmHN8kLl8mCZuwa5hwMTAYivV9OTJfN7eGgvxl9xFGhZqLmKjuPGihAK8DxBz1dzg1ryr
bLKw9EkAWJPFyYw+e0bXo8jBDumOhwiKa9kODyNW0pHeiXR1bc1daU/FvjMk5i2ac9Otfaatxrif
0Cncq77mF2dVD7g4qAdRlMefU6t+0DzcNq3a5gNmuIEwiFVhFd+Qtdzfnoc+xPYkNX0joaCaDX8j
C/nTRci0yZqZn5xpVNsmcv2vQtoHHE/c4rfHr/O+CFTmm1upHSbNahL5yaLHOFbUbPOUwxPjhtbl
Pfs9Bq1PGbFwuzk0IkVZJLHit2p4ydW0n2ubcAea/4zStfWbsEWIExSSdGFvlRb862yVT6wMJS6M
vi+AGej9kYHL6tYjLfA4OAlNt9I9K5CoqzRmNZBAs7DMO8SaRjSnYt4QN+eWJKyBhZTOnUamkphL
4BxNytAi24stdN8MIzVo0Ae4kpPXTjbBPj0qEZe7NssR01Mgm4KEPclpsuyhwYQoazBGuozOUXu8
9REgjhFLwSp385+3qIhb7QkqF1+eH2/yjkvUe8Vb289nlWKHncMBg15fENfkelfPKjgxPETCeXCm
4vPWpTEAGGzaHElQjSpBmr6/dxNz7cZsbSWtydtmx1Ex2zaEvyVgRDeBi1Q7TTmezsTmITXk7eQ6
FiGRPXHq/yJtg29ZwPqoY7G+dbJrbBzrVnDtSAai7cQZeVUGTxU8jp1eSmY9C6gDZkixVX51Jvk5
TND//KCi1e1tEhF/pvVTMbOFpAsdpaX61i39Y21QeodVRhGVuyyobG8imsksg5R6q5mRMtNy1ntb
JjlG95781XT4s3WzetGtKdvlmYRH6HFifKTLsGJYTXpVN2wwVu+AIab8FSCmzlBcW5J//XkXgz+6
vz3LKE2oUevl8Xaau/2iHL0wN7kOa7NGb06UmPpNF4jOpWPsx8hOMMM1L51f/wgYMEImuYeu/B3j
K/0GhgBhlL97Se1vBJlotBysP3oC0uF0rZpjRULKWt/1U/bSZMAg0CHyVDblvoMMa4ScVWoveViC
Z7J5Ld6AsEcPTh3aS5scrvuOvZSltMUvUBYEMKcFKFhoFjVFQTv/DIX31XDKekd5viexmsUtwNLc
BMW3uulPUV1AseDX8rm13JIQlhJMSfMBflPuYvcRie3RMOvvS+R769mj1g377tw5UX0sM8/AGJuO
G3fO75Sd2PeTOQ6vs1m8FWQ+osgHYJbTrzOC3eISvxDEmGho360T06hXOFfcNTj19oIleplItoT5
u6kW0ZwtkaePYeXcFfQehskedmAfHsgNwGiRj/Uus0cfs5Av4KcP7rpp8m6XWxwb0mF67BJhQggg
LHgkd8yEz7Kpw3A8RKn60g5CHgtoJIrjNuXRFViJswn9N9fJdm7RQaKpjfe+wvRsRVF6WGqftA0z
+wqJx9mrwc3OVqgQernlU6l8kGQ6uVo2QLpKzau6kasyjVVzF7fBpYR23MYXePsQatfj8L0qR+vE
vSD//OBW2CrSmeO/GRg0Okrh7ca5fobiASdYf5A5EDOXJwdUUXXsoppvn5ePeSIjsj+MbYZjeRNb
iv5BTL9Yxqw0FoHbdAhZ7cIssEFNm92uy/OPzjTs01CY30uUyrscV8y2ACWzqhSJYrcPSRZ+D1rg
07Z2jRIo868fbl/DjeJv4yb7kVQY9fKKqJC2dE43SNDts9/+V2gjKg4RgMwNhEFnII4xqOmkahrQ
Pz/UCh+3FdTpdmxCWjgNBItjWrYcDCBkG+MAJzqrePob1RQrbPeAx89ZJF4LBatPIZudxATeIk7O
QGbt0+3DEGcCtqd+rmj4b//5B2nID8ozDcr939Bp2v1/ZlAPWSaQOOk/8ZTuTZo2DrEmaZ4CA6hZ
VZsvXWaZL1UDaCcraQ1qiV1clh4Au+RNyLY5Oz02GWUkxcHIzYgYZ/FS9ZAVIDi8mrLF49ROD9KC
5CayPD2CWgIJnZTJWoJEWPtlK5A+GvYz0X71VqZxsg0CkqF6y+12SOFdFp056Bj++j03lP5fGu3N
k+Jn3P5vUq4FjWAyNiooEVYOvJxIzfXLIor6BSiIR2ucPsXtax5lWB8M8skxHid8+c9L80BTbN55
S/LdMav8kfQ7SkMpaAFpD+/iZA4bEde5GwxtNtWfumX805oiUBd4xSgBLAHQmc/wXf352R9fMyUg
a6hxviIZNlMANBDEfTdMr8fxnDXEUsFDLcDj6xi7m83x9tk0xq80zkhVrNnBvc6cTpHMP1MG7duM
seHp9qXbB1PTJG+f1W2fwsaq8y2LXk56novdE5+vG7/zYp6zkbvcrgDrurnzMD8HfYhEXX+A5/PB
duSsJBCC19neV6p9dQlNCVuYcGSUbW39FHv66ezRm+4HJz03hQYr9uEWTma/o+N+dmeLr9gRCZcN
HPV+evCGNrtzBe1w0UKSTFhqNnGjz6ftdu6t6NTqR7xLWvKH+9rB/mhaRyd5LjTOa8wkgEsocP0p
1wtNFVZgmYdgL5yGqIYoI2EFC5RcmdSUex3BQ2DDllGifQj7HYpYfxeK7o6/KznQEQ+V6W8liUTf
pYX/OKR9fJflpPIly1TRBTdMDhHlR9Pws+f9zdU5Opg8CeIA+2BnnDFun5o+NK7Oh8hOK2Jal2Hi
nLzFdOCD8tntQ+i0f36WuLW9KwKfnXM4zh5se1BcI+w3qIeziv/87PY1N3pTUbgc6R4H7HMT7fGY
XCxuAaBRRB70W9twnVVnde/IYO/cxGOLnsenOk6+5THxDwLnQly3YJKi/s3OwOm50yqeZ3ObcTPT
eFDROYTuhDdqWmP4qHFXuDTpZHR0KHnKPCVnqjZ/hD4GaO+ug6kcV9M7qS2XxQV8NXFitMC+Ks6l
VL423iybI3w0izcyG5jPJSg/FyN+NEt6GJ1h0Pdw3k27pU8wdj8bDuU9gt49oLp6+ylqpKOWyzOr
fPcIQVNuLTCxChSELxHMV1moI5y7b6lb/Oik/4PCBFUyWmQYKj+mJrzODoRVr3spIyDB1UKi9DDt
IiM+6l/AtNWecxnQZoohsV9AcAEa4HA7+DUHI9v70sdqQ5NljSFrl7Ag4y1hbWtI2hTeQx6z2rXy
PcnF93bhm2i1sj+xzakBaXpMqxGJ69eoJjQBWfQXO4h+CK//IUqLvtdzkslplUec4FyX8hvf7zcF
THQRp6WxGcbZzHtl0e7cBfKUOff2uaiSb6xC95kZt0fDYjzlNfXeHoYnuwEo5U/DfFhgORet4WBU
xjegEja4BbcFsziYts9T6aotp9n2DISSNqZXfKY2JIpbl8ch2quszDv9a8S6EMjTLyOeoRWCRE7U
+W1eF6JZhnt1KML22cKMP3iUT7eOXhpEn7oVNN0KKpMOC266dW+HEMEzTNyuurQBZnbXrKH+0obo
QwpIsXYpdGyDusVJGxokXvuUNWorZHZNAvNVcFikd0jN7Bf9OgGShSiZGdGthYSUYKAtlCf51W58
Y3VwkMr/d72NoyVm/yYFC0yqAmRNZCvaeLJ+0xd1C1L/oaN9JXBklDO1Sm2Bj7Pg60zMSLy6+MFJ
D95ro0FBoDxv7a6Agdpgw2+LU3fbceqmQZEgj9aVwe1SYuVaOf4mF5CkbcpZjjy6Ldw9TKlkyuxS
XA4h9TYEW0UmixTcBEPKmdD0DkkFKEnR7akIK9l1zXfp21d8b8baIFEXO+BuYbnmyJ9uADSdJTKW
/35RrN+Nar6+KGhILc9xtf7xd11eRHKFT0vk0BbWZUBO1GaUrPolJZN/b3l3i8K90m6mieS+//6z
7f/wsy0TUSCcLgRQgfmbmr5zRreg1Z8faj3xLkI6RvwgK764tBkM232oILJL1CLzZF18zz4GCiYN
VRhj0RewjDiIHWLR0bVgib5vczAKkL//RpamIzl/v20s00N+75uBEAwN/12WVrZTmTky47bxeZVx
T4Hod51asQxTTEJ3ReACV7qWA4byAF0VkrFGZZ9azJEkvItFyXRkwMFRURGjNbgKXcv5OepPryqv
aVtcMVV8ck/sHJtDWZTG71WXcLh9ukkQ4RpQW+t2YN84D823dPa81RRRFN50GpQJnwyC5cbLiV4f
KeRtzLX7lA03WibyBnmVvsBp24FnZi/O70GiHdRMMEThji9zEf9KSvX4PZD5iy7Y6PNcZate8rYb
18701dZNxkQ2R7fkfBtfq4XRYyvIs8eH+9/vCOsvljVuR8u1bOFKzzPlXwSr9ZRUBmbT7JDIjHgG
0wGow6zD1nqTVq9kjg77UwUG+gUNBJk7BVwLaT9Yo7OTENnYDugo+x7YGAO2+V3ZJ+rQjSC+9H49
K/o5S5F7xSmO6J+0wfjihAyAa6s6LwBzdqO5fBaYuVnc+monm3l3azZHMR0LPLlYNa5RZyCEs+hX
J7x1eqBYJjTJUsXa31KjYACjlwU1e7ZpiIrUPhAAB5YTpGhLu02yhW7T/glPe8DxTiWkfeXfvIWK
mJn2tbBJEEo0dW5m5WlD7z0Hdbi6/XlM/gqQXTTQg/ErTxUJFx4mx77epmX/UQS3dn0BJYYGxDZX
JOGY5RV7bb8uyEfw456Rl1lsy2g016nw9GgkiaBLm28c9OhX0fFxaM1ldotZgiBXh/obSkr/cuu1
w0t/cLzsGNfGL9jdwBhLMmOr0P1uYXdPQgenX5pRYJnoyroI/ybj3lXZqb1B4gTBC8SyMy5JscDU
x/pqCzItFbIpIKLuxeUPmRCcokr9cBQoO1mSfjLci9o71lokIBNGDW0gD6I13iNsg7eX2hyJvvtl
qIm40wqjm8z9lTWYiAGGiXRAF7EG3uFM9e0pr7q3v7ld/8OOYrm2tEycAC5mm98WsGhAY+IYXXYQ
+lfWu4HH1zjDBT+N/q70UopWLCUocpJVWOnhnR6YVVpJ52gNQ9Pnf6Pf/aviOxABm4TLc0Rgsf27
ib8Hz4tYwUoOuRt9rwvAFPjjdes7V5qyOB9vOT6VGi9aelX4+ZUMmq/Cd//m2vyHxV0AL+LqCM9B
Evm79HxIhjGUZZUc+njSZmGeqgFQaFevUbboAHL7o6VUGxf3Q7bMXyIk553ub5BeBYUjTtaEvJSb
IvS/mGQXAWOccQWhsUvq6W+UuMFfZPKBY7LmoJAHSSqc33W4HLAdxuCwlLDRhxuDKTrKio05duna
DwHhBvzvasmlt3V52+5KExpOqE6e6bRbm39Ig/oMHEFth8QvtugnvLWtu1FJgVVSOMmGPitxLx3C
vGoILquOkeTWxAF34goZWEqD7kiIxBu22WpjLqhi7aKNaHE4OEnd4BJQC9nmi92+GpAqt7eeeEQ0
F2eN5UCw4IZOX7AdFY21/Gvt9tkhb8phWw9JvOOxWPcoK99kYe9kETzIeF7uA3iCyczcwiA3M3Jq
eUpbHhvRkNtjW9aySwLja1t3OQDNkeZqYH6bc8S6hjjonuNNKlrSU/MD40vMANdkj4hxdo+SBXkp
y9eAfCQEh8W8KQRUcdN9Kofo063MYS8FpD8s+1Xn09AGvLVrZAvBbWnOTVDXL/lMoIqEzbHHUzYd
yBf9BYyv+uP08f/WqL+xRlkCI9O/rHN/sUYdruqaJP/qifrzn/zpicJs9A+fvdnV1iYPd8ufjih8
xv+wHYkxEnek60E9+F9HlG1je8J/TrA54khp+wjh/3REWf4/8MAQh87M2LP4E+v/4ojiYf2305oT
aGuNg83D1hOAv1qGTBmgPqPf9WrWKdiROR9oUzFVTEvrPksyQAUlVXatyjurH5w3HxjYyqYvCIGS
1vLIiI0cDWuTh6XaYiIm3GpxplNvFhtNmLwzTUbMMrLaPc9suJ56BGgMIY9qoK9W0mh7UXRIziLr
vlDu7EzCWj2nJxQhg3tOeiexENICEWzUW499mRqD2JhwNHVMUXeYkZO/+4ScoLr0IDkH9bTyfSUO
SU+pNZfKgy0alttg7JanBUEVEVJVTxbZlO0yf3huohFEn9nbu0HlCFu71L/vAWctnXxrynhjB91r
U00HR9J6XIzevYsydzsN0WFJBU5FqMCr0lvV5ILcWU6a77iX2jV50ihiWy9DHz2S6OQo57Eb1QfR
nExWamePEnnYF7VC/2rIH707f/VLh3yayHu2nbZ+HHsdCj9XW9VkxfNMbtjR75iFVWlAAo7Gzqk6
3RDq23/t/PCzweLC889hbBKS45ST19tkkOumIGYVmurBDoYZZ3NHHnmK13xUw4PrRPcF8WbH1Gs2
Flk5ZEBOnxVWhkc1GN+MxHzqsC680LyfURV30WuZkBPjoX2JG6e+H1uGEBDOAPaV5qfidwT5bH6k
fSCJLcwZyE5pDWGs7w/NsnxpwHyu6z4u93XlNU9FRCLbvzxzT3912kntNflntXq7kTHvezwcFKwI
u3+rVovFcVLGJBIBYcosPhwOTANd0IPMWkN3DI+uVdMeTMjcyNN3xAEbaCcA6nInpQdod/C90ZxC
kfU2EgOHykbr2SvxynbLKJ6aVSWD6AvGKGDSs49wtR7pY6DYWWIUaPmE5MZiLKIG6wEyBOc1ZvSB
0RdY1yfarQ0yv5bgb6vxEmIx6+U8BsriKduaRtc9VEW3j2eDhnhOA0X2+Qdn4qs3Lt3XDvVfsHiX
MR+gXtTWdlzUu12U0WbsuFWDSDIbF9UjI2w8YQiExcAc3qO78qXNKbVLYWrFdBG8/vcLbuO9/O2K
O1jUWYQo9EwkB7+bu3HF+VFo1uWr1wBEByHFAINDh4JmdS+YeQeh+7WM4ugxP09ZPd6ls/E01eN7
bxJiRVz7hINFELowtB/uQH+fkL3yIKyiPRMGYtOQvL/ldaa+jXhIf4joJKytaF62Xa2sU0pnG2g8
eowhFU9WCgko7vxTMv2ISic75fX4tcvQTaZ5QjqPHsImHlRPv7i0BmYSULpv1A5EFjOOOBu2AD4Q
eaecDEwsfdOTCwIvIgdp3zZlcpK1pZCpwFQk9Z3ZnVd/V2Z3Jj233BfDYuxJRezqpd/MVdvTYp5S
8qDr74nZ+U+wVk8cQouDuYifpRzOqrWtg8fiNgtEwgU6oXVTptVljhTwYbFxC9Pb9o6BvhZFCsq+
ehentbcWqRnD9KzQhM8F4cEmLclbu6qIwaXY1pF96CEnchvlgBts4M3vY1sx6fLW1gi8rCVrm8Sl
4JvnDh9gec8I4MJz7bwVXZW8us54zHqgarmGASHn2sdV/NL7aOAXi2GnoVJySklFOhR4AlKnRPGN
i6I0u5aa0ngY4y5ZZSDp4Pdab0QeAqJUzc7sskmXFfYq7xK1C2KfahWkLGdWmKgjVHMTmuraTmiY
1HVzaICuPwwRzB5CGY0Yb3g/8kgvY43qgygfgZfu5MkaSnU0HB2jAgxP0vSYm9Ou8Qz/xNSXvqsF
e29xHffV9weMeUAa5zm6H2mh7HnQf/akH0Mjp/wc7CBZh372UcZdd0BYAYLLJNm0x1KYkpWKgM62
YZs1Lg3k1KzvOKgfCZ0iEEzNJRomC0xaFO0aKu3HaYbjXDhP4ZAQ6BgSu02k7HYgPXMvA6++v33w
yhpNrY664TeDGIlhtyyIOsH8AyEXjeii/HdhU2rilMh2Vi0PPATZYSgLBMButzdCTnxQIqdDaoqA
SIsoOwniGZUdib2zON1mXjy2pyw6x4rd0fbrJySjH0Mbq79tQfz7wuvSDrMDSjohCEYRCCh0sfAv
NkQ7GsMwGj3jhTMqLbsYAZQNq4TuNCL30V2OS+C0z1njw7DECNF6Q4DwZx0bXnLkYYG5kQUYRpLF
Rd7P48Xo+X/YO5PluJUty/5KWc5xzQE4urLMGkTfsQtSpKgJTKIk9H3jAL6+FsB7H/VUL9+1muck
hAgqGEF07n7O3ms/BzXrHp3h/YgP5vsUCOsxyk5gY8quGy6N5aOUqGAWoW9BRwO6rqRTorVEzIQQ
nCq3/Dx4MgFAM3RHZXEmawFsd0Vv6uIFaURfak8hvnUcQl6QXXM5XoqoQ4UPcXebGTr5Ymb+wybI
+0zdw2WqTiR3UfqLwo6GiZGPZE5dqnAgIKUGdC1DsEcKItsWfteGwFXP8L9Brg0OmZDZuW5ANBYE
I5qeexKpY9yAus+3SkN5YJnWeCn5eGyBmrEdubAuZql761b4iFU7srPBv8t9qzkZXfA228GhmNFE
Gr3RETdaFn7py+ibrQXe3oBBScYRXTO9Zp0UEB1hjda5cRTUFBv6ole5W0qbxtqjiEVHFCh8GRMs
zAV8tj0DXVRv9rvIh+sd6a0ERm6CLR8zQRDIyLyMaPFzFHB42yFWG3tIY24Ac9I5R9SYS0dzEHw7
2MamLnBpFYFKLm6QfC9Y8e6r8Roh/d9Jx9LWYo6RhP/UXdLKfiLn0ZdFdtFpURbU9C/d5AT3y8Nh
6Lu/WcHav61gOWmBelDbdm0q0JTMZ+P+LyetqmBzAIr3r41PFiuoQ+/sIx4+T63RHIREgVbTryUC
4dpbb/HkjTfS2tGFLaBiTtVX4ZuE2KTJlrYYs2BjIDjBKMCk00W7ZBTNSE+4amMTExRH4khSuw+a
lY6vbt7QHPBEeCULHmW8JyJoMT3BgE1Gc87okX2BsCUuuYfSmQ03VTEHSzo10ggCoy9GQNE0sxWe
hmj6ZkdKP7cWMTBDM23bxrzph4fcd+Ds+EiXyRZ2VjQuxdXy05pJNAfNrsWzF/qbyZn0gzIJOWcm
aBNZDZ3RbO/jbMioUKXO3sGcCclT2/37WcPvtL95x+PM0znacN4cw/rtbgFQpKmhizrw+4iBAiI9
3MLhDHafZTf59zhapr2QhDoVLvw3vCueFgKcjroLMCG5HqUWX7PiNg8tbUs1aNyNNJM2XVI+C19Y
Z+qxSAxl791qdHIZV0iRcHULCaGgnxamZ7JHk6NfoLVxuWWskVg7ByR2rAmsvjyno5k86cK6SxP3
tYZLfJr6MFznhp9fbBwJLsP5I6kvuA1EGhA4KI4azsi/abzo3m+F/mUnOdLRdTptnkGj4bezE2hn
PUllXZkjMmLGiXEX6Q/NBEq3Dnux5zM/26AK13Y/dCfRTQPLFZiJVa/LY0a21lrziBJJmq5l7juo
NZksTGuxQm5KAoW3eeLpmzbWz3bgTQg3CaE2/azmvp3bR7eM+lPSRkih4peiE4T6NZeQtBrqtMWu
KUP9qAy09G7Q7VoKJHuvcb4h4rUO3BWnJ8cD2jWY3rE0xXlymwh/TrbRS5fug4inXcmMcWO4gAV1
Nx5vU3hxyG3x7GiAazQxssLxClKm4P9ewA2jufYVzWFyeFduchsHUfgZSAENqegF93t9iQCwj/ge
bxzbDODghvJJ6GOJmGKyz1mDaYWJBDcSrENRv46jjPWVgS4JcrLaG8OOCi/uk0bHZlJCnGwr67MN
cmqvWOtsBxCuK4DiciWLJjiozNY3cQ5gviCZlY54QDjSQWPSdK9LFW01r643WptmN6oe10YYkk1T
2JeC5MprNImd1voORcwKl1bhO5s4EuHFs6LPndlw22iGtVkk34xhaL+6CdXy1oX6Z/kuLUeT6F/h
3Pu9+b1HCj8Q8NGOGB3zTCJu72q5X0YgGeb3BDFXF7LFbqNSu0vhEd/V5J7s3DAtIPZQbEqbW2mp
YyWQGc3EwcIpdJDI68KC7mDEDqF/oU32Qh08m+RMzCao8SGqwlNtkyaKeP0la139kyKOlOpaA4pf
I5mFZBLIq1Gz7fu82bWam5Nk69y35acM6fVdVbHKMVpCEgEJrXNEfviVqNL15rkZSHit+u4MMIFY
hVT9cPTOQShqB7NNQaxGI0uezOgURlp4qdygwK5PhXh56gbN3sniN7PIiuM4MIvjkmLZS9Bp76Lf
chN2u0yNC7MlApBV+2iaY7YLZ2CF0wYeDsFA3LBz3b/pg3Ez+6f1ERMjz5QsR3XXmmvdwvhtReoS
8YRJoK+uls3kYMCThoCwc04NFZVbBqUr5Vn6Jmim7pxEezTCWZJSQVpF4loRcF7N2Y7EZlis7gbT
IqsxxqsR+fcQbR+kEedP6Atso50eIFZBbzdHj2JDaODGaeQauJpJx1jk+8Ion9rYtfYU3WlYzPdZ
s24zcoqIucKSxJGgCn/nJv73Ht+NgDP+FASkVHOYUdvhVTb0uN6B7kM4NAEptBA+rdHeDXtmuGJD
daZD8QBzplFNskGy7R98nYyJIaSB5mk+fkrl7GptdM+EcLu3flVAMc1Qb5V2lfPBQX5ndeZZGyOf
pZNHVnoedK9OOR3jOJmebL3qt2SMh5BJyUDNy4c+h1c8aUX4ycQdfkgiPjfVhvgp8x9tb/7fYtKI
b3fToyeb9NhFnrEiuI7T2gmAnmfixvfEtMmEeYl93LzKral8WOZLg1MO2LWRzK4F/9iHEqH/KOKt
1zlveOLza9DBV2hoBJ0dzDCk5R1yz1RnfZ7OBLEE8z96zqbsB5qQTJmuLSKalhrCvvGIWYgsRq4o
745mwoJu0Cdm85FW7dK03+PGQ8LgZD7cPSKXNQHFKxQxidMhWoS21fLbZiDK0VTac4QlANh5Kfb1
qHOPs+fUViYdBZ2mc248CWLAz1bRW2jhUXv6Bd34zg5nxS22rEzZK6xXAJ5zKvArZdecOlXVbt2S
XmLqBcgmg/gljGnW4Zc0N2lHXjbtK5ceu8catvEvfWyPD+yHjdUkb8pK9ccC4e0efkxwisq8uYPk
unKKNl63CPXedHnHiOt/1QpE9X7LFRnoKj0mRWRSUPTPvsyS28iNTgXpmZ9S3ZpxefpNNT9rK+8M
h+1K69Y8IQg2ntIcxl6g4yy3o+cMve5dIxrz3g9NCL2orokkQXDhC5KHiO9Mri5wEgJxWX5LUEXo
3O3KtR/iZ8PUglPYqGk3HNoYkXakfY9aUp3bunbPIU2hVeDk5n7sLayOonA/ySnN9lQRq60Wp8U+
Uay7GAaeNYL0CMplrESLaG/8XKD0Zfwlz3FEaZZFT+loYDod8vgYWOTrBEW370QuTqV46s2aKQ+4
21eXoI+qJlYsoMGKjH7XFu13HRbyecwM8nJa3GqEje8CPYxuBd3aBxW0R2SR9i6QWs7ttRyfE5/T
jslRGLbT5wqYxqpNenpDlk5gGnfxS5bmyUHmr+WQOWtJb/lgxNall2Vx7wwFyRz9kN5jm3nsWjfY
warVdoXlpTcErfZ0dyhP9tHAnExrxlPQxfhFDGvrMofCVY0tPctJUqJrSlaXoYefM92p1kr1zn1s
ldQc6u/UKRCkBSTjDhFtmZzwmp3npKQW9rJZtxHZTEHrPh1y5kZXZitHDc7+xZXhp9hvNeS+5Fa1
9QFfakwZzMrONjGh+D0JpO406R8ykoZ3gAnqjRnr/VUvd+TBFlvRNojpc4RjKIX8+8GicCoB2Byz
oG83nTT9k0yymh0VBStnbjXnTWRw11H9pq3UYwBv+sZwx2Fv9uMpy1C8L9Pm0frapmVNVJj/OCHL
IJXHi/ERj8ZtFBH8SKhHF7/RgE53IoUxb1QCKRjmWeX4IdjfZh3Yo39BwzLd4kLFiFTSCe+lZDIr
dPcw6earkzsHvWleHR0zgsjG4ejpTBKSNrZxRDrqVo+rLxPF4q0wsznAQV3pIXjsNO+ei6XG2tKp
WwjGOE3g/6dVMG3Jb8UJNuZ3QR0aK1lW3NNkUl/Rdu0871n3mvyzS+1806YW0Vjg4Q42c/f3kfJ/
Okt/01ma+820Y/6Bm/p/Oku3lArD/7X5mhQtbe13HN/x+3/9x59v/LO/5Nl/WDDfLJSPALIsMJsf
LSYh/xASnbAwWOPyDyXcfP6l//Uf0vtD0IZHEWILQ9Bnohf/F3TP+gPmGKsz3gaRfW5M/Z//fBv+
d/Cj+LMQ3/z2/FcEHpS2f6bgSeRSNL7g3/ENZ4ybOU+UfllsU7svG3twjAt3+lSUp+UhbSOTgdGc
9hF4uT1FuPKklXaBstWA/v3xfHmxFYxEPeHMm4YE79NY421cIyXvM6kfi8nTsPvUM1hU0Ti2kJZP
0GpI7+QqzvJTncwZSqFGSmqEWWJ+QFcpMuZMPZNYAABzWBhFpyo/RBbIy+W5ZfhnXIXhvguy4Fhh
z6S+dM17QsymMHtOC/cLbeqrCFJxyHvAO7gZGc62NnzPo9/fJQQUb/IYuZxdlZ+aYHrKhKL4q7Kj
poytl1DMtMek3MWhq1Oxx9AeSPdBRfFZwgZEwkLxNwGfW3lju/E5esCA5aHV9XlKUhXrIotYx+QV
k18ULzhK70sTarebXJsqeBhF+0KVzNkYFtherBRoXKeA+po+TzkiY2Vb/qXKKbS1kffTHjZZTfsd
MR1+Xcg5q7xsb7wu3riZupEtsxZtsl6qbLwjqvQBI84XC2PRJlXZQ146G9bI6WHCBEEQ387tvvQe
QyelALUZAjxkQ0xGOb+wDZsXIMAnOTfjBwwHxBw06E2GEQWMN+JxpavoWAMLnwJvt8qvBTNLpi+U
s6jPydi8hG3+pWQeCpSVJgPCY/y8+nQOo/oV1MuTP1aPelXf0zH75IX6c+NCQwhUfPAy+8bTffY7
AFGnejA0HKrkFaJlWE9DeVagWTdhUH2vWrIuCzP/7hLFUdA0TCd/m9o5fH/1phTgK9MnqWdOZKdE
ThmPmOiT31inDn7MoAEVERFOQyDpqIyPtSCNotFDjI655W8LWf00DDDno5imfch6dRU8eI5xl7b6
DyvlaKXlU9YjGG7zkRD30PpJrt2akOBz3AbkJDlYy21V4krgj9ZiawN1hn3pdJx4dfglUhUZUU4x
7mqjNXcO2qgqdRh9vW+llQLpUfVdnn9WDBKMMpjAdc4HCuXFo/5ClAhVeR1dVC9tvDb+xRy83Xw+
laKAuTbrtMcGtlATro0pvY/SY660OzJiNn1GPLlj3xn9iNR6shhXI22vCGshmWr8PlHmSW2CvoI2
JjhFiH2bzAgWMniYjD/UwzibJpPnWvdfzNy7bTtCh1FXEhmtUVPOAD5opfFdtuJe605we0icSphX
l27MdNhI1tINC04I0vnK8pOl7O9dQVcCcy9TGR+pRZ0+uoJ0CAtKtTcNd6bLtLdQBeQWFpZar3AP
2Q7xRPI+d3yyK1P/FuvfgU7lS+Xlih7ooTZZVokRLJIR3dRu+6TortJ0zrYy50yeV2IYouE+twGg
/3VmE8aYFrFao+E61I+qdznISBFlILbICW8s0LmUrmjZKit4aAfzPKUoZUhDYaeKnLwbqgDkgpbj
Tz7gNYvkvRYCp0nq6JvMMHf1GUFk9aNvx9/YplKi7IOrad6K5lOXHKnjJDvTjy9RFcDL3/T0m3sm
dySyqXVjITgzDRf6sUyGtQEqBDW2ucnGEP1XHt81uttvgupn3GoIWm9zr35qa3H1AoLWMCfAEKPp
1oU3Ke3eeSn5YJvRM2BTvHVEYFYthXeNVYYo1D11oauDsp1RgtMr/tKbbrzCI/WzcWfLHwCTVaAN
ZzsVj17MyUzVsNo4rfohrFvfGw9D4N6x4P+BcwrnW6qurQlYPslb+rFmt5Ks1jbelIfbkBhid2JI
CTv/sQ/7t8YsroKW41DyJU2W3dIgf7vVKJS7auM68j708iOOynzroCXUhvqTDn6nN+SnIiUXXU7u
OoG2red4/lKBiBbAD6Jk3ciflKr2hKr/HAIqHcO00wz6yxAYx3XbSntNSrkTeYhMWdPpuG5R80F0
uAWITX+EiXLT5Z8Ev54qdbwVPnyWxBSHNLO3tDT31bT23mAp/TQ6SNWu9TaNknJUSNKUEREN5dLV
ZpEMSmPKKVpN8jbq5TlI80MSyxc/Ej8c36CnL0lfmKgahNK5+MA8vEGdnVH313023Ud+B9cUPo+k
DcXCYT1DhnoDu7faCRFcxcxkztqLaR6HJLuXmQ8lwsFl2dFyqTsPIxfJ2S32kjR/SPv0BwGO5B8S
C+v1w1fXBLTjDsV9X+nraL66YOfsTM2MVwSs/Jjoi/UKMKdP3MEKXABAbSK+tS82KoxV0njE4jC9
Dph6Y4fsaBc4t27uv/VUT8Bio43Pp28gfJ6HIboGLukZPQiHtqtQf8wrz8YRn3O/dXeWCcBPc8fj
UJnF2nH6o1HVl0FL7seQ6YTy1zDj81Wu+ZvQVnthTVcKN/jq4/5ARC7umGFeP8kbkQ9wvFjiqtg+
0IDeVZbzMgBmWc9nu2eUmBtcKnUBdqlgMF4DBZ41aMxvmVk/9IqVZBSTWfc5D8XBGYcflAO2Wubc
ELn7qdStx3wgGdAZutcYdNJ+ctWpmcx119k5XtnmWgVjON8ajq3HQsClvDIUM8HvKqfw7MJRX0Ef
M40qgWVo3+tG7VOBXA9u/uRVHnXb5KtUBnJBsCTlxIkoSCcv7ezcaKLb4MfkfjfAXkOfsYdqgu13
woqeW5w3PTaK2m9Z3E0T4MC0+mwpyKqsqKJ1KThzc5/VC1OKtSoEoxtniCnrfZCnB7uUmIrkqbf5
wsQqf/IGumFKYoTwXiNgRcd4sr/TNtnbDjEmsdK+eeQE0Qa5s+LQQ+Vn3rQpNqamSr+0yhL7ooTO
3pj7PgGHJQTlPRUA85debpwjy9h0HQLEMsqfbND+G9Ilv5oyfspHbjl1Xf0wsftDMftkJgKvc6ng
TqXppWyZD/mFxuVgfir62SRfus9OgUbE/RT1kMVMx39JEjucFY2vhpsinUUugtHgamf+j5wGA9Vf
pk8olzf1+GK37gkBNepLAa1HA59nZsM3syxRDQfitjS/TYW+kip9wulI+eY1u+0lJuhAJ5gZbnq5
ymTzhGALWHomXrTZfmX2nAk+Ier9XNWmFvEylIXN5MdZCZg1lDPVSUpqTF0HqKggPpCQuUfdLd8s
7970xBdlud+bECw0cvxL0rjGypOEgIXZxihAWZDtuupChD9OKXBjLyp4egKtDUtDyY2WDMZqcIM7
otCIXDp2ImJ+lASvqZl8i6vga5VMt6EZX8lDutV9ceOMhBfmmTibjY62KiPTgKyihmIiLNLhecw9
ql1T9Ti55hc6ueeCOupKT9PHLqVmPgMcm8EvwEftsljdqyJ4sYphpHkRnq3K5L5LTg+3v42Wyyei
AQS8GYJ0POLx8mj4bMWTz82rvPeZWKMq7cgitet2o2IGIUQphQWgAkaCZxyslJRAnQ4v6S1B5jBo
ueNbbAMKDPA217D/d4QMYl2wzszINZm5lPGK3XydV8p/iho02W6L4gx5ON2UAOFBaJlrp3+gFibX
MfJVWLTp1Sc6beW1AR9g5dMq6f2vREo92S4p01ruYwga6cTIpnhJ9DmXtnrLG3mNtVk6AXhjcNVn
J+y/Y974YUz2hpn2t8jLUdAI9lXox1dqH0jhOthsHsAi2cYHsqCvupHtR0tdgOaf6Yb6a9BbX0ja
dpl31LuIGhYxh00cH+LI+WzE2dmvqp9hyxA76ukXej0bixoE0aHBajKSB73Dug0B6C1s6ReIXN3o
Irnz9N6BpY6cLbXXfu4AFUrmAW+g+veDLpKLCKpu8EVkR9cm+HQUFcN/90gS7TczxqxopO6eG+6Q
TZSbnRjUmGT+3zXOanSHN244VzO0qD09KEIQIc6t85bYwoKEa3yHVJ2T6oEsTW9temT3hBhMLNCM
Mn8ag4Dhfw06OF172RSw2KDnEc6WaC2WZyYEu7qzcClZA4Ekk1xDmr6bQudO+eLOKAkmGavmCG6Q
RVBjU1bH82B0l6pQjwbR2WutLw7dZGxww7zJAA2WCZy67qr7UenPonRJiIovGiGXXLpcYC5VH5tE
OEybnLwqwxlsHPuIa6pNbOIacaIC66qHmUiKQCfMuUNV3rOh+8EOAXC8NSMh1shG4asRtNTqz4kT
bm2q+5UPBqNXsE+d7Dz4T7GiNQSAhFmt7CjxxgyAEYhALbrpGvLoI3PoaDgRvz5yj/I8Eob8V1/p
7bHLAnzvIaC5J2rQ+iYnAWfVzJG1dnYxFcGRtBM/mTKEB9qvC+XcluzXoOzmtPcfnSH2FOwvufEi
jf5HFPrfg0l99hzrWxfaSKqYb6OCYP19L0vnZ5WUD77rkj0clfsBOOF6BmGQeE5mJK13Iz/qYH7q
6G7QGS8DbK5uQQwRWD/d7A6VwWRhoJy56hSCycgmtCkoyqemKk9UxiwkWyxqPVHVa6LjvsKzwYQZ
4h6dhvA1rO9kMpdvS4Z5Gs2XNkquxmQ2W28Mf8Su3HUBlOB+jfvyDbQdYj4ZOYfcl+AwfCwx80Oy
lBmWzbj1QZDZerRdnmZZtcf7YexJkRtJUCrVOvBhWnZaRaj4XITwgrswqsjOzPtqi5T7+/K+FOc0
WCaatTgOKWEsLy6e/Nz3aAfZSN0/XhtKAzGWNoAx7Lvy/TsBcOUTelDxkJRTvPBG/dWfX1seFFda
V+dNv8ntuKD1pmzSCyvsIiPMj60W8VcFXkRJIRTBl16Rd+w1oQ/MVMaIT5LmscdpcKIhjla0H0Cy
LsUYFSVHC+9UOxdoSDxrqY0Sw93846/N57/Lsoj3Fvg+T+28B5atUocoxz2RFz0ECLMc0z+YnLTe
HL/uoV8GpbRszg+FFuSbBLYo4TIM3iqhuzH/bWmjyWn7y+bybmekH8pVS5j7+ybxPVs7t6PD8nlD
Q9eVfj7TupdpME7LnnvfSxFwigLRBqIvdsiyV5KWMb9pdaou82vLMVnesWwtr72fDsvz5cFMMQo1
XXiopLdpVXddDjxYeA7ssms+zoblJ/UAQ5ukp4kMaHbF8iWNHjExU2GgB0ZLuWO0qm/t0GzdBqHt
8ktkjlZ0q0kTNzWis7CkBJK3x8AMd/lUUL/FGMgNlgCu+SGL0T9NwbQLgorDSph9fgimprNXlHbA
wPz2wb98h2WTCMZ8pRvhHFPNV3w/eqh/mUP3prEZ5pMjnKtoIJ4K7A8ENl7TlCzMZVcNlPsgXX1c
NbRm/HG97Lzf96BZhbcFoVDaBIY2zMlwhYbzRYNbsf3Yw1wiJ8Nxc8a4v06gQvT3pL/2hNbzXXq/
ukNtIpAeWD009owLXRnabvn2y+9Z3rls/beveR04Y/SQyWY5E4jRo5ZQ+NR/OBGMwXYOkozVj9Nn
/g+kbvAfJNPiMhiJ7+HkHTpLHUbycOmkbKHDxgffna+0//Zz7SI9+qGEJ5mjlV0+e/nI5dtO8Q1c
E/i+ZmHXx/czafmLlzLnfOF9vFY4cjvfkSxjcra+U6ld6MDhCzROxOXMWx4+rtZfTtH3zeXnE2XQ
gzfXQead/f6WNrT22nPb5Hhn5pJrXtGTR1d3/LjClz9vecvy2vI0mM9C0feAXBN2kxPtlp/hLPpr
f3y8//dTcHm+HLVl6/09y/P3zd9+vjz97bX307asbPvPWw8pDpSOUbQHJcaj1DjoyM/Xordplc77
E7dGB8alWRmjsYsbPORWw2povvUomwAp27nLpxaQYEK5kjSylGkgsHRwqA+5Cxeg7s4WHbYTtcaH
PEPUNHRgToyWGlEi6oMJNrasNOwXIyCG5QEhTHuq9doW6+W5gwqahrMI1MYpHPqAhg95Ju9hZ9gY
52fhTHv615u564MZco3HJKWrTlzsKOMQwQUPfqQYBZbnvmGTpbxsdkZdHxBf7JU5qGCHgyQ4Lz8I
AgYK2+12dsYdOptHxeXBm4eNj6cfr0FjYRcvP37fXH7kLqf9x///Nz//+M3R4BQHWRvxcAGPO+0+
3v7Lr3vfdOav88ur7x/9ywsfX/Djt/yr1z4+ffnpYFtfchqgwR7B7fa3H368//3jjPnk+O3XT3U+
y1raT++/7mPn/Pb/fvmqH7+mpQRGtjtrqY+Pijm59FS8hjmUoFXSUbf6ZRPmXHUystE7dMhLxD/a
L/pQl6flYXlt2Vr6MstTZAa7zhfaHithxPxp7stUxvDnw7i8SNYIJcchCLYUzRlGwnmM5ctw8/94
jkvIXlOoYhK63Pfz+XxZHrzlBAjm26dXkxNamPrD0pmxMsV43853L8EAt7UaFjX1MouYYmoatgOH
Z74gXVWhr3zv6UAHn4fIpA8OMnG3rJfpCOVNGIrt0tAJ5vFIdBqQktw+AHJhiiJx1QFYmNXk83OR
5+VpeUqC+JeM3gHIjZ5u1XzRLlvMJPYqnGoqlfSHibSjDc/SBjhGDtM3Rm4LznpqTq6omlP5j63f
Xqtr4bAKVRk1DTpYra7+fFBBUZ/eX4sB8pPAsMZMtVr+Qy89uQ8r5pLz8Ywo85yWLZ0d8761vBYp
g3PAgkM4jnF+bOqG2S9So/I0TFBv3ttvy3O7Np79ovC3S3tt6baRN8cOWQ7zR/dtRE2xZnVNxXie
11Xzw7K1HOnfXjPn+SNrn7d4GQjeO3Dv28uB7hEpHlrXWy+HcznEHx05exmK3p8v88uJqRc8y8PS
jItEETLOzdOXMaMjwj25LU5JVP3ooxJz2HwEJbiNX4/o8mKcF9Rmmat2WLlTJv91s0dOfdTisDoh
NyhPiOqI6FyeB2OMuzJLP1nNWJ3SHoD0uSzi9jjar77w6hPYp18f/tVrVGAOaBn1faibzWkkze/9
oc0pAzSOmYBN/Ou1ccZzxQHVZU/4EjQdMvYp+mYGXnmkBmltVdN/tvSJa3A5TsFyiJbNjluIbwTh
DlEA5/rHkVgOzMfRCZHbzuRbBOvztfbxsHRGP56+X5RkLGwJuvixHIblAP2rQ9XNx0ehK4OmNm2W
g1La3g4qvA3giyvt/RAtV54b90i2RkVLJHSqUz9X1EdnPCQ+5ON1bMTwwLhpIGFB084slGZCUr75
dBK2at5Pgc5uT127T1fL8/dNrHf9nONAPMm8C8X88L6///FUR9lx1KEDvV8ZseFum8R9WW6Qy7Xj
jaiN18vm+7VU2NERZQ/lbZfWtJ25CDI5+mtksSysNN1YI90HaSHwYgz4HelfUmhefjrNdwofJeTW
nsrn5VzCJledivnh4+mytbxmaRqNByYQy5kWzruB1JzyXUr8P9KKv5NW6NDH/5204iZ6Q6H3Nf8n
WcX7m/6UVbjGH1I3PEeXno3yfrHn/unc9cQfUuB9X4yz4l1x8Zeswv1Dn+UWHlHmtoCvxrf4S1ah
/2Fj6CVWVeoOdi/H+v+SVcyyjl8MjxbSDBhBtMxsSedSCpNP+lVVUQ3a0EI81M+arz+2dVXc+FMP
PhGgb0G3l3JJzYhXhLSgWtZLRjQhBB7DszfpKHF51umFe8pS74E8ePmQhdnnqpjUeXlmDSkETD3M
cB8FbzITP3KjeSg0TVKSqk0MYWW6ScB5nQxl428KM6yxtsWQhuVQm+OmRivTD2aVV9dh6F/LNLHP
jt1fGZKoIIP8+eTHsGG1QTTz6o3oKpXdsa/viXUYrgSBE8Vi+3BRPUEhsu4y/9ySZbY4NSU16Vtf
7KGpBQ86Ii7y1iicRlZDXW1S4FgYNTJ8+Cwae4H3TM8fqySmnum7xjYacnlsQ9rzYH7kw8QUZ+34
9n3vG9pjFltfTasRDwN0M/oJGl+6erOxsTw6mVR7fDLdJsY3WlTG+CUQgoVZh5bBiS1a3pld7wj5
OLdGqFGypRs5xqJ/zAJulJWLFqsbqM+GSYY8RJsOHD7a/Obc2BrRn+loCNZSj0M0W/3dbCCt83Y8
6q3W3xbAu0oZ5D9GpNGXTjXeozvh/DSMYt/3iUOXPRZ3heHbG1UD1Kb1iz4yavqL3dqPtgj9PS3e
GOqOnt/lBemJTmZfhnZE3B+5F9UMpzw0AXFaIDUL/vtt7Gx6LajvoWWjvdOoEMbS2hia2dBW0iCL
Bva9PXFYQprXLlbEm8zpr5MvnKul2v1IO/wWw8Gw1RgfNpqyrAeUCvveiuMbKsdf0nGKt23rVWd/
ZNGYVs9B1mKj7qeJ6mx5Vaw06cxxOx77xD0PhNavYWhSLEXyfXANfevGc+N/FPo9ylq1Vn1MAETO
THQ0ObdL9Xe2jN88Q4Yruc4wuzk43izc/L9dcG6DSdyvmf4pGxRM74MQIgHjYrYDvt4uumlEFx4t
M3psw0A/5lHzygyz2YQyBjoewGP/5Yb1p9DqV2GVoRvzJ354nrkFcN3rM4kK8y3OQXs29/8irNLg
r5VaVwSIY0N1TJMs3llwVtdpqeC7ZBKJQDJPM5tk7Xb2l0wX2oNfWue616kxmfVLEZO24lf6Fs+C
e1+ljIeA44MvSqqLDXcrk5l6dThuq8aMgyfvrfSscSM1DHt9Bz131nutpJ7Y+zwm/TpurFUH4Hjd
t7yjKMIb6s8btMwj+TC8MbAJwA480PCso9XRRA6/kg60p9bqpjtnjG/6LjuU4+gcq55CeV7e6am0
z2EP0FzoLbGCdTDcSnEkGT37pgFD2Qhfc/a2Ft7Ucoqfgq69jHronB1sUGuXvtg2SXTzKHX7JtH0
4AYnY7I2SpJ1ujJsb7Ka2JlR+6KgY13d2txatXhGgCYvBZM329DkPS6xfegziQLj5yKLRAoalwis
12GREEMWD+KIHOJKHTY+gCiihxczvZThcNQ1Jzv06if2jXYPOPETS3ku7khHgmlq/abxwttxTuvr
HFGcAc1e7BiLrZm9ZlkbELKeW1uZeu0GzvNXRP3EA4KE3idd94I5pd6MbUJGp6o2ZealR43C68pB
fILTL9xoGZawccrOsiEAEM9EfagTs3+YOzNgY0i6botDiP9yC9UZ6DPWXatSw2WYOoPyUA5dv6s6
egnY/PX+u+MpOnExuPQ2nNa6Hvxfys5rN24k2qJfRIBFshheu9k5qJUc9ELYls2ciplffxd7Hu6M
fGHjYgDB1sxI7G6y6tQ5e69tbYzcoT2iOecIydgJHszedZqGVDsXjZ5MDwIG8RrY6FcwMvpOszkn
ZaGNxBdss9+2s7aWWjr4VccPTZZnREkNBRmo/iaYPvcRswqSyrZtbzFmgreEDs7ycuijBhMseKfQ
HgA/Q9vGfGlZJ2CeL7ymh9kJni2AlpvEIpykERiiZ3LXsm7EmW8BI+volzmeqwPaacEDela8NQKy
WoTxqa8nyPo8Hch8AmfrKH3NyJACsPTaU6Tr+9JFUSsDB5Y3wePJwKDYzZiH1FiQz6GMH5TwtFXr
vtZLIwnhb8LkMfiGD4D4LC9cq0pEO3TF9ioNnrUOLlZGUXyxgDx1OTJ1WawjItv9wivxVY19RSqa
EmgA3H43WvWmrJoX+s/jE6KRlaOxAwSNNl0mcJuFNRa40aBNj5V8Nkf09iSeokk0D41JJGON+Hyc
eZ1pHLzA9PlUyiJfaWaxg5kYb+qkLM8TWbfEq4umHm+ZBZN+SotrRbiHHxiMyzELMIiC1tfbuDvY
ilM/SaZx40QMi5uJNMOK/LyyJYktanI8IX1c7HADMsEDk9O6QQpXOo3WDbtUPSr5HCqwNiD6tTXR
DtQkzaYQOgwfBEubieqcDnf5GvbTdwtIwN4yw1sCSHHVwtffxWp6GsHk7more/M0RHz3laee1dsS
wb7pI23hS6pPfeG9Np2EhVzNJKYVmuUPy/tQKnnSGZz4aVnACJiNnQxenO4Ls9NkLcUNTAEeDGDN
q7AL29Vowrj37HbDKG+P9T4+l5EEgptpcjdU1o8qhhtr/shno6RmwKlLh9WS4tcQ59yLsE/oFr7H
zLZANvAwFkFwi2y1F0WCwbOHPQZ8aH1f46rU4mGwKDI4LZ6rsW9PE1yUe0ZXLvA9W4N6Kwd6x1q+
tisIAkpv36ocMZtyLRIsaiRBSW/s0gkwIoZxExsND5lh4YE37HlTDQRHBkOxlTnWUNPZdjpjVtjb
13YonO39icyZLkZTVF4dRx2rhoJKNY7a90QNlHOJAwd5SWjN6lxNFVqZdqqJgwptAkTanzlxBte8
67bC6aC1GNU1UMK9kbDh3Vx3ItYjHBrEDwJRldmdp86vubZVMC+Apxqs6IR4CiVN+mRP2skif/6E
+2dTlnGE+KWa0LDmTEU1mATC9l6CzLSZruVbYkscBrM+QHvDdxIt8YuwMC7BlACGnSNgqhFu0tRN
Djkcm1ORDhLroPNrAKcCqDCdfQuH56kvzJ/2gv1OwaFvLDHC0ua8uWW4NftUJcE6CSTzptCVwDbC
99RDEFunQC5pqHzlHJ8cldk9osmFacZiclWZRJsCJIJDfCvOnB4OmTXKQ6vj3Wug2hUhqTio5a5l
cSVSLjks5hUzz45NZgSbwZrKU2stXhcz+6bN3bS1bNLq7uZoJ/QuEyD1g57ZDZ4cUjLpg7EZPRTR
SAOlYXzPrJ3HpGMcPC+TuiJnUoq+4jrgEboQzW6tm3D41rW4A8l5wsHXtsZGhoSRxG57tlnTtm4/
JLiy0oGG+DRsm6Bt/NyN2CCsUV+RCcdr03gYLa2WB0epbK0lWBiKAPKxlgyPWhmjEV7+NqRas7ac
KmYs2oGxZot9zhh/y3nW97UkvqygG9PnIcNsFaRQxVjLRTgeEsB8j4gWMd7tkG8Gn/OqM9dTT4pV
O+oPqN2JqUlIMJilS6ItoOd+CruNmjiW0CzidYfW66TeKkCuG1rl3i5eltouTMBqz1LH/9nEB9FN
X8x8js4Gs206GmI7NIsrPsFhBuCdLV4xaY3gYrTuzzRj304NTbw0wNw7j6oJboRH3aLeRVKtoasK
tD7ihctJ9kUa/8Rs2N56W2L/wofVjXa+Ywj32lS442Oc4AAk0X4NsCT8fvnYaegB/R/GT+nQVT5L
kQ41jVAnJLK1dlhCVi0z/RXrJOBF0bTTuVcxtIK7jSIiWFI2g1n8AI5NyJZb76Baojgz6YtPC+Bi
BBvPm7v0vDKn0J7YuogFEotb+qaz7O4t2jF+PpLWpqLMOUgv/+pktQLDYT/OUV080RxkBxw7a1Pm
XU3dWXEK88anWDeaDabB7mpmONZTDfmDG6otIGDztXEQv6vBjxlX3Ii9I3fAhksULVT4+5eu0N/L
BMuhoUUcwFQ4naLWD9M+PyWdJ9n9HSahMwjelrm+NlrIsSNeyX6sR7ljEIXE05bl+Z8DpIqd+QkJ
T4w6bE33x0IYO2NrmwkPjqkGfYDMDWQ401qSr8Z9NC/YBdcI933QPmSKGI8KJ7oPkacCeYS2Np/s
dg8V82cQoHDS+n7gP8VSbIeRdWBYBjXUwLked9XX+12ZkxB264fonGItx9pT3aIa6WYzygq/1vg9
4oS0xs9UwpLQjS2YdsIerKnaVk792eB0B/o7AdDcyOroxsjh+8K2vnFlXF5bwaOjpvc7O813ST8R
9pJN0XY24e0tS3/rNqSEdQt11UgJiB5sjqGVH41ABIYKcFVZmLMPkqTdBVG53OmArbT8O63N5kpI
SefYrGDuYdLTemPSujs0vf1kaqAuXC07hZr3Y0TycbRU/JNEle8ccS1IyDVuJYNzQ++6yOzAG48q
yXwU0ziLIjN9G2aUbZNEFmToDpscjzLft3eqJYbNDjr8B4u7spaA+kLjYKJmOPed8V1MVDmhhc5n
MowNQ1mAtgWRBwXRNkhIgtrHskn0mE5tJV3ciaWNfq1E1bqpI/cxsJyQnQePWtOgb5dvhMMO16EQ
TyApj5pAcgrKLNyirjtksiw/oXFEIFDoxAorxyQDlCiwbGM+lq3t7ifIP7tyNK6eotTItb3QLIVq
Kq9hc1J+sFeYxx+OGPVr1oeRb3m1jeiCtd3o5gMDEbYMO/xa5656TlvjuXUn+Px1dg6nwQGKRmuF
A75BxnWY8sEsjKQwQWVqWb/4VOJjXaXCz0szIu/wYM1i2JYdmGajacqDjPLHrk4+BTEjPaMn9wlF
G0+BZ5P9IVgAvLz+HqSNeZYduV+N5ZxEiiG/3fdF4SJKzRDIR56515XWnKHbXcouSE9c2LdgnJ1H
GSAr6+YFRGxI/YLPiKjAmto6tG5tmXqrGJHRRtY83ibS9U9Uuc/ZtOodQx3Gor1SA0AGkQOJsM0D
FtaInJF0uuk0crALZke8CeY6KmDZc29y/s8uMle4NKSX+rk3nmRtyYtIwVTcqzn8J0RBJOElCxx9
K21ODsROokGhdt9g8413ztR4Zz3V1kPiitP9yxxvlGWlD0FEaK9KDCy0bbl2nVLf2wWH2sQY3lOD
J2noKRgNaiu8K9rTUHTlCTVbD/aEtltcLY2v2cuoFWjeeAqaJQXPgfiz/qRKy13oQiXrlB2dYghs
p/ufalw8QR9nR89q7SXvVmOCVtZnKjQXCpZ4iGM9eaI/uXijc05oLAS08EHzGXyPoLHuG9r+9Maz
kt5GuOi+2XF4rIx064CQf6jJU0Dy3Qpj1YuRWlQDf0Gpn54KwkrWyk2atdDn4KgyWDOD0TaYXt3k
x2wnqHO1In+iASr2YurExmg18AADKm5ifawCmVjXkgOMXJoTqe35Vpe4R8wc8aZ36nHNhFbDHFF8
ptLtSCWAPoHK6EDEbY5dgpkTUeHTg8hntcQXxqQL1PkppfcQmqTfaGU5kYSammsGLiNpQuLkRkb+
gPPGe9ZG89qPHkLVwg53MY6blxC0+5E4XEJh4Cm8sErP56kM38/gBJxnvXac56jGsaoJ7N/RBKBP
OS1Ur2hKHku8mrFh9ie9REJsKNbGKfGX2Iw3EmgiNjOU+pXdlzimcuPWudgKOLGTuuEle4LDSQ8b
S+2Qpu7h/qITM92WIbEdkzIupqsE/BzuFSxbB07DpDkb1Q0NMCzRpQlZGXYKcYY4ILQj74Hdxyvq
5GyPku8By9GEtvLG6QtZatocRTKqVTy4E/WyA0mA3Csnb/RLVL/O8GHOim7ARWn2U+BQpdUSdXGp
6VtRe9a5vrTtz2SOynOM3HDtWHpLc89g41V5slOUXr6MYwcFbqDIez900gsvvaljYMrTs8O8fZ2C
B1iP3Yjm2YWDX4W8JBGPIxotPqnGbV5IGgY+OqbtvlHzlbwPsomzYLjAsQ3WllHHV60hGTIjuuli
6tABQaOR/4sG0lrBAwPwFTzlAGHPqWWpfcaCzm7LHDSaxc8i96pTM+BfimKOSRnStl3QmbjrvPyU
jW1A2xUn1YC/5nT/YsGa2M3D8Cx7wzn12J0oKcdufy9AXE0d51DlPuIvIlNEyy+fsREaMlw3hZ75
S2z1jirFzBPho9L8WXnF0+jUp6HQzDUr6rfQBMEb0xvfGOxQW8STHaLUfUPTA0ex6R6Q+sJ7S0aH
u7uPtzg3ayiu165JGxLi61dVgRcTg/da5BfDjuBAiCS85siQLyg0t8S1OHu2DITBEytojVr7NrdZ
Qr3rPnYOecqeA5PMQ48v3dg81ap6UJEsT2PdfIEexfPtDZc7A/oeEyut+WjJ8iXI0+39IFk2OefG
jmg3l4YO2Ct6tHlJnEmLCxEX466Z6KSWdvktbuafJZGfW6/5rGHMm23bOZhmfAlCvd5ORLyt8myE
I5XY824uNQQkGXq3uTzeE27vifDm2B8qDdhCqfWPLQbsiwyLLwA8BipP7xue9eaUZ+tsKaXHgoFh
EOdMFJKNsgM/YJc/FqcGDTDUcM7qVm3Qbwq4afMQ6aJFO7uDcbploSEAimV8RSlN+nGM5NeRRr3j
HGfgDCOLbci0TUel/JqQxkH2Cbat0tRfQknuTQO0gA5NqW/unz+lG6ACbfbWtlV91vq22LnGzFEo
65OtsBV1s/kJGnz7MOUZ6n3Bx+G4nO5D4zxnjBemKbY2VQaWaSrcregGa6d5hcWhgkamSiU9E9FU
kMPJjmSvfIimzZAaOIVsejZUguOtKXjQNVUR4WW3fm5PvwbDri8NK1PTueVW0Onc9SFxG5E+yGM+
FhvLzRPYGrBGooGFUIGAoiRwVwg+QdPIAgCb2+NOQu2PS8J8sQeOM9ijCj/RQB2FHVb90DWIyot2
HBMG8qxJoMA2hxoInxX84VWne/2xCQrehZAuJpVOfNyYQg8PQ29+AbgyX5VlPxV5qujnhZ9kJCUf
rQdkSKO7B9AAkUYTvKdkhnEeZs/Sc7UfQf+vPVmPq6CgzYWeN9PWaeKw79qLF4HO8C+nEPVZy0Lt
uWO4Y5ekU92bKV1Qf2Hs8VSNab+Z+6zfEzexInqcYEEUwcf8E/GkCLt4l1amorSy7PLdVDFIQDxR
HQYhv9A05yjrFlRRVO09EmuWLigZL2GQUGKJ21R7EXYSl/I/tgjUaWagG7RtbIv+Dv33jnj5qPE7
ULkbzX6DC2Eem5J1h0ijAvtPvQ0reaTysrZZkPQbHHsDIdG0ghJhgYKrY/IrvkVtP7x5rXwpWTnm
gkFUElxMQr8f9Rm6kUvskpnWHsdMUX11jYFEUNx8myITsd/3IcWU8dJWwjuEVhufxg7MYjDMNgP5
CCQeOyRd0Hvn3uS+dqy6vppt/NTYHLS9Ob+VLcdcr8Q3FMWB96n33KtKZ84OAdq4Xg3aCV/lvL53
JDqTNdxJqLbcZB6QlgwkYDP/CsPPSdwgstFRk7jWSMd7RjtJkHK8x+MSHL2ewo/lix6XHT3foSJm
DbspDMJqZWPUeG4mq1wsq+UGBkh1cpYvJPpcyM9qSTWlaImM8dEpG0ScGRFRBrdOK1xin90APl4o
moTrdutTQg790hMgp9GzkSfzV80z8rO3fCls7ZNdls4Kq0O4Ft6gX0ucUl3EUt22CPFFirzW/OWS
6LNHYPtmhsqlm2FxeqqdeTOgqkXHHzon2qQ3FAvIO9OqPjfA+/WpCo9zYr/pWoifCtMS3YMxeGyG
+DP7//eybr3nlJWLeQkWbYsqYY+PtlnTtcleQHuvNbIH1zMYZtpHnrGrmJuuKpMLVU5vfo7m9kfa
cPimKhJHI7FD3yKAeDem3bDxFqCSC7Ywb0XDPm7jUFVT7Sdjmb/Meo6Uy80PuDfw140d899gsVNW
pXylBNr3hN9thr4PNthRg0vSKfozRnzkJ+NG89z5BZfbKk88xgYEO+6JJHBvbZK/qQpNKRykl9p6
byB8YGl39Nuc1GdviLNtbcQ5ClE8eNZAFwz23Ksti2BrqopmhxjMkzDKV93ldvbMmYlmF7gkyM5f
wAM2G1N+AY5ls6UOFePaXG7EMJKAPFGgeD3IEYaB6MWqNV7OLVADHyEH40imtGf4k7cQHS0TWX38
PNTBryCdOQ7SdTu76Nd1ltIvRWU8heCLGWpX0WYe2Fj4iLRdXMXNrbdA9MXyzNMhLklMWlAQtOk2
Kqhq59hFLdoZ8CAj92kEBbP2ekxaZCrh7B9Jo0kSkGXtROwteDpgyxnhJ42pHfvMUTTjWCW9lgrT
BsWzHYO6+loRfnLygnkA78W/Zc9kLqqvaWOCodPK1C8ZPq6rmfMEEszBNaeHLueQlnTlrpYT8NGo
PxD1ZFx6Ik7A9Aw3nsN4x6O+Ziym45aW3WsQfas14E9YSyxSQGiacCYCcUqHFdjhRJ/ao5bvoKKu
nKBJMF+9T0CBmLWVNMEDC6IkULBT2EU1e38+nkYkbaVWu48c32jCMgKc1UTiLWjmS2G324z0BxKm
Eo2n0UEDN6r8PJElwMgGaEM8JxQktWoehjw3z7r4ZeCnu4+104QK30u7l6CN1bM7fIYec7OJuF41
LCP+FLs/+qyl+x3PoDqV2T6Pdu2daObctGl+H7qifQrNDQ18z5dWTWrTjFq2F3h3Wah8VZvfcFu/
2CG2fKl76dYfrTBfTZ5W45WaQqA95oPVIFDOIn0XJ+FDInEuGf0h4fCxIaSZLC5uc9vW3oMQ1Cda
oZSRMEeJWnIm15oLlEY42oDRhLYHy+Ecx4bHJ9LFifNNzNtGxltJ+KRbQIJ2hr0K+kcnTVokALha
pz5/F7oImT3ALSzWtpiHLaRMGHq5/tZqlOYM3931mEw89HHP+EDLFsdJh5d7W8ZZ9aZVgGwEM/Kt
la6TCqedPdRnPU+DSxTZ3uX+pzDU8AUO3qG1xw5+UWb2e/QdX4bQJX2NLoE0A0ZidRQy2ufL/U/3
Lyj09WNvaPtiVOE1LHKyIdrovTbxWa6aDB1/FQyHpgSbU96/h0w1uqJua3ct4HRwC2RH2HhniI1b
7IcmFfj1/gWITbjt0OP8871gnsRWtUxIHGtMrnroJldK//kQhvmNBOvk+r/fv/8JaJNNTaBsMr+2
ekwyG3u0C/PbLs+QSTihlfVPNnKW2NqZlhoSf7tWaH7Sj/qWn++sw76D3EpD2K8D4Khll+pHMl7f
jMnj6RFpjQ812/damlB+YaAw5lptgOdAS46BVWtuSQAjARjPKa3JM3pFSFLek21D45hwkO8NVoSg
pd9HL/6W886uNRbBxs2ucUGHzAzst4GTF6ix+LXUq1/FEH8ySd/g5H+kn9wylJg4PNe0clrwBBjD
aL8r6yTAKhAn0ZLv2B6dMmc8PbxDErDt/ptg+NeFCghovTMEkamZ8xnoFmO1qNmq0D5jgTI2nO2o
2uxOgRkJnxrmqKl0UMF7C5CZztkK3n/jeMR0EN01afiyIgnQKNW/QfJsVtFbJ747zIs4SUGYH0Zn
U9Q6U5s+zDdgLa+mUbhrq7ehRXWZBnxQgg0HZL0a+71lleODpQh7s+yvs8iOkwOzYRY5kgrXeczs
jBFvpa5y7rccW6Eyr5ROb80KcsbRnnYIgiqiWKUTHcnuMaAljksTw1qUdVdtPxLH9NmUlYNuhfog
oWiElUofr83OTsQPRMPwtSAqTp+KhmW33rBprGkdy5Xb8DP1bDkVNvtUmzBAl9+zXg6rBFaf389F
62uBvU6cDdchfVOk48qZbqP3PR29HINatBTSeHc9QboBcmfaNlumVtTDuZP5RofJgHkehxzzfR6C
V+o8XJG9fPYqMpPn+B0OAjJongsFEDyJo3iFle7HHNfQM7M020XQn7IqhSsfPDI7rvENGfDPU3DF
Ni5Qw3R4CkJvAzB+WiO/mTZ1LV9cxkSe09LiIUV27UTyp5e+p53D1BQ4C306fD/0jiG+lTZkDHPy
zaDY2VXRrqehAa/VtUf+6+ehJ29R6+qTkYAkbApIHENmPcMHNlbCbvRNlfS0QNFMj1J9Nsp0N8oh
XrN3/JQOdHFlbI1UB0vXpgdWeJrxYCOLgk+gEMUGyzDJLrLe5jPR9STN7EzNAaEyMFEIiUbssfuH
fVhtOGe+ixFIhaL7aAWFbxYRdCzZIryKfzqW4IOMO1ikjbt1xsTvPKxpbQAONHDUzpDFA5Gma9Me
bab0OSS2VH9jKPmV9zWuHsxR4wYnr2hdti7lfMuAvtM2TK3ZY0raKFVjIXgAM1lqfD4BkohNFxSM
BtLmELXNnjNnwZRNMoTB0crJxYB/PbDbk2I3TMmtsZczaSrFuoKJ6NNBY8MxSGhYmY16tg1YfE2/
LRKr3fRxydwQ7HfRdKU/A6IDTQbqBf4Zp/JkVY1sFaFTn0MVk/c94641aDbp0B1q/J0Rt3OMvAl3
FdRtLX0s3cRaB0Svr2eN0DUE1qup0ywWwoJZWUF/yxPmlXEo+ZtiJv7OJu9n8HTMvynY6JrSPlUZ
A2ECJLXqnZQec51XNO1nG+9tHryWuK6znF6KAtIGfjl57jCsrdQ2L60fqLuZrkzfUDZ9S1nRVo6s
cTwiqCEH3d7iy32rJ1o+dDCAE5qfcGZGK+cl7wRZZaRgGe64d5z2UuaMagObRpwFLb8QuPmXehOu
bnuI7R4oH0W87g7prq/ecHkvgPDI5e1pnifQDSuzQElZ5uFRxnyotm5vrSY9cLD7DJXyu4hIf5cs
xoWa8IEM0Y7cwJdpPNVm8NVgJfJbxlFbd7SedNr1kUtz2XI5+cbpFyLhok1YGT+qMvzU8dQlHjmJ
STpSqJcz3oP8p4PJn7CMU9C7GJLU19wGiT+bPaOG+Vwqk9ZpZNCMUKPf5a3c9lp/E1jbOMYHiwld
/54HCd4ii7l5lZRn+qXvqAPewrIfDtAJfvWz95NwcrGpM207KFf/C/90Ubp+EKc5jsk/96xCuOYf
wr7qMgfzklXBkRBlP57cz5UNcRnNKHzNAU69gaOPtoQByb4LNmlGmmaqXVIO+j7ZvvHGItkdsaQd
7UKqoz9r58R/kWSLcs5xJEYHw0bk61jeRyRZgMM7YpZwTBrXPKil/WV7cbt1IgsodUw/P/MuntnF
S0eLYHY3ciBww/RhMKsJ6rJhBuXb5OLc4pPZGdPTXy5wgcP+V9rnOLbD5XkoDQ0CNv4r7euj0ga5
GS5AwgYgYKmoJgrSqWawSjUXvgZaOa5GrIFM/sHq47o3DbO8/vkyftMY8zY5uk6mK2Jjl9j6/16F
IP9TC5EeHlHTMKSY0zWZjH6Zy7fSpujMlg+zihCTAEb8i7xx+dH/fQNwzAMnROesY95ZMpj+rW2s
Q+ISUAcTj76MpBvGhUkcuxs54Kedl1cc2sOAQqb8a8zm8tl/+M0ChiiMcoB5FuTe//5m4ZZJWWS5
ZAQV1w/Ivo7toMHzasS+DePdhOlAiWZ8KWb3V+nMynetGwncVHs5ERZL3mY+Zqk/kRl2VsVoMoPv
Tlmi+ouU5bfcpohH6/A3eapJktTHyzZ1V3cdw7S4ZT7KU6eclo9HZXw0O0V/RZuPw6IgKBk6+Klp
9TdT4IHH1YdAz5rNeh3A8DojwFUoQPsJHwlnZ6M8hykzdw3Hv+oabBqGeqzaqj11pI93Cv2eY2o7
5saIyOf3fHCBSjUwrkALcPRAcHEmdRqtnGOvaUUnqCcS2C5pfqHwFi//37vTlTYHMld3HIMh44cP
qiysWuedto8dfeNVwwO80s16A0r6S2NSCcaKBjAsic/KBhPz59/9++rG73aE9DiTSANJ8H9vkiww
BtTvjX0Uur0p5hHkdS6IkHMC31napn/+bb8vV6507iRpm4zA34IT7RbDF2pJ+xgb2s+hrF7ReP+T
8JiK/NdYBT///PuMZXn58AxIzzL1JR3MxbLw4a1N67ym81HKYxoEzibWkjUl8U40Fiyibml2LCOC
uKTtH2pPVaUKZF4mu23p0gRcRl61cqyDGVZPd9EoWWHJuiCywh/ICyyltU1ZsOY2lA9hUx+pob2/
LB93uvaHV2BLli/eMIvYrY9LVxH3wTQswVZRojlrehbFLmnUTXSEN42ON+6F0L6YDMJsj8tFUAVu
IB/psS1yxMFFIUKyT0OOyyqzcE/OpX1xteqTEVfhy1y8BrKed39+039fbF2P+BQheNvZ7z++555B
wPtcSeNIq4EGv2TaIV2IlCgADwICol8sRgda4SFMnT//avF/rHncyUA6aUA7FkEf/72dySJS/O7c
OIKzytd1MU8r4aLc6Ymoh17mEXbfTxfRuhUMxpZZ16KpVaM+rtD49X+528WH/AN2ZxeDjOUKS5ck
hX4EhvZ6XJgRoTNHmIGsV4t6aF40Pzfuv2g3V6+cynngqA81B9zkn9+Le3rlf+8cD5eORFDnMLD5
fVlh1uXqQLqOla5/pSdYoRwxpy/S3eVm9kQOh3k1ZU4LNFhGOHoSokVeYroj+82JjX2QaeK7Es5+
7kr50JtHOvfrWKgK/hFqhtBOyFdhcPkwWuI2R5QYVWAB3OjECVh8f5SSAGyDlIdWFjYMDUZuFZra
axiHG5M+ywrDiNzmtWL3g7C0iSFy+4mVP/Vmu++AFZ4YSizhrxLe9CpgBdtbFapZMRHHa0cG0q+G
Mt1Tgr1MFG8JpDeDoIYtMebWYRDBPgRnxI3ix044nsPEsHcA6WH0VdpZmP30NpKwpyWokrQ8fVIa
hRtF7ZmIu5m5mMews+FElXT6TM53754LJyM0I711TSQ4nRXiL7eL8fvNC8aWI6vHtscB4r6Y/csG
UcScHictkMdwsNzTnModSoPvSdS4j32rn9wQGUY6oRlIBAeZRrarAnh+NwbyQEQIw2WarCFI5tbo
sp0ngPqQSRgzLKmAKtTylRx6bYVDwfjLhcvfn3hPh41LUIC3BDHe78R/XXhI4JmB59463mWiEo3J
rE2/ujCU3/NcvbnadMwy6VzSeQ6wPmXMpIvu1noWkJuK7RQJTU79xZoV6+cgi9d0n03Ug2pcM+w0
D2lIWqqdfAqXfJieKd+OhGIsRxWzhoaxlvC+mCDXiAvTcutkZkzySQQJj2KsbvfKquXcf85viBVY
GL3R2GTQB5GzeMPJys3HUWMWkqkfitDXkz9mMZNClsx9TQdPDZO31d5cs8KUksemjw6L10d1b/IO
P+QBVD2FG2xftui8gHF9/fNjLH6365CQLnHHsaDyEN8Dd//15up1E809THLMo3uPZs8VTFe9Qc6G
v8hbYsNbwlbFohpNSws7eO0IEgsQRaReFe5U+pfVXfy2pQJpXtZXLESsbdbH66njhsGlmpYgEjkc
nAZJBflTY6mrKyA1ZP+PaVsAKMQLb4w6iW8zSvXCYfBGxltz7mIR+X95i357cLgkXE0mccyeSyX1
YZeHO4Ymm+bh0YhiE5mpTVBDwMCQeUMaCdozBvI6x9anC/3+6WBnBGPrvXECOWeu/3Itv9X7y7Wg
NRa6uRSvcrnWf31cOe6cqgn06ShDgS8Qd8KhaetdzBhwNXR8aIFhIH1l7um3tgYvuePatKF6CFPo
T1OdAyONAv6fzvJrTrscJgEpz+P89pcL/X13sikolkMJ5iYOCB+PZpkZxaNdOcNRU4YHdho7Uh7q
Z9SxHue01N3TgIWciOb/IQi8PbDRuuTR9mLAM1r8ZM6YUAZHvkahUgfVE/yllJufs2m4RNsRoe9T
VY/5kvh8bb22emaFyE9MLDEcDSDVOpbhMm0qfwLVvplL72tQtD/1GflnOZnBljybHJ1VVXjY5xGE
y8SiubgIq6M6AF7mSpSFdrMzUepbjSMPsoZ3rKbc2bRG3awqzEInGdHaRpm2tTrX2XVNtqjInIJw
PpaVTmL2nssi9rtknh54pgu6ksOR3miAvJG8wNKSxWk0GQvfv1SkFmz7qbR29wNIyUAP9avZnmfc
krhDCvthnpAg9Ju8c4xXMVHOJ2n4Srb716zhiBvG2UazWnHAwflL6ehBehMjOb2XSxjJdm13nfdw
X0QTmoYn3e2fp7r7qpcz3ghtM6C0OsdCe2oM0jTDES2FQwBqWH1m4J/gOfC8o62m/f0kHQfq11ig
YE+IjWVppS9UzKG4iixmj8uDfWPJ8S81x+83P+lVyOkMqntyfD4edmPwlBVqruYYpxCUUrW+19DV
sHHxAG+1mgHCMP3/n34peOwtx2JI4Zgf68021I22HyN1dNO03Wqldcm63jslBJsdkt6O/dk1d20b
06VBlZVj5vlHryA72z3/+aEyPhxwiBCn1DLYCTGDSf23Z6rA+iFqJcl9QjpYQ3M68xCxBS9xBsh+
d9g3rIMdBRfN6iZ/8WvMZGsfZOl4n5JU20akdqrCHS5xXHynEKFxbGhQRPX1qOXUTh6j/Dl6NBn/
+SXK7PVcKgBOzaYcSfj884sR7sf2EoRSwzZt2+S1GCZn1A8BXuRAtDGBUMkxgrnnu1okjnMu/4e9
M2mOG1m7819xeI8bmIeFN1WFmlksDqKk3iAoqYV5TMy/3k8m722221+E7b1DEQgAHMSqAhKZ73vO
efRzKTLq2uoYy6JxVnt5RUJYs6QnaBDrOSNzgtK33PUjJE+gT8tiv1gaQbf5elablFk8EveZiWfn
7NQpR6spHlK6gJLar2eTAJe2hb5LQCyBBnprkaKLgeJxWKDbrzRTMtc6p06mlUSdzn/t6ihTtJjC
M85x60wwPTHDrvit2H9pvc4838Ww7UoROdtyrhO4YSOypcIqj7aTHzOtoa+d2dG5QK4dkTuyliTQ
bnq5u2AWoiFxruRG7QUiZUEJA4Ut7mQmq5b+VDk9Zpkue+kjmWYJW/PIWrQ4zq5NajMcwnZOXlp4
niajGIq59rXsgee1Gk+BxFwPXvIlKWPn4LXY2egloBfXXMBWXfKqnJkf9iv0gljuYsK2Z/xAw0Jb
pins9q6l70bfnSOrbG+rTfBs38EOsLBpbXQBtqiUmcgEGp1MmhvPwEWM1yoZdgItC+n8Oa2Cggar
sdjdJcATdCgYpbdL6ftXr7R21J6jfWMbezU9W6bmbmdkmTRx7u8Lu0+OPUYx9VfSA38gVVychrRL
yXusnJc+N9NdkHM1sHyhM49EaOcWWn/VrHq4ZoifWFw0SO5Ne912PbUmcgXvUdTqr1msB4cY7XBn
B9ELnn9SrbmHdK21eC6JRtslxOeg9rMf4iouHtsMwWydo8ByJ9c9KbsOjy2NIH1aV1pHGEfRV9jb
IZ+gTqqPXIPxRuZhHHG2VoeEdKFNTDgQTFNwXUL8xDt77K3JeJ3s3NrkcPrwgFKSX2qnvKJykWon
5+rkKM9ifBSHHpHrAeeWsUlh4WyDVtB7jNxXBGNmmKGuOdQlfsgcvHjvpxr9n/iNGtEjVivKUIZ9
9AtAdWZpH2MW+2jUVzPso+68pKBiIc5VrfEN6OoblMVvvogRlg4JvlJc8Sdz6Pba6DlHKzaw8sX1
ydWx+DcJrr5uNL8inGXuXBV2OHV2ehRJOPGfZkM33/kzN72LPf6jQqnnyA797rluUaljJHtWxtRF
ynLnNng10XfRhKGW6TD1u1bz8FgboFErDaiAPyGvGosUAHvaHkafy0i5iyMUtnd7pMOkpW76s0ve
9RhTcCCMgnAi9H2LXpjbKktqbK0s13EZcL2u5tOKMuZ1QiMObq9IECdxWLTDA0Yeg9FWd9GNUF3w
hglRS2LN97Rj1m+NmdiXKTn7otWB1Wkgmkd8z1mBeXHG8Bfa2pLgwo6sZ/QC/Pdr97KYgAx0Rw8z
Lcfs5frFJuPJS549Lc/6ZC9u80IyA0jwrh1ontgFzAA6rFUh9UdYb3ekWRcA1kIEBMVREo8RDcXy
0buQRdbrSCC75EqxJDnZGaOQ0LkhKgtcZWflAvR8pu9GGlgPLhy4yScQNZh8HvgeHeoAtEOo4Sy4
TAeSbpocqSjavuaqp6lUpmA4KRBWXoPqiZVKf6XUW4QUIINt62XW3q9tSPNaHZ/8kQzX3I3bV+a1
29qv7CdmTFhWAvFQ9YDAA0vL8EQ8Y9wpN5ihGGOEWIvdKFGckU0UO68/ObsVrD/dn6EjVcsdBRXE
SSxX4+S1e8dO/LsWC+Ox4WZqWc5uCdjJzik+eFnAnc5jq13JQM0j6NgM9N/qBt44+oHXHKoWT8pl
2fVN/IiA2H/J8588GOiwCss/9yWrHlaSbWxi20TMC2IWk8UYjQih7sFskD/tOcZeh9K9zYkUO88F
XNn5vIAbwlrSvxdL1R3S0iLlvIEA3iFLutS1/yz0GTRt8J4M8SnAJ3POA0RwC+L3fUpbm1Bags6d
biy/lPkX4OWElJtQZVGTH0cicOgyZheNzOFtF5BWnFQNukbPZlrZMKQ8azn5aUSMe0YdPNa97u3n
Tu8OUZ492RWlvl4SKuumIrFax5M2oDA/pWWln+Kl/MIjn4EKjSrvtk6hLxADhiT0bVvmxIBXk3nc
FTSDDzFpmHNcT6qbmjWoiGxfXJq5ZbU8BAetbbibdecWZNbvPHYheSf0Y026AJEzO2GKaqqK6Xcj
nK1BdzFdbiOCf+0/onYxial3zH3vA6FPi/wR1T0fQ9boO0HSAx3gCeeXdogLjAK4xdYbLUkKbfoa
7AzcxPsE23KIK6Y8RGuLVwIQ1KXTH8xBt24sW9CqkU/zOHUWTn5krWiTTCv0qdkf5r7b1Z7pXxHQ
DWHt1Mke6ZZ+4H09jpIYVrf5fAK/gOdc/mqawhDXZVoL0h2fm2N+mRiFQo8h1GcMemnNOAOXPsyI
J+42KOOXlqGy9ER1X5e6OkxjP21XmWDYjTkWn2jwt22kGyHvJFG2noOXciGCFfcY6bsTqrx1zt71
4M3Nb3Y6eN9d8jaEQ8A7niYy1uZpfEGltlXaX9i4tFkS553MblSFWZGcAg34eqTZD2VlL2E3dneW
lL/MtD36Y7CeDH1nM5ViYTT/Qs6B+7AUT54HAUWvDedoD96tyOObSY370RTL98Vuol0RA94VenA0
u1LfrhZSW3LfQWzEk3FgihYO6eoeBeYJ2BB6Si2OVUdip1t3oczQC/IZS909lXlr7OrWflFtmQGI
88nVOpe/u/oDYswG96d77av2Ykux9RxbhNnk1zqzu5OZD7SToxij9djbCPOmmXzc9WCUzXRxq/qQ
xolxdUYX4Grxq+2z4BYhC7Io8Bz6tbu3swUfkfDhbR2twzk1QB2sl2oJmhv6MiTFdqOd6DwT8qJ3
QZjzdqSENFAKIkFgyZ7rwE8eHOwTILn9a9u5Oygbzq6LpnflLO9TNEZtmYTdKgB0kiTtBCTIBH2/
Vc2QvrHgrI8AuVvD2M1IW8M5pUZUU4gO6eejadWnU541CbQh46mhOpINP3Vn3yJGsLsoOKVoSog4
b3IEehju7QrrvdtgfZ+khRGHKD7hzqJRl/xAWjwfm966o2itdkvWEf7tDtGZRR46eazRW6P1u2uE
PfMAtu49jSwLFouQRqXsZOrFt2ie7D39UPA7ZattPbw+qV71l85zX4Ki2eZ2pp2jsm3R7LECzZvp
pbKEfhnseEcTFQDIYlcUi8XRwPZrMjV/prb3Wi6mfilW9CpTlJ+KtHBob49juHhWckNOsp9W7M0E
lHhXY+gxnkxjeqb+aISYMgroQnHJgtm5u1r6xjDenSeKR48rD2MLeevJ8hMGkD6/DasTPFI6cVME
lCkdQQSWtP1aMf5B9a95cp9UwEmce/NdzUMRTcP4s5Ir832LYRxJt9b2Xahx5++0btVRFwJ86QYu
Tlg/tg3uApGH2MWWPz5pwXTS8TU/9INGcnbskDLkuPmhIkM90+FAaGWBaWZFeEdmAUIVkf7wxnw9
zdOAYzUonzsj54FWai96bDeHzAI16dkZ4hNnwgyeRqdgbpvnaiUowdBc+eSMj1HD/zWP+dfREi9t
Ob+5xhQ9Uy1CD9XASx4xWVMeImBmyQRivtwvjyJn1YK3CWveuF5Soa+P5kDwQFdO2h+LVTziRAI8
5P2O4Nx2aKveWQ9ru87sr2lHd7Ql5bzpc+PU5RXzG5tro5CmKhxgosF5NLpwFSz8oUe39X+QDmDi
HLu0PV0yqIAyKhwGjO0EFsYN0p0+RMCCcALEo7RTMRdtXJCGZ3J8vrSOGSZBUz2hxq5PaeLPtAKG
J98qvfeJGyxYsQUNhQBbhjjyuYG02jGanNIYaPA8D2AYsGYqrTyQx+Sc2d/cVmM+WAkkyY1oAEAj
WTuLpk1PSbnc43at97a9QpZOUNvM7maqs/Eejzb3XCasm7fyVO6Qfi9pYt4jy34MnBkPyGQV1wUv
dZAWwatv4XFE3vcwtPalmZbuyRGNeBpHFJFjQ7q+XD+o63ZCE76dOjJcxIDyd/Cs+XmeOuOWDVbw
xtMnCJ0FPTxGn/3SEEgwoo/ddd7Q7YJpOa0a6zxW2G92MNkXDVL0VtNNmNcVTJaucujRMdpGmb5t
AtShVVfGTzJSpukQxy/5bBPQZM0vZU9owZSPR7eQ0KTK9V8KIvtXhwAUI3iZiF/5yBXhtu62Yk15
rMt2wSBhT1xtmBfriDZiRXCLsJswq/JuQ+EMzVU1n0q95znZ2UTUjONMHMAY1gPzgaKFI+EX+XoI
iol0g6K2rzxqFgm5QoDUVL8pZQQhXRVzK7py2GrmvJx0A1dENDvWPkOk92DV1h4xT34paTadeq+/
mjORljNNFt/pyNZfEP9mCxLmPG8OfYBUY9Z77dAtS3+oI/2logdwWShIq/LWKpKf5HfjwcH5uikH
uFFYrBmaTfeVFvzrVC23TsPVZTODWyqR4Xh0MIqKBIV6h9fTOGiQwba9zDISmfOWpnhwWlGIMJKu
Jqz64rFpR3Go4gCfleFfGEjGA/5qf29S/Nqlg3g3+8Eikmxc6Sag3NmMsRzDqkX7oiNfjh1WBu6i
7whCvtEsm78XDhYUsHFF4TK1nUM3mpC3xyDGsWOI29T3+dnoo3PZF/XFb/Mfcd9qhyKecXTYdMFq
i36Yikjq0c+GyLYSUmSDbUoJ6kYmzr5yRPdkZUwko6z7sSTBwlQbXZafjpDJS7yfJn0XN51Bq9Fg
uIxxb53L1KFgVjsDBCY/vcInbaI1foAlOO0xAQQQXlINCTgxJy5NVifhPay8INhSt8BuNk+nwevc
YxrNtxjB5XE2zd9eBzKs1P0rHAZmmjaelHbJpmOCLBMUiPWHjeI4dFlRsGgi5nzk/Tt63dvkMzSY
Fo/1YZqeVRAUcyOdG1/CVvyPmAmk5sYtWtLN2Cbdg+YMry2qxa3ouzJsfBeSXZsO4RgbxQMl5Giq
5+vkzGefNcS5IQIMgEYVovjNSdVyu4uXmY/G5Itn1udcntIgW6a30SeROQ/sR3y5F5joM6JbO75T
v9+NWdCGXhwDk/aQVS5a0l67FqBE0bWPRjMsX4c9mvIN2dfdo0CIbuNaI/Je3LzBuQCa5ZMnHmIf
OfUfU8c3KuuhM0GHmYfqMccqtDNi1JctropN7vdv7WC9jtiQsRkthJ3YWy+LiAkjg2jLyP+j1BI8
aIXZPkz8n6dgct60OviDucqmtf0CwEXANJeixqHoKgw0RfbQCoh6cpXZVctHobRoXOtUAaUT0DR4
mvHs0mXVMhiLW2tK3MRQvETWnwZhXNjD24VplXPU29r86gNKLocf8YxnxvamKEzMAn+kwbJ/Ni0/
xGZpgITsocQk5THGHZOvcCvskeyYJEgecA7+sgcmch6FgY1rtHCgexxBCKZxq5mvuUVJzDAG9xdB
p9Uf2mrFD3VSsdrxjdeggLcUu9+t0RkfTSh/ne4Vl6wtn+OOhZcNmuGYRfPTtNgaCiwtD2GX+HA7
Gv+U9uZFDPESisly3kcjdUJtcU5uXlmPrEWvXPK1K+YTahRzp6V4jNUMrmZ0NVK6FymqY15SgKCN
EEZvrNCU9PFh1b3fiUE9ClcmRu8BWcC0cK8KFKuJx/q1nhh2AmF9E1zrmyRe+pO1jjPOKq0KA30J
GSbSfdpPF3OhBToa7e0jCFIKyAh/mndZpJP/blGVmDO7gIhF5T0CSTaOAzrjClwTU62NXmYvgSvt
lQLhIGrfg9/a2g79G4xNiTrX08jFMJM94BqbNnG0VkTvYBFa1/lPzyWcb9WzgIrgnEivoBzQxa8m
S7sjWSJYz8f1B6nbSYvjJ7hN5jCd3cmctrOVjDsV30WqANlJM7L92Oyb82RSrFWiSRrF+dmleLnJ
HQJdnHg+2F5HFZZlnV814mBPTLuDguUUjyB3RM9bYSzf9GMemnENJ6HP34feTR+YyrebziXe22fe
dErq/mnqA+tkCY9HyqKroimVPHlO75YrCMl4ZznVuI+n8ftkd/1+6otqCy+L2qfndWHgTyz0ZmlR
6SeENonQj+qJP/QkSdT1uO9YbbUWvjCuSWyohNrNRTl9c4V5Sm1cz55+w0SrO3NzqkjrZYggXgyr
BuGm8x2JJ/Chjk4pNLt5MK1TxCA7+K64rLr+tPq5cZs6AkIgUuDYnibuHRaivlzsFH30o5tITfC7
gau5JWSDYP96owdTdraJ/tquvnsoZDMRfg/AU/42AuHaA/0T6wTYASoSiRnHaMVYZUTtH3wN84s5
hH2aGlcxtTdzmt2TtmAAp5Z+D87145bEFpdqUUN1CqfLKct1sZNQu53pipemMMVz0WX2qbR7Sola
ee9u7uTYT04eXzu//qn7hR82o90efMQJFCrI46fia7y2PKpOFV2PuqvvhUOW25Ti5ot4IGAwPyFp
Xp5TeLVuvvhSv5E+ZM9F6zsXdyiMHcPH3XMX4gKmNt6C4Z3Jy17cKzPRcXmkhryzOjI8MtJOn9Cs
0qRr3WXjuJPgbsyXRwuXG8bhhhDuprWeNJ/B1jaFf4wImdnCwCakjSYhrQh55bakwmD1HYCr9wR0
kRJPIxy0RM0jFx/2lITlbHr73Bh4rmkm5eogdb9Pyy8/wZ2lNRFLTHMubnpXvkdB9cfgUDRZildR
muYXc1xxm6J/JNajuZjO+Is1f7LDNAUkD/XvI0+rne2a1VUQVLK3cG1vKGuTqRDbz53jhCsD50vN
YAQU5+wwadons/2jaZf0Db3BN99oiIcPuj8d6p1x/sWH8XAdBj15sBmQDTRlV9CNmI4otxyhff05
pXWCtaGgc2WN9lsUfWdF9FpSMXquidLfpUn+2A+FTicjXfZrkmAwBalzZEJ/nSrK6VoWLS9do3P7
9IuDx7sdNlE0Odt2pSaVuLF4wuP1ZjIFerCaq2amcJgqgnHPS5IPdIPat9wZxK7Nu/a7L60I0dTM
j21b60+TUX3DT9fcl1r8rgbSyMwpKw75pHlf18WUCXWrdqsXvB/5tNp7k6XXUQxBxgRKE7d4vg+k
INUHr4h2lpchCqbEtiWBhLHKlUEFTt/m1w71NFS8lQLgYp5XLDL4eZDJnlByUugKCn2TmNXLlM1f
YfHNe9K1xTUyposlSyPuMo7MtlnMlXW33NDRLTeToWynzTNV3WH5kg+xfYdNpEUbmz+tbSdmu0VP
Exps/UuCZfPojtCz1OHSRMOLHpxssKOPRZ0caq82vsTJFHqmXn7v6K4cCmIq9l1t9F+8tjwx8d+N
Lm73TRjhVeZ6JKGGqEjt3WiW7xOhJ29JgA3cD/xwLHdO0efXckVGFpTOyetJn2IV77v9pQZPSq5x
gB+5gnZKSzrD70B83eCGh2f+/fnnfdyMG/zv/ON5HaK1PJAXcnFu5t1/Lb66v6gGmw3E180EDaEi
yYW20a5nBpHu0q2NRScMGIVJB1iOxBt318l/TKcXdOxwAjO4tKTb2LswvIW37zecZZt3fwNmeTOH
c2junXN7Su/pfXzzv1m/ib1h1tvAK2sp52zxiHKYPbfQTgmod8K83Ps/ZtpVR/1UXJY7wNdX8R1I
Fc3IHE+UR/bTlsI1mCWcYFq/H6YDtXzcqyhBcJDot2Qpl63TJK/J0OwFgWi4pWhUDo3fHAlCHA9R
NthY8btgm1mLdvKn6obtrr75Q/J9qsuZG9UN6VtbP3ImAhumsxrRoLl3JFr/WuTj9F43hAEMs1Y/
LEju7sOkv61xtRfTWHxlJ0OZBHKvKtPiK5XkrdMhQcidpMVbbttfrdGlYpYx3cyqi4Xho+KPePna
he4Gj82yv/fTDkfm+Z4TXBW93L0nfJVtM7k7R4IE1EblwbfEfX4ceklGHbHB9aMy8D0JFoha0Z3V
odrLBZfGUJZXg3bamc7XVUuuJZXbvYI0/IPK8XnY0R05wmDeZZLGUZeepHMoJodBv2w/F/6z+soa
AUhLnY4KsQSVRMC1PRqEe/XFSOKKFO5B/gWTBCZ9nm8qjyIcHpxPnociCUSSuvJ5Tu0RayOHfZ7Z
Ba5lQ/6fouJ5Ha0RlFv1Spy0YV1JT3cbGw02HDhmkYjrw9IXnbjoDYSzmni31YE5pH6nkPwPtfeP
c1lLgJPRFd2WPumXtWqTfeeZGJmEZJHxQCMRSqJEWPlUZ4GtswDQfkDHaDL0mAkOIRrVioPyuVHn
Yq8rKOnVFwVfUBv6sdROP6gZszsTd6MhkbB0Rv3RSUnZ6iShQv5HE+39D+3g/0/2/z8k+1sG2oa/
6TF27/37f/uzosK83N7LP//Hf3+phz75b7v3vO7f/57u/+8f/He6f+D+y0YZ6Dp+YNFTcaU76d/p
/iTM/gtZFwpXFPCe6Uoxzn/S/Z1/BURu+8QDYw/xiIf/TPc3/4Vr3pQSakybOgaS/6d0f8v7hwYa
hxa+AuZQOEADU3eUxORverhAF1VP715Dj5NGu4bad1j5pAwNzBC3M0Y0EScR5RfxzXco7BNYfM5m
8W0ttXtBB5Vqpb5ss4ml8uh6e6ZD8IGPC/CRgiqSH0/3eKDTla67SCJQOrlC0antERC60+yi2NcJ
YB+DSPWZyG9aXiy+6/JZuMM3i1p5rDO1oyB8S2bWN61/RyTOnLleSbYksFgW3FmtBt/1znsJgvpL
tq63yZ5/4l6PEdQP+6FcLna1oHGZj+Sn0vk3oEklaF0D2o0QNp7rHhBKRu9/xcjO0rnVxXPuEBtC
lJQXNkNib9E4bLusQJU6O1eofDQEUNuUU7UZteo304eDbs+XlCpOQy6MGO7DXHgklYjTOPMYi+rf
U8I3p0XabHrb/kJEz24a8jfNo+NYWbxmsp55homntY7rTT6Qlh7E5s/VsMOFOTJlEfO5LXKe6sgz
JtTwVtO3SAGCnd9pf/TO+Nq01TthWyPBMoL2ApmY3RanhCTg4Qyfuy/4R/qdPu36lRwAWAbY4JEo
DLH7oHkwvoz5DU3Ow1gz29OmkhA8Xm7OuyC0BgofAg9K+IRBmFGFOTk55vrJzZrnvpqPyDv9rTHk
1zVjIeBPpGQyKXxvF9KmtIVpGOuiX3Vxz3FhOPHwYg9UE/gd+1ymRTJiY9slSMNEwSsNtQQTadot
opTDM2P+0RG8QTwnJZWiSPfB+lykVKF/6rNLyaSYzj1vwtLU8/MyE9m0sMgMfvh5yvhJqnYzRK/O
vN4TPmuTPK3DlI4nR1dhoq13Muzc2Eo7fWcs3i4pki+DhX4k6XqaLUznG298rX0bY3dBT2p18v3o
UWlFm7QXfJjEveZcypnxlWAqhMcWKTixn1/duqVeTfywPT8JGtpHR9B4GRGFWwAgtslYfSv95lue
5Mum0t9sL/9KmhyshJH8D1L33vKq+rmMuCurB5MgLT9H2NDa6MIN12NJCqKhr1/qyX2mjHKqaQFu
FjAEHWUt4VLFteLo7jriZlY3T4tTmrnO8+qByG1r4m8pKDlWN4Q6lWWiTi79PBlbizbhw+dGuKm9
w5yWku+CI5sAmIobelq+qXR4wwgjv/9zyNFz5j46+7VoUwA55Zem4SMyRzfsY5JuVpulNkqIPkHg
WHmUfRoktBR/n4p+RDCja7SQdetXOyJ0qZZxF3TJKXL6at+h1TpbqYm3TArU1N7nOa01NjWCNfnI
U5vBhgWk9oTck4NxONv+t39/EXUIV4+EOQ101P6zryHr2JVDR0Sr+trffl1JyKrd4NlpTHs4z1Nv
HLkwP45ycj+s0EgzXOkmwY/mHLl8OiUzDRRl6EdEMp79If3p6e7M8KFTQhIwMM2lYF1WJVvCQ4Nj
ktXwzAPiDJi2k5oQr8D41N5ksTpacmP/eUqdzzqTSlLq7T+/P5U/pL5t4VmyW52S5SriqrPpp8zj
rPVQrh4JhKmcP6hzuvyC+ha1qWKsCTGh+fKHPn9SfRe0SDnrqJeKwc04q3MfvwmGOV9RJ8Y0e46D
saOowdXtjPWLGFCe5VVqv06lRtX/0Ex59t74G49iA8ONbzGR/kJ32NgEbeojWfbauyEizN39bF/K
cTwg+UAzM9av07J0D4OZmEdoIjdXordIMYo3XVNRypA9G5MqQLy+z8n4TIs+MNccnoDW7FHVbRw6
/zfAIfZ1XsbXkkSOsBrJQoi8VSM6o/DPzNjaIyWpL8LXyCGw9KvWNNRTssYLC3Jn+wQ74vptNgLy
CBYRnaP1W2exDnK07ys6181K0/Iwz1l/QyhNhV6vz80q3luBK0ejVXskAfuHPVPg6h2KNYkY/S9p
QIiK6+XHPtXcsNFISNJ8slmX4U8EfuLZ1aP6bo7elp5niD9yoMM0pGdk0PchmunczX391Z3zsFyS
5zJLEGIL1FGoxrJQePq3EXDCIY9bqYaR01tj2CW/hmbubmby1HF17acyWDdEOpP1WBEdw8q93UVx
D9s63XAbN/AQ4jI+2bQRDq4ZXRTLNZO4LZhm+MTUsT+yRBoDmqu+DnxCzpPVZk0jeqLetFcI0RlV
GC2ZXkxr6NvQepoRpY0tJEnM80bjVKCKJqpixaTAEmIdcP061A43nYQAqk0kmYCZ4pF9Hi+NTo7K
sCAArM11a8p1i9oQyeAj7eEK7c6uXBLNoK9cycBqbAhZMWnY5+6vPXXu89CTSC3J1tI9foclaVyL
Qm8txKQQNZ3DP4TLlUpCl/qqLaldqWnN27JPJcoLgUdTobAtJB1RbRz6++tW7aLzJ1fZcr667uiH
C8qHs8OswFT8MIkTW+UmNQCCGH8dYv8vt1EMhaxUbLJZsso+dhMDYpk61iYoZhk4M1uBzVwQZ3IN
xRXJ20DOMAC0QrLQJrTsvVwZ1gsu2iAjAFF9rqsi3ZGLy9gp2WqthKzJ0TUBu8Y73CCWk4Dbvz5l
hXsVn+BX+YUCkZuz6HWoqKuKG6s26kL4PFR7q1yD9c0MUVR+7gpZqzYS0XZW50goYfZCIGG8L932
i/rsbUWoU7uAcFIygDXxLaqEg25Ob056+kPEkO0iybjLJe1OvaOrfMvUppdUvEHy8T7Pqfeb2HXj
4ADUi9Ty+K+NRjTs+b86t7rf2zrrT34/SaOTfE/V5ab28pIUoBzYOPZVrrfPzec1+HkhegSFk6or
DqPiBsaF/wgced37crhTmyI2+VwUc1AdU2ltGJ/aPyeJJvz47D7uUcUuVLupBBqa+bL7/OD+ieD9
/AytgXrH5A1H9dmM6p79uHM/9p2s+UmrTYTqg/n8iNQn9o9zXhWM27aochq63MLq7nXlspssKT4w
day+QuY6Ab2J/gZT9D83r8JIqmOReTCr0tErT0z76MxK5qi6ZdStlOBT/ri/Ps8ZsXHwhGkfkNPB
t4xQ/1KwcjwxH4RkX9oQBs/qax/fIM/VcV+yiB68Heh2cda1RJy9v/b+cU7riFXTmLtjN/RX+Wzs
070nEZ1zgnosgNppqoFjZKWj9ioJ91yhfKqP0JADyucnWiouqDpuJCxUZCQzy1tQ3ZK1YorGMTEp
0LL9cJDIUZrZDKcf4+wtmMCSqn1LokoJOgdpL29JV4JMDQHSVH3EruKcqm9sYJ+S8wUEdZJ41FYy
idXdqjYfhOiupa+UDyjMA4VCd/5XKnqgjoXvaju7QE22UO1GIqU+Yblp5Keuq5PliAog7zNCZv8z
PDsB8w91qPbURo3b6lxU0z2s2uD4OVwW0UqVX42cH7v8/u8VMZjZNhf2/pOL6y45wVMfMNvZQjhP
Lj41ItBt3RqW8uXOBvOjo9pVX1Lk3s/D2NS9BSWN9mNsmiT5QRUXZoJ8SaPBS1J7n5v/6hzRnkwx
P78npvf27+N/fPvMWoV8oeS3Ol+on0MYe3Ggeh3+9mP/F/99nqzubhXkdabyb1U/AT3y3ZsQDKqj
moqRKwDKG13/CxUNj6PK4Pah5/TvzUhw2vnzHBV5bjZT1/Z6Z3qHeSoupYaEygI5WWzUj8ULTomN
+hH1w+rkP36NOvzbzwSLFzqU/ir54pPO+mokiFDUd338uo/vHZuZCEWfdwMPMJE58m9TG1f+vR9f
HVebBikXCr5QhgmBvAc8vK6vPN1a4t/cZiEtD83ccTTy/ozUCscT7ZWUdCesYTzcDbn54Go2Vgav
ta8Rh60v/+BoxonMc4yj8lun206oapVLQj3Sb6arKlpGjYm/tEyj6oo1uEMcxR2oSn9qow59RZxV
x8jQCB2TJVkFLf3YqGFb7Ta9xSXkL/0TMEbq6tbwq6SVHir2pwIHK9asOvyg0GbVF9+ziO5jgUdf
jZEHvXvF2xad1WtRpxQOVG2I9XcPY1kcekRVDZ4CHlwKCprKR6MfYPJV6NlYzi00Hgws9eQzkIxV
NBczioMEOjEYDDlLUXxZtSd6pF9oR1c5gDpAopFE2OEgucNCbtSeQaXYTsVw7OXQO8tvVXudayPT
idbjIAduRVHNFV9YQYfV8WQXFJVQCdm9o9dH9Azt2ZPTKZgAdhjH0bd+XKeVECgmi6scbj72dCcG
qLqZSms1QlXw9v8qfSMPpgS9Dg9ZC2IqhN8jn7PqhauNO+C3qSKUfY2cVKDs5nUrAGzNWl7ftgni
efpb5S4TLONg/kAWsN0DlgwgQqrUvGjxvXXqea8uHFX8po3KAvyjDt6bAAnt6NoG8XpSBWadetaC
goP6syLjEhe5HCpoMJA7KO/KSZja4zPiufB5Uic3h6ZzSyNEvojPDTnC3oFMg/3nKUdOLHrsN1tM
QJRIbKfbz5r2pH4bAJv6479Qh2qDEYAfMMRXfEx+qH7R35jW7lzyxtvQ6K1udI49QbwjaVLxcEys
9u9tCXWpOcnOojp+hI8gAdJyhq7VFouDvn1XvQh1tflBOTBXkB+VU9nsJr2FOK2x3k1cwVUZL0wG
5KxObUizQIxVVvFvin1tiJ9Vl0bvgJgzNIeo3OZzEE/zmfAjKIWfx2XcTsecXnjU5dM5y/rpXPsj
gSdGm5D5qc6mqMtC9PM/iYUbz1GwjGfkzeNZHf5v5zLMMsEktuV0Hc2qfmzJXr6R2knXGVVZoVMo
QtAe5Ha0X0s0fRiMaZWt2Cx0MHCJ6RK7GaBm9yoojlDEiD0H/h12ur/ejfKZoH7vaAdY4Zv2pRGr
fyFp93W1IwwrqRNvesv9bhpLcp2IduzqVb8PsFevRXxsIv+B6Xb2MCy6dZmNdmP8T/bObLdxbNuy
v1Kod2Zxs9tkoaoeJIqSLPcON+EXwnZksO97fn0NUieP4sTNg4v7fgFDINWbYrP3WnOOCTQwJtZ5
N4ip3UXC2Ka2fo9AVH2xIwP8WI+2renlYzxWSxWmhcusyqshoVA5xr0POXSm+TRF6H2Ro5UDwEnd
8sE84tsqCLyKAnV0Z0u56STTj6mJq4MlwQorA1ocZ2wQQTXpbe4LBVRyQ37bxB5NKld3bLvu4ASY
l4PKNG8DOV/HUYdNQZ1eB93R8TQj8sglDUmhjLiPTFUcW224o7JV0YbXEQ8vS11S/dnoWe+ZFfRz
PVwHuRkWE4X+fECdczuXYtpWXd1vc7MSV6THm1vF942tSYDfbZpmFD6ZjXvkmc6p4QD9MQoS3MLg
kNf17dxLFGbN8A16l+1hRSKmEgn3xshV+o4pMbMJtMxQq5cySNC4ZqxWCNBHPJbQizQb9URfdr0L
ZQklcxHRYLbtGz2vc09WArsktRmD8BpKhQ9mqXxDOd3ubRntxIKzyfTuy4yKE4SXYUepdd+lIDuM
jhu/DTNXJ9XO8PsfyInyYhJbJBLlghX9ZubZeAPNMMZIOT2PqhaSyZeTO9fZkKjCmRidrnsvDFIg
ulwAkKeyPsXqp9VQxM37H2Xgiw1xOFT46ZSN9J90q7vJEQpuHH3QMEapVIJT+raWqDF/h63nNzp6
YHNUHxqDi+WQp+6s5pqbTU3l2VwpcAmSwtUijUgdc9dTBAfqNIHXUDRsX1qHSApkd6FOukda/Uxs
TdBtLIb+nj5lw7GctQmXKAKZIfrRp4e2b6GXLwVpJf4TnC10TsZ5W1XkoNRoTDcyK250TFOUmvjg
0sQ1kJLmeTsq9M9gmpA/qyPXajuaGZFd/dmay3hTB/iYMMEE8EqcFyh9qhQBV/MWkqM2ZvtIxwcb
5ItXA46ivgjP/Ejs9Kpx3JEddJs39p2v4hFTrGSxL+ADLzM0i9VnOdIsKYTenr3X/929+0+6d3TN
bCAo/+v//Z+v8X8Hfxb/oXt3U+TtR/4vjbt/vOYfjbu1OwcfQhq0xjRdNXCS/9W4E9YfNMqE5HiH
AiNUPumvxp3zB8JABwqIZf/V7vsrltv4Q4fyRtYzXTZoQ4b4rzTuNFAX/4rOUk1IkELnTwcvCMSI
HuGvIItyLjCx+lN4Z03Ngy9QpalLwmSOs2mTKepxzgvpxal+ghYX79I+ercbu71ibkT1nHRMKpLA
1hDTiRlJR5f/tOm/pGVrftfs9pFRZ4zyFVL81OMhE8AJZevkgH/kS2MWD9lg3jmhhiaQKoX6LZna
zxnYeSHjmeJ4iHq51r+HyfiVI5Ynu4AIMRR9DyE+B84VQDMSmz49SlHTmimrGSNpgAazWPwCenJP
aNqLYmaviDCiffEzGAq4BPW+tidmtp2R48NH1F6lY7cN/HQf8LKNCHFixFFA1b/vEFZPP0YDfwVb
DymJERyAtGxglzJyAEQS9B8j57AHoqB3nYOGpJnrmAQaeVL60Dh0s8+5qJtAYQ7IUiIn+oG48pT3
aeE5Jtb63hVao+4JAN0XI4LqaBHkGOiSeca4J/cXe2ZiXalEv+5DsOsbeC2uafOfG2OHiZoydWBa
nqWkEYDOzHa7AXUkPjk31vBmpl6ejuZdlWeuViam2xqBvY10congDoA7V+8hudM7U0DizkmIvLt8
atgHsNJAddKM9E3UzbirtPQDnSNo5SgMvMiBHBzi4ACsY3t63Hx3YngbpIBQGe/UK80phusSJQPZ
EbtYEGCWpWTFRVbd7QO2AHUYoP+jfBdp/2jN5ERqePq2MHsmTHoacN55hlJrT3fVEBJqbqc/QSYo
mzGzMfNMwGgd4zD1vMec1C+yhAydSRS4Yap9BIWJ1czsgWLClE+xgbpqWviH1GSoElrjraJXVJxB
1Y8RZUE9x7SVj7bYRzIjhUsl/cf5FEHcwQCU7/lMugyNZQIZJ3SqCH8q7IPUvj8yKOCu0mLMVclu
qERN2iKAe2/UMdRYVyAJBohV8YBrgpZWqv101LDEt9K9qVE67+qR9oNt0l0qmMLpOHawYQendrHl
fSVKm13FpN9trJBBnKGb07WqynCLj+WB+KLcDes+fwzDFx8w0MmgTbBtYUrxfchRjpkYdo0YN1yR
4jF6HJstJoF4VxlfZoXJqe1ctb6TCrEDiFfsTSu2YcbxLYVLMAIDfwFxumbkNtnFq6MvInaTBLOI
enuN1YJmu/zIav9Hywlsq85C2daT5i1zuWYacQVO5p8yH0lMItS1jQdU51VHrCOGOFcsRuy+EUvn
NyZtFbBV75TlAV4Ivnrmx3mzqYV+RRv/rTLt8QhMaL6vh5JBBYjqmjiCnZHZuzpyUC2FZEHPeQZ9
NSU+ZeEhjDLY0yZrNratvkfoZwqJd8bWPc7AMJLNH2zxHBCABrlsuG/b4kghjN+2lb2nBAwuybga
2Wfr4ADDXKOnWminJBo+UkvzigbTqNlF6CGthhxbFUsMEsSEcKdiOMZa+IZx55YcPiIJbMrsfcEu
FyWYZI2U5CcbnYJTGGRBxQW9+IbIPiMf92jtIE/7g+cweIWF/RYUgj0MCicqbP8OyFeoxLsOtfER
hraeGgbSub71NEP5wFv1mKThh5lHd3mmm3eKrDErobJ3q2B6iLvpJnyOol2aCsBRMebGUQVXTiRJ
Bf3aUy3aZlpImPnUMQzHBoi8krokuJy0vguXfIrWah1ot+DkySucFojCzIwbzCLdADTRV4OJyMih
xHK5a30GY0eVytD5NefHlhf+sq5hIcF6X7KP2kp/lcwFM6dlicLS/axYP/TE38ehLvarrmkVlP2m
dUpqckJIff15nrJXS4F2apw7IH2UYZICjv9ocizYQ3DXzM3R0ujG9v6ALz40rmdO1K4VAumzNanc
hozJ1Fntt0v1C1o08jJ7nVavi+tNQ3jodmYznOfVvwm51tX1RrQj6EPSjLBIzPJBcBkdJOP2cDkT
xnP9qEeUNzPSWgNtRhZAumJS2LezOdPYi9LDZHR3+GNolS43pRlolNjCY9fQUMkX62FlntivkqvQ
tO7J/X1t/ewBdAWJo4K+XhHcYGh1jih4BvpfZZAd6gSWxFIriUxRobsOnkaMoCoRNNy31lXSehqO
Q/uM/iC4snPXTkCpBll0QHAceONof7QU3dtlTpQO5s8CjsZOsa14H8vmbi0EjMuEf53Tq/KWAvV8
NABrFIe1xCS1L6dnUienwgusYHarNjQ3lxLJWirqMgLTzlUjsXZnA3I7Kn2iBQqbu2qB7suRiB0Y
cpK4UWJFrLUethY41qKYniTJlfEgzfHJULP+KqPTaMlxE1mg6Hyhgoq1+iMH57tKyoKXtdgPB+J4
VYpCGU1g5tsN+ZQGpTOk+oJiwlJY0dVu3LZGj7F8KZ5canLr0m/3aQF+vwYfxCYb2kzdRUsZBYrO
yCSRHt+6leql75LRd1m3zeVmLSheVs9LS5Vdmupjb9Td1Xozt1PjTlHdszMVyrQ16PFt4prJlDFY
Y7nPHBqvy69xLgouRRfdx9YihfaWJ2O67g5rgS0wdFiRqvZTI1aK5BDI0DkhqzaGyU9ELF9McMHt
V0tTblxKSfZSCb+som7Is8P6yChHyuPrQxDaKZoTYEGHQa7F9PUZ62PEOXpG3zAJIjGJCf9fb9zn
6I8t+p8A9vkcfTn81qXz25w/Ynnk8lbnj1nXu6x7tjEAeL89b32b8/MuH3V5znpf4Zs7KgZ2QCCP
fP/twX+7uj7w23uev+ovX+t8x7rNfvk3fllc38W3u5kRyJiM12mtAKZZ/s3LW//y9L/9T/7+8b99
6m/vvK7KjEAeiRnDSBmYV3oTnkYjDk/M9MfAq1TmoPWMFXt5wJ9EScjQspgFEeq5Yllc183smYOE
Qz40nySF9rPmBM8HsTWrruQ/LDYlQzylitGYC0xIwkkHSg0t7Qe5aFkUgCwoxBddyrq+3gjwcJSL
MOSLXtSHMrUR1jRjtzGqUz4s/4QxIw1v0ICpXEYxl/UO8bhW5q1tpXOHyeBC5NLPuJMZFeuYHXrt
YdnLLreunhuWl/X1zrX3vC799pKC9EZIFAyLlibXelP3wSKCYVVLYgxdMeOAtS92bmBnhTOBwuGD
ez9cCAdLTylb7z23TS/3Drb+RqCKsVtbwpODGonE1e/nDmhIvlYXK+mx7Uu85zEE7d2YaM9RH34E
GpKhS5e9XQ40Cu+LPNCJdyiIPnMMDaBAOPfN4ykxSm3TOFRal5OFGLWrtne2iNlbNyyCnb9sG70F
nq1kx/VdmZjy9Zd3RSPfwq4/ogEk+cO5rzLMnuv/AVvqya+GxDu3B9f71s3AuVceed3l+2nLFRPc
XkHF76+teG7br03hzM5M119ESWvDl5HSG3VzncKmQ6lvfYqx9KxqPX0r6c7t1Dol9G1azoEqNsX9
ZEtAfPrjWMckd4jRbSNrmy3l43GphGsd/GCItygmU6kJgobH7MpJ2lvYPBSK/iks8HHNUiC8I5S+
ZfSmP5yfuDx7/T3X1bzrvtD8R5uxKJbQlDiZt+unrD3UtYuOBZmpx7qezEtqpcgOZZEs8I1mUHci
s8hjRb023HTQWH9pYg6L1IN94WcZZtn5911/ibVb+9sPQ3f9z7SfGI87tWuGicNRAgQzXntEdk/u
dMi1tGSTrb/MulsHaq9vYbyEPuiS9b9ZH1tvpuUnv6yuj5536GX//bvV9cmXDXN57W9vBfRrZOxx
sx5y6762fpl1NStSrsCX9XXpfOcM/mKjBsTPrB8eKB1ha4TdrE9ZP5a5JtegdZHcAQ618+IqS1i/
DSO/vw7AZP2gy1fGkY33j3Gi4nTfzqKI5dgIFQI2iedhkbJJAU18Mt5xk5d7J+wTjOBhqO7Wp58X
/WWrAaA1O8YU7XJiWPfUdelyc7lvmjPDmyCGlQL61D/PSev/tN60veCSvy466+hkXTx/+3Ie78z4
Ziza1OtZbopp9s6qqColYdsyYDwsX8SoUfZp6nHd2Gt3fl26bPvLfbLomJkHprK5PHn9yMvq5bXr
0uVnvDxweb/fXhvlz12iNJzD2DTribOTIXD2dX098tjiSXta189fnmI7hRRlUN31vdbf9LJvOfMH
6Rv5cd3HorUVvy6GXcdQZt1T/n5xfYvzqWrEsXogfRXrJIO3eLlZzyXr6rq03ndZXe9bZYX/peet
Tx78rwFsyXH9/PX7nbUy6+J651lOcd6Z13sdoMrz7vKCX561Lv6+/su7nt/r37/0l8eBqSyNpW9i
VuPteppZLyPr0vqOf3ff5Snro9o6ClwXLzfr73FZXZfW1/3bdy1XucrlJesTf/uov7vvt3f97ZOC
5YQ/kqO+9GfXYxY7I7A4OPmrcuZyM9t6SYjocj253LkuXe47y6fW9Wptvp+feVFSXZ76yyProm8E
/UagRDrv0dba2b0cKL+snxfX4+qXe9f19fnrcfaPVzpg9CCWdMksKOkxOK6+VHypmmrcp3NiMXlq
PTMvAS5VFN+c4ZkwOowMTac+czohJxv89gN14WIj5656LhGmGhUtt1lY0/fcyGHG6MozYYzOfY+F
2NX8/gkiUuQVNS0jNU7CI+htAlHMx3yMkZzrPkW9Ji2v5ykiDz5oY+zCEIJkRLmROskC1gq2dp9V
e0hyG9GPlqes57jf/+Hz6WTOsXkskyqQnYuJgnb4enldL6yXG+dytf3lkrsu/t3Tf7tvvXSv950/
4e9ed/6EIXGuoRSrasjUbxnSLTe2vVyCLuurYOgsK1rvXNeH5SLxi9bo98d/e7llYpskiweHLYQE
qjbLyzNb5vHd+sw+qRqI3NXD+sC0HoJ/vxgFaUCPsvgSEVwvAdmEGt6wTYcW70ZEYHs8hF8yv+6U
kh+6eBliQx6i/A2rmuHhQqZJ1dDKVfUUTpd51dut8dKU0b1YculH51bP+w9IjOW7reg7rcnM72Zn
Pvqj+oX9Aycfp2c6xk56GMiwAVYjQ8D8+UC/HVZTJ8BDKQgz3arpmm2FkcTN4pa6JnXGfat0p/od
8KbpaQEjQ1BBLR9xHxC5e/BhKu/SqSB/fgYrNoTIIKO0ORCJg+XdJCGC6+yBS/xbYmmzGxU06hTF
f7G67nsQjso2SDPNJebBHamzUeXrqYJRCN/Qa6MC78PzcKTFgTGOdLP96bYPA6oUlo4/XM0Kz08g
RYKu2k0lSyZyZSMYZqB1DV3dxk93uVH8UIRzZygGLlUyJeEs/MyUcdplOF7QYPPNU/OFNBDCxCjM
VWUh7/sw/ggn1HtyxoSS57um8F87q3ogQdu146japhZbFQTnVvvUnby97aZ2hkSqemZserL2rR2t
6B+gm4+m0tMHDceFFJt1uyUPGFs1eMJJfEknVK7UQtoHWRTbGffSVhCHd0z7kCTbRSaVl15lUF6b
rdjDx0OD3U4bKjfpjmkblXOk0lWBEhHU+JUCmdnLRrX2hoIgT4QpG8dOM0+UYekOeB16G3FfQNlC
GLWrt1Q8Ubw/DUVln8ypMlyZ5ySeNs/O7OuulIQAGrbzFI/ttAVCED3EZvcWhvE+yUblW+EAOZtt
8U0pcvKiARttOEHFp074N/lMRxyfEgVtfdhOYaSe8tqcEfMLKFuEndtO9TFlZrHkRmkurVR7M1lZ
cw1ubyBFNv/e2bf51CDuS9sG3rdCoVzIZ+itH8w+mVUiLvLypj+MPgwomDMUnXPKTB1+p0z0n9aQ
2lvHQAiYKtZ1pQ+eLssE+g8plBgNKLy07HE5KVUdNdkUpHQX7ENDoGQYWjw/R7qLiBzK6DtAsRFQ
J8rLrj5kd4THD8xz6VU4osZR0PzIHLPZpcL6RowgUST5D1mK8HPS1c+4HPMn2IbxVW4WhMkQ08Iu
J25beOYb+i24QIeTQ0jw0wASGZIL2mmjROgZXIOpgptgcl0p6LB1WhHsMRsEMsrvkyH5YYvhEME3
2UGQpDnXWrdTHSKEHJ4APX7OUENvOFMkVBA60rdV43tC3CemcE7/dVW9pTEKrMipyb6pyQaH12RO
7GxJF37MrVUiCkivnCKNd7VvvKHWKNDHAFR+twZaCfH0Fgxy2sytdg1/5F2xoaIWSoRCiqjD5nEq
v3LUWQ/QrOtNiZLHC2i7j2aobHu9rq+lXbdbYQ3fNWmxk1AjniL0uI4iv4QfWl6P4/bOguEXWSTZ
yUIAT1HltykwyF9vtGJX+CMZppMGoJMzhqayz8bwJvqll0hzvtqWpfMjo9SWjQP5KdN8nYaw0ipA
mG0wIjs/JhZzTZG+OkR+U6i2c4jGk1IrT8TnuKjoDoVG3TM38THryYNmw7ypo1suf5YJwsvChRbw
O+6m6qlAbvkV5HgkitchD33XgLTnDSmy3pQNqYj0NMTgvWo+zg2mF83sXx1cNl46TbtR4+S/pHZk
UKCGkRMpGS5gZksScm2jtRA1cdR2hq7zpc2X3izUq8p/nWfaR6kkN7V5MRhMwRSTA5Zp7YSxMKEI
4j/gm9sVtR97dteCF57LU50uRXIUaCeYBTd4nQ5GXY63xqj4LmQNrhAT1yXkVfOWBsB0zXgGoGSN
wd+wDlUP+SqMINWV9r7XF5cf4qPWmPNjW9cYzohRPmJ2MzcW5isamhzlQSEIQNCmYd/yo07VMKBg
wQBp02QGYUr13ylrVIEjKdSI1JYzP0dgN9DPprALWSHm7CINmrKj0bq2871s6ZlqNa2gQA1+KkH7
FcygS1r9oR90edSLPuOA0rzRSMAhkyCSm2Fwo8/as6niWcynJDl1in6lT5h9SuU21WZ2lzC9GRSl
24IYx2UoKaiYPfFksbFPgYFRKMg3Muv9bd9nOILqhsQYaW466v2vnB9PlpNBuFXZUfMJ1JXOyUoT
SrnTZfJIZd5tM7KwVLaYm+hOvNeT8D0WxW1M7C+6FDp2LZqvRQB4oyn9/YyJygEx5Xa+9cmMed+g
RgOeBzeE6p0ZA1ShrUcj1A9uNEsrt11l3/qqEqHjQ/bS9aRcUo56MCMz3IMs598q5gO2F+d0JUp6
wSOH40lVnlPB1kUUhKrLR8mpR69qM9i79AMl1bhT5i71xgU+HiEJjKaXXrXKba88YGeNrjToNCNR
wjTmkjDQPTwf+sbWJpLcOcQrG2jftHRvxu6d7jYHqM8bFUamkH4ktmYmnhPkuA+BD6RQK7S9HYI0
S9lCOSeX2hlj8swh9Cj+ri6vh7FxHkk3Go4I8ooom3caWeiMBnoEokXh+s5wiAkGgTNhpjm8hMC8
nywMo+0A1pQr1JWWOSQyQp/b9aSs5lqEIbbNxh0yH059c/TUaVO1mTKL0fTKic8hWAilgQWkWAzS
qurZF/dyTm8TErK38l13iDqcdPhRrVbt9HAed7gGl8KPadKLivHURdOy25Jl3kXdyezRwJbJyVDe
piGR+0AfOOpThRThqPmODHJT1fr8bZyU+6ip2Az5AsYQIDG5du1zrYT4b5vfJ5QaY1aeBiUVu3QJ
mNXHLD0Q6P1iN+GBAI7q2Mak++BTm7nIHX0Jg7Kww+7oWJNrOgED5ihECajchx3YfcZNJdRTXZTz
I+xqKsNpqBibOVBxoEKX84fKcxKaT1rMcL+ePqi0+Rgvwh9lPl+P2GJ39GvZEpHwwmMhAwxqUX83
Z6pb6k+oJOwNCkcFGRUXVIjgmyCpGWCSz8FViU5wV3EIRtPGz5q3HvWFG5jld9vsj04nBUB923Wc
8Gc2Jd9RmsBCpy5BZGL7qE06mGMT3Spoo88wS74RuJXsEMSQ0iTt1mtSElICYT6F8jVj/rPk2hdu
DXFtB0HiOjNvpPIug5AAmY7R/KSclGEeroelVzUpltcUjFsCkOT4ODDUJuFj1DcnoqrlUS5ol4Sk
4GjipFxpVepOAuNhOvS4qTdJmt1ruh4fh6F7sSfiSBDUbXFn6VsHRm0fTjc9MoAEsvfWsttpX5tA
L3HLE2BfHiPl3tEsmIwW12Jbq4+aJKM9jEFPBUCioAGZkPVM5gxZT3X5auSnOqQwxz3lLR80BuqF
U5w0wNI5FmOuhsZTxNlB2kfO6M/ZTIwpZaqTWpOFjowahNbX3Bk//dzH0osEKIqRD2XGDUn2sTuX
PYkNveMBOnStjhimwnSm4wBYSW3wcAbVUS69woh+5xxBbcnjqnZVokBxU6jRLtOXMxAnP70Z7rsR
OS/jIEZVKcrmqXXZkOz3zsAgPMHLOpITp7fqYYwz4yGbXUQvNELDg6OE3/Opvm3MoL5t8wkpSVgr
d2lAznuZw7cry9uWCbQglO02IYzBaJepCRQu0u7fs0yjQagn7ba07Iq9334OrcqFOnYc/fIxltO+
EMbe6NvU7fSxpBhL8lVqDddpPu8C2pJubGkvUyV+yJkYgNKMmSxIP/WQHxKjk8V7pg1vFZ4idJez
m6rgF5RkkBjquXySfnxwoKCPHUoChzgnvv+VNnfPA6KFqzy+79QlWNCGaWbn2UeeyWsZUQAyCYfY
OkvqRIf8/oQ5B2hIgD+RvXCALXrrpNkT0s8v0zaHt8J2XiugJhv8JD+imChWvxN0UmV5GHX2r9S4
rRNTe0lr+dqg7KFBKrB6W+nVjJwzJHhxq+D1xPCDLmkJ1CDO4qVsjeypaQfM1khkRyzrbhwpz/nC
yWvUlkzXKSMemSp6LuZXKwQsqY6pB59+r1hmzJ4DVDEg0Grnj13oEZOJcgU7i40wbVtQ4yOvqlf0
20Enp7XSU+KMITht8nErlb7YDloq9gD5p4NFHjU0SOKfrS7bROAON6A8B0D3qu3KGpRPHzxA7Us8
RQ70YVIuuQmaL2GSUiIxb8843Wct8CBwd1zO4N6OVWOTP9Ez5CDYYjdQDU25+l/VA2bLpMSN2pJY
PbUUn1P7OlEr9KRda75mTJfigFZ+gSoNCBApQD4StrmvEMGobXbQI5NoM9piYz1ERKs1vZsFqMcY
B9+1sWuNKZMPzmRpgt9CTqYXZqnPNHHySf8bUnBqs7WxDGbJvd3sM7gTaZZNB2TYD5iPC0Br45GD
utjFfsRXaeVd7mfYWkadKA4o6qSD9Q8xBFbTR7wVShKa1Bp1muqYMRlMLQcce6AnIs7+QW6KqxCu
84IxhCKhc5rnojWElkLMe0h3xA79q7oAu9sgLn8MjfaF9JkcN3hSYAD1+jy2jvwadUDQgR+joSd0
QBr27Cbw6FurqzigsbjpBUnidui8wMwMd/S9H4QWYGfpBiTzwG8hzyW4IBb32yzEndCWmGoYbBtR
a0ChAwjY4c+UbbmtCALdl1HyZzRYn/Tv98tXPMZW925S5drg6H+ux4Fq2NQeTLCQThYTp+PnkCq6
N81v4EA415HjBabeuUnVmqefFQzxK98PFoO5/agxBdnoAVgvA4YcFC+QjzM/aWn2HvOKTRA04W1X
wNcwxx74QQexKgfKUGnd86x1b5AOtduCrXcHV/1WRWZNR6CQVEFybJhdmntOrT/FELUXJkTginap
QUx3HRFgXiN01Y2qEdG1LoKd7OL0ZIv2v8lAZ77Pf6YtJrOZnKV/ry2+/zPPmyntP/LoXwXG5xf+
Q2AsjT+gzlsGwXj8HDYMoH8KjG31DxKzBDweS7MI6lpSVP8SGGt/cJdlozDWhYP0F+3xPwTGuvOH
BOVDWLAtSABcBMF/yZ/vz7GjzW/r/yPvsvsCK3Dzf/+noGj3rwJjw5YG00EpVM2Q4IF4v38RGKeA
5eesVKfDmJbA8rDw+0BJjWkCJhpuywaTeKCIO9zl0C1UC82kZpDhAp6yyVPz4FQyfaRBzUWCWkZL
ocaZgb1DFgl2GWY+Bt74R620H68L2TwMDgbjTGlLLsuMgG2wO0DIesve1D6FwoxTNgkgwS7QF343
vg9HvOYModDYz6inDA5bi1a5Z+vKrZaG7ZVxW6Wmf198kogdgVIvGOhwBqXbHR6Qw1r0+7haJjmC
0KZKStdIOns/SSPfEt2BgjIVm1QBrdw5THbqwaIa1bTPMSM4UP97cIL7sI37Q6DJ78RNEFrcopVu
gp9DY+0bXYDShYmdTqVzbaAN3CQaIi8lTa9AucMUXkIqsx5nTGXp0GQ4wDeIeJhIRaS0pDFlOi69
E1liGHFphidHqdWfjJp/hr5NtBglfAvC826O1X7TTREJuql9zNAuu5Gl3TCugPwXkzjFfPwm0W+o
CAAYMoJjHiKI0nNngJ00j25nMKRDfgCWxOnI49HUYVc7SXQ7hZzCY/LqCqu/iQKjPQnrswmb5Bqq
5I2u6PLGksv1PG46JldlAgFxSJCsVsw1Rpl4OpYnw/L7rZwqpMEl0EV00PG2V6nPkaug7PU4ejU0
0+FCNrXbImAaGZVh4xZ4o0gQb77hNz319TAfnBIoT49kgCBcVWm/fFF81KPJHHS27jpHZnemwQwW
pKhcwlj6bdu0N3OaKse0CO7gvsqDRIR762iEpBfGdynQo/tBeT2WTonim3mxI8VBoc5FgcPe6+iz
vvndYhWB1h4ng3OaZlNuhqQ+pmQCb/3Ofx6pvZAPIuUOv3UGHkffeHmbUwdNQkYW1tyDvyKQKbGM
/pDZ2njoUgqzNs7cfRX+qFPmEZFfbrKs6fdikTHnyp9VguI+GUH91AEPBYH+2NpeCB/zGM+9W2tx
d503AULNYSyRglLr4yXV1oGMvPUZhjPoQSlswbvu+gC0J4DYI+Pv2o17+d6GYXJQR0wuTGCCXVMx
ceNa/jY6EXNyDYwT0I8bVVY/CB3nJWMDgxgjTND475kyXGdq/jSHALC6nDqCHRhMnKltwd/dkYuq
IhTW35w6fWpmMLNaMM1u1xA96SvrlKnZF5N1U3xE81J7GBc+vvY0ReBDgnx4cBSwu6I6dBbX6oaU
+X0a+d+CQfnTjuCvJJCI0fJPkK20PfW3J6jM1S5rIcGXIv+ZoaDF5ggbj3Iz+wv8bAJ7bBHU16bd
gm9Bn4z/hvMWSPkTX1Z/YCt/RjGevzwS25wTEngv+VlJFP2ZU90RpfutFvU1iWugnSTDHuozdLST
ZyeprwF0741yloxO5uwheRdj/yOBTbuhVNG6E5Rq6tQYT6lSUe/vkMsSYcnocY7f/GqpaOFKKIgc
mkuvy8lc6Mkjyyzj5JN2s8nQ1WzGJBlcCumfupXOAEFC1Gb90mIDDeP7SAVwOH7LLTSzQkaI4RMh
EbdECPQpFSSU06OKFJqOqgvmtd5TC/Oh1oP+FuhGRlYIJyNhyP0wEyzGqDSY9iO1v/wZSo9zJPJs
XzonOGT7sB43CiYxZhJ7Eme1Q710Xvw422V29WbaAyXBVK/2BRrwStVfi5RxLMrkyOv6KTwM+gy/
QJj1oRuTFwiNREU1TP2tPB52fXOcqpy6dGs2L7PBiW5ov7WmtfDkbCYPM6eLOQtPfSX8raVnd5OG
SrTXqNHjAMSVK0F/Ts9lCgA7kq39+DaTDAZ5gzb7bB/B/S4RQSbNTNg2YwLbBm8aNOYrLKjqdQ4Q
39CvBvhEt/PEYL7Df3yTWCBoWvMLXqQC7FWHQQqO1cnkl+KYqGIzf69oGftvTVBA0y41xUTJia+7
UizfnRGrG5l4VE06oUQbKLsafb5lEXNeFdHn3KJj76L8tQXarEHaJYtUDQQ4blGTu2PZR7S2FN3V
Pqp2LbNeZTYatyzBT4Eho77WHaFm1BsTI8RGI3gn0H9WVg5vlxPGVKOu12n+zwLmgrCx6XWm2mzw
Gtz4c/KoFRO7Qku+mM/QUdeiG9PwMY5XVQesiOOYgcie6pwBbSNAoKczce8mz1yYf3pGohCllxLd
fEH66w7kUdv7DxUNEyPTqq3usBOV1r5wxPcqTKFjN1PoBWEXw4KjgqYOEz5z0e5wRm3opzyp0G63
mdRmz2wV9KNqf5xtW/P0UnIpXsqNvmuzvI1ytnFgFfsqYeBh+cFDLcjZwLZohOXDmM7HImaXg2KU
bkM/eu+RC9wECplwXcK/YsIAqVNJAZoqbuDotxkmJqVB3QXYV9/MjuRnbm3KJsPwZfdVvK1R18f+
RzDJZybO9kYnUiQwySNTqacn1YTPww5ctAIRP8+wF47hkjr+NTjy2FkZSkvzNZqYUIeZYDLyAluK
4I/2XhjDa9DP/5+9M9luW9my7b+8Pt5AXTSyw7pSYVmWLXcw5GMbdRWo8fU5I3iPqat3M1/efnYw
AJCERBIEIvZea655kzbtg5ZeuCiE0jCKeSR9CPkHuzLV1nZP8qgtVjQl7xpkz8cEGyo+rI6acGOv
e9A13NtmIgYbGTHORbIOj5JpJyhzRhrJyoCqfkwrv0hibkRufDKFfzHqhuGIHe16M40uRWc9VMPw
ks3UfkjFuIuQAmIetu6qMI72KSncaz01j1FVfRU9fXDB1W3tVd4+MejnBSJcWXP2k1a1j3Ec3H45
fFloHlFoBKcXOHRuJ888R9SkOLm3ULQ1XNdwfcee8QplLpgNT2USfymb5qdGmzErymlD8RiXUS/I
IX0mwjZFyObtCdXaujF1fLyX9crOxI5ed83Yqqb7syqckp+Tm2IVTwcIZeWXyNfJjOfOHl11Nkox
M3YO5Y+8qLbwwLnhjtSV+rDJj6F0hVP7eb9Q+9wpBKcnH+AEYMjpDkAJ/yCdbnQSYjz8oxbt5j8S
E7yjMD/UNj/O/DhQzimaor1ChJbBzbc9dJEVLML5mNafi6y3qd1S2i5NRLMKX6QWmWQKqDX1gFPD
+FVv5J204iYbmTtSrG2jRS0vHRByodbUQglL2r75y5EMn9sutaaOcT3m7XBGDVTpXM9ZfUybH4uM
cK2Gz9TigqPrmdm+1rL7mGm/tS7CxCbikSd4y6zvEz88eooQoxSh/hV28EccGvZpv564Z12xT0o4
JhTnSa0q4dht8WHfTaR7e0qYtBtCBsXhw3Nvm35I0TZNl5brFhfyWEIbPmC/anf0CDKVVDCb1lhe
z8FWqX5uX+tVOKZEQUr6k09C/EOpSorKS5FRfCnVPt2LqkNrw6T8c06otQ8HFFnMfMWLk60Cid0W
Cj2m4EFqX9I6hIF6Eob/R8+WqXNMHfC6GoXuVzOrCIaVstheEkjU2lWlmncEmMJP+KmUpgFxpZga
R36tbunNCFZRoQA5OUZGmzowu2Uag/rawGPTRL6uq8+e8ggcdqcLN7ri+yhxn+L9qLUbA2iU+MxC
P5qLnYHMUPQftRo14DlyRPsOxRLeVvf1ykSTJA/PS/kWavmLgqMoAeNMaow6cNZLALLaKvkRzYhi
T2pTrelykyyBBguYXA2GNGMm2m3D0nMPVl29aoHfn+kkgGhiz4xn+5HdYJJq8UzRCltOuDW7+Xvb
hPTnlunJaC8EMGVPfoL7XITfBHKQE6a7ZNswlN5lXSNoOIbpNoH4Udr1c1lZDlrj4lNp1WhGIgjf
MQXNTdVbmbxeMplzk3kLjIGRh4nu2XaoyMcYz1Gl5KSdLgQKGUZ6GMCnYISBPrF41glYwH3TE5UQ
JBaJJyIA6ToxiogygOAtYYmt22bnsbcobg1hcW+aFXdIFxZQ5zG1ri2XYhSN9Qnj/ANpFhuXBOlz
Pw2vgCmSnV3naMQj0W5xgFrSdkakx1j+5hf+bHOjP5KISdtMS+JDr+s5WgjSsJH6x9QSHrsWrVTo
utFx1mb7LvDJcuKuAPp7SO5NixGhIRu51P8gMmUmfdolZaoJNLe8qqs+qpqU/Ent/PActe+mtVLP
q1r3VQjiWIQV3KnH8ivHSkrzqab2u2oiNkwSLRdJuzTkQm1eF0xL1kEOel30wHJSpjPg+ZbGPcY6
cp4pY5AAUbZx4QPRsnic9GXYqQMpypBaExnEskwslFCnx9tjITwQKtF03NS+Rk7x9dk9qxf2klF0
O8RtE3rdvDLnBG4v1EKEE2GMlyyiyiddS7VCk6rV2yL303Y/urgX84YWv1Nam0md/75EouRlI6eg
2C3kvtsDt01XBJSIRYl6py+961PUo1E2v5ltqnMh+fuldVtjXWSct6rl56U+F/iYRAmEBK8pTbbt
2pdcM/ydImqpr8S96eciZZFQX50p70s6AEQ87cgYdM08qcXckwGOszBaDwJC4RB44YbYiWolpImO
fGITxjBtR2kWuHHcFYf+wz4S6P21OZpBvqlsuoCSYlTK228wqreciXPjuaA9w+VTVSTJUaNMXuPs
PY7z3dW4JRFKam2gYE4ey3iIJGzOhim1p/16YOIabQU/jRWTHDoz6j9Y1AWxor1y/QfFaJsrrHrx
Rv31yaVCX9XWvQUPCkcHyml/+E6qVn8agVjWkmapEEGmm4gddLlPlnyv9BVQV6dZ1J3V9pRPSNdb
6QVJpwhlHB1wYhaiZT7ZuZiOfvbr5nJLcVsXh17eEfRCQ2wQpXO1D/T8pDBCakGKIwGEHh/3zQ6n
HugdycnNlcshVcs+E/MmJgX9yrW/Pkse/PYX1d9SD/yX++guc09RD9+eqF5323fbvB3m9u/d9qUN
P1YCMhp4HulLeDuyerKnhKXX//32mjinEbig07/tuj5Foz/KNbIjw762htMy98OpHiJ3h3n0QVlZ
qxn0Ss+tlyn+33wpildxBZGHK4zaSXD9F6Lg4p2dpu5hGaO1wnXB9E42trDoRKtT5pagoM5mtZg8
/16ECfyUJa317fgptWB3+l4+nDDSz+D9gI5gmy6x9FbwPTt5H64VJVGZbNU/oYvh84iogTDwGfib
VRwU+swra2/j+7Qd/MJITryFSnSQIAoZyWiLFOnWGKLqlSPQZDYejbwLECMCWev+4NO4i2MVHxen
2wsj57oUD/ukK34LiGv/21j4nzUWTN/9b6El979+iLc2++emwvVFf8cNOP+X/AHbZojtuDq0MY73
N7VExg04nuNanm94lm+SRPB3U8GCWmKZvk6mgOwbWDz0N7VE//eaCB5/kEi1mRyv48//+D90Tm0H
VoptBZ5u0VC0PzYRyEonMiAeLuVgd9Mck8os7kqpsf5XGR7//j4VBxKo24066n95aNqC2o5fIv3B
jWEV6U79rUqNHdSLBttKV4OX2DNQHhHmn8J8JEIzWHoEqeOeLN9VBu31OR5fKr8yj+R9e1uYV4yR
DeMVAfCRY9Wr1Ml78GDia8FsAgBL3XQr+60H1cEgkPFY4q4AJg17Qr5kQtOyH4P6OfTBEPQpU20C
ajrN+tL1hDm3Tf/o1L61EpUfrUdRzaewHO7ylLyckkp0Lty7QDqIuyCF3TR6RzLpoNCFGpWaCkca
ldeVPoOFj4oXL3DfxrFB0xxO3F7xqtWz650cHXZaZmqvhYsyp+gIrYWBz73N+mmgGixGOun8HeRo
RJeh8CvXeDTvKNbSua1gPoW+h+29whXfJYsOTAQl6pwy5TJaZ9PuvJQoiZQK9aqryxeqD4fWdfoj
7MLfo02zIhrLz5meUlHug34TInqhHrQihRYZpJW/RHxRWw+UtR2aND1G/zCVxDtTqgeg4miUPUno
gcoSYHuYtmUy5fty/hnGY7Ab/ICxEQl7u8WJLsACX4KoCNYV6o3tIKicuj+7KIAoqOvdHVXoaT2S
USBioNd9B54N5DMjzK9Danxe3MrBpFrvAUd9Wmr/FfZKu7Y1ikhl1KAn6Ad8FwIZvEZJc8q0Oz9F
9dtg3oNX9hfFvJlCPOcBSsfvCKCyDYlYkL3cF6oV1Y5xgruydcG9x6PZH3vVmmrxhnAIYPnEZQr9
ggwJ1YS9FASeBUw8m3WWMqepS2zgwdvgGrz5OjZpwDNoqrkzGPpflHjKTeq8EWDb7nK9qOkMBVQJ
s+biD3khYZE0jzNBCSXP+Paq+qEuAndT+qnGKU11PXGJdJ5K91Q4/dmzZBeus459MtarYfQr6iLV
C5ChmpTauqHeO5AnT8/FLSxaC8XWbqimmYvzNJHmvYriCgF2bMsiPj+BSZzqRtBA8UZyOHuIX30V
NpDR9ZReQnxfMKohN1Q7GC41A/5VMtUa70cuih9x0zO6a4BC2ODpuvyXrktvnXPsS2RZrjMzcrff
SmR2Kw/V2HZQekLn2M7LT/Sz4dYCrzlY5lpDjjQxrP5kMGY3o/w7iQxb3Zh+UDB/jSfA/Q6Ai1Xd
lW9+PWN+Jz5Os6wvfo1evyc1jdpm41ALPWvBj8moP8vrKwU4m1h0QdLnUN4FTBsPXQ/XLzRJwxht
fV+iFzp3YfLbzYonLo8AgqN0X1F83iYImDXXRWMYm9Vq3EJMfzbL+pkc6JDulHMtm1zLHyQ7rAr7
a1LMPXoa8zEV7qes0wIUD3Gzdlri+oyeWrdrMlTXkkcvG/ajHcgMCf28wCtai8g+TfQ61l46MRsv
QaqU0DCt7LkrMMPy67K1ZccFwHKMJ62CItQX68I07HOjba0l+eos2CqWrl3I5xtzmp/5OQcZtEkI
JTD7nWONKGfScb5Qrt7zXn4upDzfWcV0D8SHUwP6fk9RM+qmxyaPUGJGLY26wkrWXvZlhsW/irya
xLqAgq7n//AafbwIpHp+lh70sPUoYfhPFcOjXZRDYR0bb+v0pHc71oNOXXOFhQHpVcZYSHOAGtuo
xT6hcSwfwsZZy3QHvaFyb6avdgB0okaGFWkz5tQCl0A3O+vYhgZU+OGu9aWIZPlVF87BRW6ybyev
3Jq2/b0Op3Xb35HUhWTN2tQ2jeSamFbYPM4juRy9gTA+oczArARdWps5BZOA5Mlw+3UD4maNAYGA
+0X70dt+ssIkaa7poiewsYiYMYc+2dR+8FiGm3DQolNeLYJKLXAfz55Qls7uFnUyIbxAFleIxc0l
piuAyns9p+FO/rSmpUeCRk9lm6U/TYoyoWOfxEJDx3BL8rIqeo7j8I0LEnvTYRf0xqWKq591NT5w
M7gIPCKrFJPsJrbzT0wfum1UXQLmEhsx/k5MSAFlIX7FblysupD2o9n9nsO5P7VZ/Jx2Leh44gUq
gwQMqDS/8X9MaziHmw71wSVxaozyxjbzcLx1WsIQXMq7CJ5AOBz6v5euQBUGcoTk7OjYdsgICwe4
WUOmbED7t8+dB5Ju3Xuyl4r1PMXVHb6LH1RqnghSvGCv6I/xMJeEk+5IJMHrYuYvRkecRZlZw74r
Ay61yfyIsudLoxOLHpIPjDYaKdECOmgOCzIEGTbPY3jXMR/FJcEPGeJB5kzbqps8FBG/gqSkydto
jB1MIIOLfQ4yfst09V67EUEi3RbQpqQe9Bw78vrfsIM8GF3JpaJ5CNAm+TQXLz4owRM3IM+W6Xd6
Hm2z2f3t5BNdTCYO9WAOmzBGJ9Y53hOHBDOUcdEb9fQx0UvOTjO6ZGOjXYY+Pus1HdOmiIODnYFF
RBjNk6k3Ns18hu021owyqlZshhq3YZEHOXG3If27nqlBUg0YkAitrA3jVzOQCihb66Nbfysahxjy
tPwdDMYaxzvRpAzpoOrQ+gm66DC07bxpi2E8Y8JYk8hEHLkYSEijBYH+Fdl6i3HBb9BfuVzYwNSc
k6jSdkkGQt9Jtsi1grWVDY+MI1t0UXGyCUpIchaX422bjIfOn97CLqS7UUG0HazxV3TSDJr7bZkF
yAa0VzMl4n1qvf7MWMFddTlR6YOAxlhLtiLq/2qdg1s0kGAdBQDGUJIY4e6fK9CMs2Q0LhZEsh6A
r+dq9G8KKrl2sOznqOgOiKSJioP22Eru4yAJkL5db/Q5RV4n6ZB8fsgFAEb2khxpWbTOPToCG65l
8wq/UXzfOLAmhwbGF5iddN95kCg7dAaGAZuyd3VOIAhoq8EqfnmzlWGd6LkWHXTAliXfZLNAurQl
89KT9MsxD7qVP4UzgmOcEL6kZMLM5GcEOHOWBM1RsjTrCNZrSvRczt8NRnib2KGanS4ZnK2kcaLQ
pLALn1OTpE5bMjuFC71zQO1SMgO+OATG7yrJ+LTd/o5zgDFIfmwkBbRRPFDAoB6AUOQoP1qAoSEJ
tjL+iCEzMNFGUkVnyRcVkjQ6S+ao48xfsESlB1fySAVg0kASSmkuInI2kB0OP238qKDRSLiUVNNB
8k0FoFPuYSMqoupcgkA1JQs1YGZeSDoqdrznQvFSieUAn+o3cFRtSVSNAv+ODmy1SQ1u5EtUw12V
BFbyqPtLC5TVTaGzgrIlsrJJtHMu0a2S4epImqvjuSkXgbhYi4UxfbRow7MGn68CAwvJi1a1JMPq
khFbcl+TzFisbejiwy65TytcEUtlOkgzYgMYeTGs9RrybCwZtAjAQSK7MYgHTL1clJP6oqfRsMMO
+kuXHNtW0pvUWg/k1nKg3Zoa+qdKEnAnycIdYzoxUTV+1eZCNhvni+30zn3s8cN2ku4wp3N/HLlt
Au3Kyz2SIQ14Tno/FZl19Hw5bPcCkmWkztesYn2tReHdbPQTopHa2Y0041J7Dg/cKC5C0n5zyf1t
qaHNkgQ8SSbwCBx48qAEZ5IX3AEOziVBOJAs4ZAK/UvhW48pTp9J8oYzSR42QRDPBlJ2ySQmoYZo
czDFBRcSSS1uJb+YCBr6tBCNe8t9hZUXrXRJO86m6rmR/OMCELIDEBmcrHcwiY2TpORFMpMbSU9G
Ch1uiYUr94lkK6eSsjxK3nIPeFmXBOZQsphLoMzUeIyvnbkdJK1ZSG7zKAnO5XiJQhxri8/gtJIM
aEpg1IdGQp7U4sM+P8v/Ikl3hpruUUFSOGn4TDJHWACZVnt1qjFYecaDNLQRf0OvUScwAxDen20M
QgngMzl/kDDrQXKtSwDXqUJd38JLKoXCtoBiR431lkhKtquA2ZpkZweBxGirDJPrNpDtCDTfVnFp
DIXgtiVOBYvPRkg+t3pALRLg3ZqkePcK6M2F3Dk4QL49hftWDIVrgIVaHSQZvAcRHkvEhjLl3xaq
U6U2ZzDjjeSN95I83ksGucIvqGOohc6FnQkIkbiy3XVbDJJtbkjKuepsqaORyyL7KbJMftsZ2AmO
O6jpN64KYy1wIcgCipOQpPXIuLzjk7zDcaiGaCOl/3OsPaimFhMPtNtdO7n7ifqB6soGkvkuVCNR
geBVWE+p8PCNJMXjqUbcKOkEKqFHLTT5dtxLplDzGdB5IenzKp8nkF+VWpsUpj7RAMuBc1PQHEvW
FtVarTs41OzJ+9ZzBd9aMjXFlY2zqkY8fJiJdYjCQD9wXwCQJEvW2S00BQg12QmoLQ4o99aT5Ox3
DTRAtWaLrD841D97xZWTC7WWi87eduRtDPKpob7pJOVf5eWoM1CtJSoOYJDJAIbMCFBnW8RYxyDV
keq7Cs8JZK5AKhMGaHHwp+Wp1qsAgpEoglhmEtxCchxZgVct2pEQg1GmGahdi6yAgtdlDlx+wQhN
a1G1SFWCispWUZs05VCf0O50ENLvAqIU/h+uwxXkIM/UWSYxZDKTQXVNAwWmu+UaqZ1qk6xnZDei
DHDVF0zDVQiOvvQXJnHhTp04GlOGbUxURKxCI26xUuq9TE+9TJhoVNjENVVKdXlVvzel4bB3e/fU
NEtLu9FrT7Ayc4FzM+VSYj459khcXD8TZpFWlG5zucj4oWzwNkL4lq01teA3/Y+12e244N+21cO6
2ol9ZtwGM3PkP69z9UzHUi23u94sxLcPR1taqzi2+q9JpXM0NufdddVuAvzyRs/YRO5MB8JCC5Fw
nb89U8V3TH+CPNQTh4n7MNUbonh1Tgl0jdvacZECyi0Iy+Kk1gJLfGv6ztuqLZFRatvqkV5SiSa9
r9bKZJNWWIgshrPXVzhy7cMm8XH7wOWqMqKOoSP95/CWRcw3GC2wTvKzVR9r4PPxq021QNTXvdv8
8BQQBc5hkPV1RbmkzERwWGWE+laLhHvwKHgyzbaLhyrm4jlhwqV+FiERUb0dz5FYH7XazOZd4qXu
Lpgeqxnnmi9VE6HiaLzDWlLGbTZLI0mZ1SdNfZuKo/huVcEsfaEkr8P+mhTBLZxLZRWU9iGDKY+B
oDlZLilktaZ/Ve2N27+vNlXChlpTi7hucBf20CDk9UhlawxcskiJ+bMdjug/fDj917cjW1dqreT6
OQ1mcqBMLDbA+vvrG1YPOi3ywpoaFO6MmRneTO3PIFkEQUIsDmoVhVG1pqbdrXMpiVFNChW4oTan
SDADLcDSnrr8LR6N4XgjLlrc9bl52hAYRwNVeLz6eBLKcxLlZ3NS56RD/W1njPbju/NbrZIKTCbS
iKpTbdZWnO1zwzi/e546x/XOuDcczdq9O/nVc25/ozEgppRFjWlP/l2E6AB0y4kRbILd+/oPqpcQ
YgOpeZK8EERNCyEjsnWWypZbIn/ksVz7sKkegErqrZV/4X8x8v8/q4dFN/q/s3rc/xrefv5zP+b6
kr8p8gZNFwuKvIuY1nb1dyYPDBe3BoxJA8a3XEKfuSvhojT+NGAsh4ccafjwbQTYjvHv5T07klv/
Tw0Z1yBQGg015pHANekH8fi7vOe4s6ehFLV1h1yDCplwtkwdCd5F/UWNFhEljC7K9wVepZi2xZKu
uyx2LkLiAxZTfAkrKt6DA8jC1cJ92Zlia6erWoMU3kE4XHekpFFxgLqiGdObEQ/0I8Z228O2Xo82
GmgdpNmgLfDxjBKthvdFFOG8DVJGhIFRPoZt5ewN/ySyqL0bKBWblUO2qajJ/FiSFAvccmqt2D+I
tPts9VNDSdB+9q3IkOTlbmcIPUJIPMh4k+God5qOXd2pdkxn2pcuEs9Ytl5ErldfrQCSRzndI2Bp
MQrDl7SGccJtkYK0t5sHIMOk+4JKhlZs/OXhStuGGFzXyegZ59C0T7mOv4YAz5VHSuMmMHv/DNel
oOaZf9Js+twEAW6I8Pnay0aQsZwDJz9UqBNfq6qlbDPfLWgBNyP6ZtAN48mPzXSV4ILbojr5lI2v
Tsj0n1OiZTpDLW9cjKcgGsaVegUgKFjkLu0AskSSDfeSADCyVIu2NJK6ySW7Ix0GpjiPzpLUOHqL
dmtxfUv2RpEznW9sPuz6NxkxmPP0fh1TrZP+kx2gxHAX2D9dJujrFnlPHlvuGVBSeI/j3TXOy9w6
DyM+xW2ZPaAX6qUbEGRmMP722vF1cormAFdgG6UJyXrluAHN4G2ozTDNID9Fxvm1xyW0dw6WyJXD
BH3tSae5U4FmGU2yaBhArisdzwrGw7IFjd/5w2nocckmXoQRoENakS6Y7wbNeKzFSHjxLNKtL4I7
N5/xYHiZtc0j1GMDsT2PEeHmd3mGDUJ+NtWSas+yfZ5LBXBV1Ds81/wO/BnQPSbteuOZef5YN/o5
BLZy8T77ZhYdoraiX9H/dsQQ3jVG9YOU22zfyggFbO0uwtWYGV6tf43sFjGuP9p8POF50YPqWI90
ZjQME8MwIANp2/VYROJsMcuqltH6SgwRiTlQmgSYI4YJq9wLrDMagGJdhvayMcgwB7IUfQlc7OFB
Y3Hadnq9CQud+9rU7uPWLNB2TsOd4FuEOBns48SEC6BliL+wxR4wtxzd0cFY1Ar/kf/64Lv0JKIx
d7azjN3Os/JrlaTtxa8wZ7bWs5XH/WvTl5/zqPxCk2XYVIM0diVTuwE/Og1jdBYQKo5zLJhYJ6G/
no1xeXGThMFyJLQ3zUrujLEdsTMHLXBEriF+OBwMTTtmtqXfC+n2DheNImdSfDVlNawwMdjXNK8I
iE2dfR7G1r1f+JfYNsmZ5XJV0iWCkRFRhXmFAH3X6X7/q4EodvH08LIwbtpRQAYoCQHm3Op8BrMZ
Vxt8Q9VdouEqBpP5ajp1yJw5mWjMQS9zWqg8ZFpbpMq4NjFmU/4QBll7cNE0HZPazu9A4Iz4XgZC
PQVuXFTrw5YgcGzPQ4Vv041JexGlt9UGeBK64Rh7MQThJi2kCiQMXzqSB577gpiXxncx2zBEzgrX
P1U6Q6aoJaPcAuZj8UmY9CCSAaJIlRaXmNr9dZGn6V3phMfWs/m58ZVrLnGzBnqTh8CafjF0dz5n
Ebnd0LbIlJiHc4+s2nE6VFu6+50aJKikqDhz7afqbYdkVRmkcRhSWKkWSmLZx5LmfdtWayVjRUTW
Ul52fVzJLdW2evy2eX2m2ukplZl66N2qemiiH4HnzXhUh1BPUfs/HBEJJQxs2Lj+m0qv7mUQY7DI
HNFYBr1dV1VutdpWa+pJanF7TaayrNXDfitFW7eHbq+57VOvVg+AzbIx4pGhMHt5T76clBX+6/9A
U/+XesL1z6mjvFu9vkz9lesqEJczP3cmwPLNfDy02lbH+Jfv9XqID+9TvWYSYbWePCHWt+Pentci
EZqRqe7evQv1susbVE+8/enbZ/Lx6eqJ796des27//T2F6+vfHd4dVB6fUDObv9hTYdj47Q5/WtT
45NWr1cL221aplMfPnn10O0frQP7WOeOQAA/vUbo9K4vuD5rsmUc7yC718Dns65c+COhc5dWpYHv
MLIxlVNNxzD9qaCfcPJmEvLSWsKIp9LndFF7bw91zDn2bqidPuxXm458sTrC7dHrUdpIcKx3R6RR
u0prpjtTQ50XhHAqJ7/JAMN0pVa1hny86/acgM2Iy8TfvNtZhtlwzKqv16eoB9Trwng2dpM+PoRZ
EnAd0FxSiIsAtnY5L1z642yT+8G5kTpWJsRMf+SakBN4q7eQNnR5ujGLE6Tce/LKyWeQelD1E0VZ
zKWgNu/NzjSpE1VnESzcrjK+M8bAJerkYN22wy+v/cWV3F6V5fw912rmLqiSiPiWi1nObdXCpe39
Lzdvz1Mv49uoV3Dr17Xn9Ydpqs9T23pHuy5XSDd+lHEgdkLFBwcLtXTbGl/Dwv1c0S5C9kCjRunU
lUT9JltvSEa1wa8d5nFvMcQ5+Tk1GJ14rlPgpe0a3kRPlTIaT2rRyjW/yijmFgU8P1uC1KRQMJAq
PV2uqc26WzBS+dVRm9z4rBYw9AKYw9zNq8GA5cMduDxD9arghfGVqhqmWsAIXJlj6B0Uu3KSczy1
6BPtd20447auanjbQUhQrDu5jwI33XkGTLWeIWZTdAHMkofaIUcbqZE1ebTtAFl9qTmQ31yyF4aF
wWaHtnDTmES2eF5rkXqjYaYZU9C8sm6YCrNgBG1AJxuaV+Dxd4IRCbczvqp0egL4Nx9jYFfm1sps
MF1NF9KCcMMjbG9nXowTpBXjhEzAs1GKYFdn6CeLbcrBoNZGl5437bEruHwyQYLlJDtsS+YtpyLq
Te5YiIPVWuAy2WZOAO0GYab6DjizG5LW+oa+JRkp8FD4/D25GDvfODb5k6oJ6jLjFQYIhcIwtw56
0477f+miUAaNfCkZGjDMU0U/U1aVHfoRxYEqJpTxxJJ5mZTHFLD2tojmGJanVdj3o1YaRD78iUt2
Zkqja92c6VrT2FSw6NsJqNY+7Ju7Pt/EE/AjX14NA6/CPRftcOIRUIvtGmGyfEvvtpWDhPlZQs6L
vLh8gBmr+rl6y0GNiapYxvBaP1dvT51whVL3qrK9OtEw8Nixpx9VuVy9YbV2W6h9XUaDUWLub24i
5o+A9FW9SvmPlOsIpSwyna5tNupXp04htXZb3CDa3E0Yrqb2wZFFJVX5jqRhRC1umzPxsmMU5TQx
icFKRmdZKxfJddWia7gafMeGBEh9RRW+U3VWy8WHTTqaO6ACISxdKtyq6H1bzDKgVm1GJsQfTouT
P1oTCv3R/NXpM5g2K+xOahHHbb2dQr4vGF/hwbbLfdTS6U8ye6vqx+rzu7UkPpDfu7w8taYwpDjD
3fcEg4Fm4we8WOZmprV7pjZsIvdK6006AopaRQ5er5l7nnpDNj9ppzJw4upDSzGYSeAKfki+MSEb
8ssS08kkwSMF1Dno5oMfejbSEs9F7ItMfZlpGGexnp8nK71ESfo8jh2pZG2doyDEi3ith2d+RHCY
vKD7pksxj27K9Veg6ZuhHOiALy3OvyaKzj3ZLSKagbRJwT9ylWxHEvaz0i2pL16t3U4Gj6r4yf5c
TiVeTWBOm0nOjez8bTIwBgSidM6eXGhMBrWmy9aqxtupu1owJqe8RocHqsBlaH1I9Hg3xP1LXwfa
LhJ5tGlyC5fuEIsCnp5zobQ57RdMhefOLvu919afsPCKtb14Gr/zXFuR7Fdhve77jcD8glyFK8jg
VZBbFzM7xHpyMOr2aKWkxfQlki3lzOhs2fkCoEfRXV48DJlmHqAo2wT0n1CEElJkGz5WfZ9htC5H
3cpl4ZnQv/JeewGHQLFguM8Le9h6bfDop5jafSGeR3dvMe1dX49uV+zOs9DfqL9Dh99aN/qlKL1N
5IlmVUxoezqiLVy3whynRyvlV1Hek9iQeovOuNQqLVvtU48uaYwjo+2e455rzbJEX0IQEru0i6pz
a/9YbG0+mW1knIt05SUMFibIcqekGejEtBC8ihL/dN6lZBAu/7Cu0J1o0Z2YF0hiD4K6wFZfUClp
v0nAqM5xM3wz2mje+iN+rYjg0AF41Woi+UOllqvFNVGdtoMNeeLkE9S6tPpnWrHJQbxrhKiWiCrW
h4FB3LfdgxMaHjx/wigRx/265IICXidHrqqewK8XbuebN4h+16Wo1AY93GDV9KWsbLy+t7jGaK9P
o79SnpdWGoKGomRBkWWT91xm5uVrNYuXSOsWJtuLAbQC0IfnZi9djNFzzsKSynUy36Vd6W9wNq/9
DpGt+tqKWSZI2IkJkUSrAiKMkETfIunfAahvrhqtnUli1+P9zU2j1m6Lj+Ybta0OkCUlEDVq1urJ
756nVnXTzaQ1+/fVuKP2Fel4TEpsa6XzV6ZDG67yvNmMVRdt7NnWNq2Tfi6LbLkLFiN7mskDPqTj
UyrIM7FM8InofyihafPOCq0Wzua0cubgRzQWL0s9A3rLR1IPpwH/zTJonHINqEy3/hr15b7wDRKk
chLd4h5NdEkwbGOBDojEdKZjKP4KJ0SHYx18r1RuyUxNKRwab223PRgam5qkpmfTaRwW7Qmt218G
ASK+ZX9vLR+wXzSGDx7utzvCh0E/ZMn85onksgBH+2JS+zpQYiLmbnCG75l2Vo+PVo7oBJ4y6S8i
/NwY/Rd3WqY3O27J9ytC757Wb3tfttjNZcnlDQHnU2mGZFeBICHcJnGO3TIiRpUPtvrKmPrsrQ2y
fNcvLjbbyCu/iHi5V0flU+NUTxzMdQk6PIe68Eo90Pnaa5zCUxtrYZ7w72fbYq57fCWM6ys9w84d
LK+NgWqsLJ2eqKZgeRnr+KjexNyNUBzbxLrUbWM8MvuR+m15pXFxU7czMMxQF+Enb0kMvILxTHWN
/3ahprAEbvYNG9Gy96bO2Bt5H38jlAYQGR9CP8cTDHzXPI8ealonQ8l4/XQiRFFJl1iPQzQbl9Ii
UFMdEswORioHHl6JuqmaK3rhbTe+Fkih1CvjiszSrrWsU+t42WcE1t/Vfj1PEABG4fRgzoV1t7jd
SE+c/8GIq3s/15svVAarYzsJUNWaG705xO7KL9huOJ0S0brHYdT75yRbntQBxxrl4AAj5D6ea/e+
AnJ5/QId7OSmjnQam1G+bfs+OxlOChZOfiR6ew5ic/y+QF6ki2+FB1P3HMhd+UUddYk9Y61OMeir
4YM67dQL7QaIulOZT7Y+J+fYR7em/v3SYHhpetVLUkF0L3QkCE1tH9GCB5/SiAJrMFuEkPf2iZgn
8+vkLwTCmShCo1RMn6IJhIJ6BpqKo+Nq6Tc48OkOK2tzqrkgfWo1x+A3WFR/JZNNQHEyf4NDEWxj
C7VOLKujRuUeAosTTR0HVfFusvP4ldGWuU0jyz8ZYNgf586ntCmPQ/j0Nh214TWnF7/VPLDDk1XG
j0JECT1dnhEV1YZomvC1Dbx6iyN4PDMxMB4oExNnKN+PIOQSjGT3PZpNvu7Q5EbvF82DjtLxegwX
QlrROf73pfFIUa6N9FJW1KHz+D/ZO5PltrV0S79Kxp3jBICNtuJWDQj2VC9ZtjVByLKNvu/x9PVh
8xxTqfKpmznPCQIdQYoCgY3/X+tb4HXku4C5WfXz3Lw6jSnWcWq0V4A61RtzgcbLdxm5BsBCek0L
Z1zn9BOvGissb+wGoqE8hNvvLYiHV3IHteyatd3W0XXb2u41twj/vBeAujKe7G89lAfu6TZcJaed
OQXhdwy0/97SPz9QAZBwNAZxLYyhuAYyVa6TetC+Udc8f55KdbxOUcIbX6n9KwIvu3UljPRbppzk
59HmElgNneYbwD3qFdAHde3PpKT2xme5AyT9Cf9kZdy02lReGU2G7zdo1Zui498DXtijdF9/Z0hO
KXJo1QcIpSX3trkBYpj3D7OjkDWnWdX3ButEanXGayUyxUsjjlFxfp5yPuOmh9P4rLTBw/lobvhY
OoX57CupsqGblZxsTTFuOJmQkIeO/+rwz5K7JqJF79hF1YNZAD8qEp+AjqIwHwqLhobcJS9GL6c4
+wqGMV6XSVXfoCwfTonZ0GXuy+qzmlZ3cld+PU8d9ohnSisYFfhJHKvZCW+HwjUY+eTNN0HOr7H8
xYKH2pXVWsq9Nk24Ruta2c2WiB/tgJI0KPH6O5FdUAx75SVWjHwdrDFjBkjlRuPUBs64iTJ+XsZs
3Mivx9IdgMV19Gw0bbWF3q4d9Sivb8dGUdFpl8vI6LPcc+58mM29pt2Pfu/uhwkCd9vXp7GrusfB
Rjwsd5sCMpINd3pR4pIoLViQ1yhcwquxAyrc+Xb4Ze6Sa/m3uKX7Re078ckOFSzIuYPig+zWWw07
OoRtTjitv5ZfUMWTHHltc33fg4E+REied20SmI9RjwdC7uJbwdahXfXi4ztaO7o7XNu6Ulz5hpZv
zKhpv2iZdpK7Uql7jUI4Vm2G/wmSWLbT0BserNx17qEdTRRfhfHWZTVqgFr5mnQCqE9bNFdIucMb
RGIRutm0/ZY591OXmW+jknJTBLRyKzJVx/ZhQIos+u4zlMxreaywVX8qcRA/0V8AVD12sLJmbt1Y
2QvubRyjj1xCv3zti2vO/Wa2wvEUz3lwmzUFASTL55ETudgFrnLjqJxM9OJJFF5etrxe7iGC4396
4zmChul/7I1rAi7h32MQb34M/7j+MUZvxX/94+x/XByBYAuXl/3VH1cX66FhmfigVMsyVLrRv/yK
ZKmbwjZcOt+GjT7zV7tc2MuLVMPmVbYLFejiVxTaH0J3gRVCR7RVrhjOv+NfdNyP9kXXVQ0N9q1h
0mZ1TYOe/ftueYV/DBtvHl81xGlQiPCLlUBvt0vS8Sp2llKozEANdeI6PMttBPYtzVOUzF+FUVNt
qtB8M7KQIbF5VQw8iDchqCg5EUY0Hn2dmEAlm14yjfKEKCkyuHmFRknO5g5S+42c7YCPnrfLxcRG
j6rQkT2LaaTzvBQVOX7dsI0daqxyojUNz6NyFql/foiy71JXdEnHtZdH9MtiRzkEOZeyEGoWnsLy
mC/dkQVlPGJSlqeUdjYgi2b2tJYuaunXliKky6Kcc7UBItM0Iy/l0ThYJmJ5Mr5MzM7AbWeYJxlA
K0NW5USmrw6KqWznqLmSq7BcjUSdOpFX9Uu+RJ+HTC1Z3euL4iHVmnrr9wJ/tLFUys6zNpLpQzI+
mGVNTV00lNOrhfMiJ3IxjuKcwHrlZ6043XCi/d0uILl+PZlKPDIcKdYpyEUE6dC9yv57m013SieG
NUFO+apxM+T73W0dqwsFqN85gPpXtpIspsCo3aVj/+QTcqJh4ttrTvbUhRqcrLC+GbTEhDYJ67iM
gzvUQFVbn+YcQAH99PpEikGx427y6ifJxhZKtAEp0G8BhACRTOYMvNGcRgJI/ZIQJ02w8n8TW9Wn
dG4rf77OdeNZ/v+4M0QMrw2yMu6MAo6QJnVjQxf7ZIRMBo126wc8XlKm0BscFRW9lJxDJvfn3GWd
KAdj0RT/tUXuc1m8vE6uUylUg97Cv1FPHYHhv172Pxzm42Z52EAPSfKQs+ft5E/AnXr3WaEk8eE+
fAa5+O+vqxf0TJLPsOqWb0VOslr9c+7Duj6N551iuojytx/e6vwVfPiaPiyOeTxwn6N+Jl+MjK3c
1Yhf0+XnEknJ1zLJfy0mUgx2WZb71PkSWilfI7ecd5Kb5LIR4WNpyaMPFybL7w77Yd3l7UtZrfiw
WS5e9rl8mrzF66pAE1jLXeSG3+13OZ4SdO62Jonrsury0su6y992WZc0+m1t0U8+/7nwcT8R7Bhs
37UWm6JWUafTPH7XW3w3KxuSyhTcxp2mEXqx9BtVLdAYRQfBued7Odql0XnpPp77oHL5XZ908qll
t3gBL73Ky2Eu6941UeUHOR9BbpfLlz0/rCuyUT8ktVoQEYAdofRfjM2wVKjapVaFfpiQPLkcpTyU
Ijhh07tZ2ahM0+Uy+nFT2e1xYe5kqX8BKxKIutQ5I1h852qwrGTX8pbwbqdA7vq3Ve7OMrTtlJg3
F5TaBf/UaBFXaE2hIoe66F5ukPvJObMZkUleliWC7bJ4OYyMWpWLoQrByM2x3Uifxgfbhlm4UMCB
W3nvNrRY1kknhZ+5YC+4Qr+f/G5dm3CPrIG//0JuXZpHcu5M4JKNFULe96XRazuyedwlkMjojpPj
OFstj24+7nx+nVx7Tp1tZ2cbY5/GAMn4QU66nvJiVgbQbsN/tm4sGntp4pAbzj6Psvis1iOCuKWr
ISe6vQTN57HubAj0+DIuXxXE54XsLBS01BUoUdQSK/DVpJlh4libHZe/Qcppf03kurAwv8EEI7o5
0mdsQP6M2YBJbvL35njiPyDtYmibvVEgHFpMYcMy0UZwgYsEPsSXo3p+r9fbwJgfEDMYqykueDhd
RMvy/ys7O6k/c8LIlZ08d8wlFDo9zTiJeb1A95PkRM34MBtQSy9fkTQf+Iaz56EHtuCsGkdYT8ZR
zoVm/efcZHWgArsCcl9Gv9yTrSdoKHQBZCvqDDQLC3U1GCoRblPV7HUkUeZozMOjdLvg8jMx4tu2
Z5oEsmzcOg54tFTg2IbwyUaF55oGE/YxJWVsE/E47o0OJEodaYIzKqAHlmarIUdvH5ol55Vy+9kI
vgz2chmpXOqp7oli9Ffn5ct2OXdeeWnAwEe2trreXp8PuSinoDDGDQVp8ehoQwbdsZ1pYS5Nxwuh
bowqwgrALBJ/bGmBSbQI2+Xktz1K+crLPggy6TB82P2yT21VxkqfVYCvCwJJTmZJzZGznGWI5y/N
/I/bJ4ssEIp4lBQWGNPlGHLuX1gndzm/i3yJT0B24AYLt/yvjyPnLn9qP9JAwJPpevKPkt/W5c/9
sCj/0ETZmfN9u9yQLhPJKbssBosmSBLLtNbfihoDki8VRoW8m112lHOjVCddXnPZfD5slArCeX+9
oVwJG4GO8Ye3lfv87TqLMbwnUrG1gICQn9UWdFSZIKvlUB9n5XK+CGp+u2djLqjMv9/+7qAfd323
fJ5999ajPvKrI1X6fOj/Z7vcdY4KisQaBJDfffB3a3//TpcPnUza0+SW5Cl++B4uu7w7hNzp47Jc
+e7l5+3vPoNId0bDcxcWDv3dJP21mBXxxiDSgqgU9risv7zANlSYqXNK0euvY/hGq5O/BeXfk7Ny
S5c62vktYBhC64toMqs1FFQmsls5L0KgJDbwFcpZuVJuTtuSp+HLnnIuXGiTkkgXXzZbGOEhNi7H
fHc40MrNUR9goRGSyazcfn4nuRzX89NcuumWUjzmssvL5dy7Y14+kjy63My/+0HRiH/XSJvEEa4/
y9/K5RchF40Ao9D+/Luw+hgM12Uv+Ck2UQOMQqSlapDxrKEcAUlK4WXi5G3ouTn52/ZI3KYnW46y
RSknSk+XYCVnszkxVU/Ouj/qzoyOI9YsbmrLbwbDbXEclzHbZTEbt3F8NB0n300KXWRSS14Y7FBB
mAQl2ab7MXXGd8roXlpUuzEpgrWpPVKHr49F138BUJOdogZtWAuIJoRTAqaZn2/CYQr35NKp32AU
fM90uzzSz1ENcjmgnKB0eXxSO32NRJ8BbpiIoyW4mVut7SUVsUYg+EGNWJ9S/hbTHE/4xjGbM0Tl
3NHqLN040C9mxVzT4L69PLvKUoR8is1GlE6VZZDkOPTafwp2/xJeTAhV//+aWZ7ILfnRND9+vK/X
/fmqP+t1jvaHZdq2CsnCEMgg3vHFXBX0GPU6SuJnvBgelj/5YsL6w3I0yK2GTjUN7TOlvL9CS4w/
3MX44lLHMx1BGMq/U6/TVf1DwQ4EvetaMLdVTWC3oTj4zwU7e6qFEg5mfgipkxMcCKpP8vEGQ7Rg
yJ+7RelTCJ3LzKw6g6dUReo1Uv7za0I9jktZK42wy8pRKoF+bZYb5Lq86zH1dWRt2HZ7JkFKW9vZ
4ifJkOdZR5DABqxhl1s++boQzeV5fjnj5WIncZpdF0/IXMTtxwre4BfuvJFrq2V4iJMP9IsmyFgp
TKXeWhV1inBQDpVhBZ4+BsnGcJJnsgxhzWYl/XcEFu18Is2Q9D8KOJqKZm41+wMJaXqugbzIT8gY
kJA01QR2B3UqsIUtyYyvDM+JaxjLT+QoDBhbwOHfCkP9mhHDcEPzDqjgiD3amP19qBill3VEwZRl
etuq/R2kryXXeSiwB5CcRToqhhBA310gvLCHtdHV8U7Vg2hvGuhfgzE60XvbukO3oIYho9XiNI0B
/UzKvitiKK/tII1Oiujgvze7yGhNz9jBHSCHhjz0sA+3mVmuumHELTSUWx1OElEZT83Q4n333RUD
H50HPwYKWpbdT02UeI1NGAx9F3NLSrETaP02hmEES9/5kgPXL8t63Jh+LNaT6l5NvUoHP3OUvTpx
742apvQK7krboSZ9VKnoZba7uFDnT0r4MLTxV1LHoJPNM251MCu+qhHh2WtosLthbdPFikM0tIOj
4EO2hyud1k1ma8ZepWlFDeCWRANja2tIk4KoXadaSrqGA+IlDh0G7+WI4Ez7qeTkteWRTncsLe8E
wYD3enI0uVGRTaIQwQKcLlBtY0siOgGKZCmsc03rvFKZH2yX6mnYkAY6gauPUhd6u028WR1BThfj
Vz0CbpwUpDOOSJjWOZGiw3IUa7pO4vELwTXtvozoNgpnfol8PSJ/ACvY8guaHxF1Z+tJHxEeL3Jd
MyBQLBoQ6YbGW9AuWSAknK5Tm9PGj8tDTgLObsrqXdNRO2l166hhs+G2ARtLHR4YNozkrpHBNVQO
dWgkRFmD4zJsUSMkTrIPerFxWqs+kqKwNevhMFuDV9bWeIX7I1v7966eHEynB3SGO8qqzUc96r+h
wIrX01zct62ae9pM6kVHgA2XtS1SCwSvAhNOAlPPL0k7IHrZs6PmIa+Hbj2NkVeMCfc9k1ua0vBD
bPe5RSAGFQqNPA7qiGWlnZQgeapVkW8iRTup874yjO+R3mFnSRauVKFeaS3It8YArzxG/bRyRPGN
s4OEtQ4AtUqG8Qrw4sKUnRCGuitdTABHcFbht/nS4yVGM7eT5lwNLqxPtBHxp5hW2iWpre00Hoxg
55gADakNh5xZyaZRgl00u/sU7Dc5e/UOODs5jWl5X9TTirLfl2YgPJAMFIAyywer8oIYAhG0RBMF
zSEznjLNeqEdUW61LaF1KACzF6tx0dVgikOo3JOgsB2uhbB/dKbd7i0HW2tZ+/na0JHZ1UnzOeU0
29uibzzi1rlCLdCKHO+VGw6bhqjc0r3WliftKSMWmiR511wgJkW5C104RRQa451bU8uwB+17NR0C
7OtJ0JmeVgpAYeieUoOfRgihqgrzW2t5k6LKdnM/KLvQttq1r16rAIo8qHTmXaca31OTayrJwV00
3o191N5MKXHuPdqGQ+M++qMbPDe2CRN5ikZ4svmh5hxDhGNtZxKfVqGuEAMbEarSx7gmQeyZLkqP
oVff9AW4l6nBa6B42OQDj1ySxTjkOVm6EJ4epsBXdnrIlbNXLa807Wjdposak7MxpBJT+RFh5Naz
GFFUjRElhXERw44OMB/kjisn6DJPye1ga+cE/c1DxcCMZB+gZBGZMIN/CnW6JzixzAF8GCC/H8bI
5aW3JrjTLr/z8tBNffKSWvmh9LlTOXX2xTR+Khk5TppiUm9Ko4NfRIFXlD+dItePmCv2Sq11e8xk
T2PmxwTD1vUuT/oURUZo3RGGAd+mWTeJ4h9mjetm972sgnnvz+LZnWi3jImmLCnGOSmprg5M38ZV
x2WqNLRNkE4HG9Qf0pxa8TvP0TT8cyZNFp3KySGfWjJztKy/muNvSCc4jmjNE4S5zNJf+r56EXUM
91JD2FF1AhRIEhL6EeffiHB6HadtmUUZgozxNuvLbi1U9xiHVXMS7q1qawW1zyQlfsv/iktyOBCC
y10mRKubhTvTxKxotGTYpFCq9ko6+eRgEXtDJ9GDNYI9tFScFaRWlFW6v8nsojmEFJjWYQufhaGx
xk9SjETH1GF8P41x7zXPNe6CLRIwkjIWwt4gCOeBb3n0TcyljenuEYQXnMJeMov6NgcCtiqgrVXL
c+CMe2AH7ZEUqZyLxpD8NIM+32QI2AD0TbYXM3I/NJ/pke3dfrouO9BUzkTtbU4/0zQ3vRK8Ymqg
1DSj/GfuWgqRHjVi57By1jk3laCZbqdkfqqtBu2TFU9XveKvGDZUHkQQ4yHQok2szDT1wvnEdfom
sspga4rquQZ8vJtU60aJtwhmxp3SqLdRTNp821fzRhT8JhrAEzvLsB4UBaehWdFzLPTtMnw5FoRb
WhjYYk29sTG78cv5Qm7odCRcZNyRqHA2Ykg3QMJAImliZ2PrD6WJacZIKlKVB4YPvTlyHSBTNK4I
p6uG4pARKXAslokI9ZeMW/padZzrETj6xky4qM9Jek88LGde6L70YZZtyqQgMtgUO+TKI9c6o3JW
UWY+qT1dQZqeX1WnjzfwFteKE9K1KtVM3wRO/gryiki5pXzaJwq9sTbLHtQE8N7UxF4QA9WPSnNf
OXQh7aLa+u53H1bXxtTgs0WuFnkoUp0V44k9UePfuOY3W1epboO2N7eyOmkp0P8sQu48gse4Z7nA
o+sKXCvEJ07Tyev0aNrFZnOfR4BIMyU9tKtawmXU5fodD0WJPYralJ731RY4zYMsgA6S95D1PZrB
yBbrQTC0TsSDFZvBWrGI55TEEzX0CZnjPfHFqsesLQbQR/zydpY53EYq0iqC9fayHqnm+ZOA/eJx
/b8ecJUebaH34NviY2CFcKfG8HYUxXBEpV57YKMqLySuYF9U5bnkTRWi2mJleMjxkh1E9DiFz0GN
jFrtCH6VH8cisJvzJDzYbhZt0x5auFYhVhz9ZPG5kPul68d8Io8etxZjQgCBWzIIn6C0QreYGElv
u1G5nt3EPGRLM3kpR8tUmWCJcVEJh9poMaA8U4FqlVnhgTwmr7Ir4sJIrQLj6JqrNuqrtRo1NqHA
HbE9vwg9GS2bxv8UzwyWGyMjQLt6VoXzgFGt3g+h+ix0q4FcSNoz+KChSQH3IqlZJbbR7mONOJ0e
2HhbW1+coFGPTW4T0eAa/QrZ+4yzVLUwNWcvGbrH3YzHQGJ7bMZRLZEgmABfqv4xi50fQ8T1IlSL
mzzWlF2hp0ccxp9GaHJJlTxFlaJ70n3TEYC8ErH16kbEqMwmsa7QUgRfg1+tFyws7eXioAXp8wxH
kg8O3DNzvzAODLeuTuZRTjJ6UqjbVO9/9IkP+xTGSZCQ/K2GP9sxPWlLFECpPpWOLg5BKyDbLw8R
BrL10GqoazhlDbQSeSyHsRF2FxUOsyfT6IINWuV6pZbUafIxuVcqs9qZGSZdR8WNrlJ78NOi8Rj0
lV5JgOchcx/qBYEsOchD8JZiAMeVPmdbvcqfBUIWrPyzhpEaV1C0YEiUAF2iU5nNTlAdM4ZQbO20
/MqIgiyxjIsNxgp8vjVxRyoewyUmOxhBS3Kx3VpiHS6m3CiqHvshTCG+2v1JcVA1zJiWpm4PsFY5
NlH7yujhmWSHiJ9VczLd0XO7GKNKslWHEBm+5aqrxC2rdRfC8uyg/EUVEK/G7KAA22S0lNj7jwoY
kIONN5Dk+U3Ktfz8ozaG7F6v9NxzR7pQ0hkjPSSWUSS7MSUyxA8KfEz9iw3U9eCX1AczFXtE0CGQ
XJo0sQVkluzSAtX/yK/biQFnIjfbA6thwDehogeztSawM9rxZHUd+Vg0prsMLrY3APT0bBE8FRNs
/TZuQ5QOs4U0ehnyxerRt+Js64b2c2ALzQtRInuye2ZWJysH3AawNU8j3rsrodN3U3wIfHQpReM+
VxGOtWChx8jTfAqhBHHhSTau9dWO9JcwIfmlRy4Z6yjdhOg2op5PaWAyEEIcG5UziYfzDKRQZUht
m8ALy4F0xbQHkv+S5W4DiiLr15XzkzgUzJ/LhLIWIzDfFPdDNnOOLs+uRlD8OUnL7rkvmnGLluXP
VZWlZqRZ9eVGTnzLRpeYAiFUVV0O0jez0O4lWktyxUTSaVAQq1dTzPQzowiVvLI4zCHxr2XvUnYS
CRV1KE1axX6gJGFlVNxCaI9eqlSQuT9HXIzOba6oyszzHDwbL0gqrtbch2hMweLZEEmNlWzpTglw
Z2hKh454QChgQ81jpVHduXkQ7lSrsvfo9dd2heumX7ZdJnJdGtNVDpSx3LjLLhUy/aMVxw+5Ztnb
cSqSo4judSMjpSD3pzeDqowne4FxkXADLSz3pqL3vgstlTvzkgfSVhB+8yW2wKgdZ4PZ5ots0FLE
jFdDESaeFqk/yn3pi69lR60go6qZr9I65GQmUONDs9hf7pJayGg3rtr5KCdgyOd9Tl1TNFbGZQM3
l2xlyoky31dCsWBgcVu7rNbJgzdRbk2ZqZKzwWTuCAVqKa0mDuDbKTJeffJkt5qvD6fZ5qSKIRNu
UDcyWs6Kwzwnwym3+qwgCBIpUjmmFY/q6dbN+0OgKJ6vu1uuASp3lxBudpgZd3KCEeSb2hWPZms3
HqTeT5UrOm6cPip3rClJHJ2KmuCzXm8XMYl+pE1l7Jo43dlKNV+HnHn4kYIcmK1mgJy0m1Uakwkn
gq9j/kDCRN61sO1zashI2qJXo+/UVZOazcmf/fswr+3HsmRogJa5DEt+6rlv3vluxHU1TL+3CG99
t3eOUdmNUJPmAqsALDMroYPUMopACSVOph34pNLyYDDqBSwJ/WVWM2JM3O5r3gCFB0lTlLH43JSx
vjJwU6xGAfgTaAhfVpB4Q9wMXueo4wEB34+2S5/oHrt7etLTdhT2Lhx4PPPDYnyY4Ski2HolSlh7
yyuygazh86Rn4qFOLarkcY4lDoHRcXAA3tvBeFNG1XfVJYM8WvLUi9YgJaOK+xOq44OJVP+6V1tC
iLNpBBE9oFwpv2EPEafydsTB9cATCAXyIhu2kNzWRsgVsZhmjB46T75BqWVASLseisXS3rZycj8G
u9vxdLuuq7zaJ369hIyO/lVgxA/m8ArcOHnRgT7Dn7WIfxFPxES/Op9TMm5uuCsG67o1tafQVNDL
u/oBNjwPzmEOBRlj3nYmvXJnT417FRbEIsZNq3l1RrplQMpeH47HsjQ1eMDJtLPFz5pgUuLh42E3
MxzhAcRRNmnjPxV4BSGxMcCI4U9fVwB/NwK1yTp0hm+pEjXgUmFAklXpXeB/nRtgAHa4mV5IlFOU
LKi3ZuuLTls6JAMdEy7/CcRufF4A+Mk4eZKrGAtNR/jgbkddi4m0WMeDwHNOm/jMLJSAQunhVEDu
uo3Jj89ttmKaiasE/OMt7mL8j8EncLTKETDHkuoTbmWsmTSuTnp9x1P9cF6ly8Z7qVuf2rEKth+6
uY5VbYsW83G03HGq8K6JCPOTO8mu8Nmfm4eMFTBylBDGG8iNH0CXi2BgwmwGeRnPZmeFuBNho01H
OejxG/5oOZdCVdwmufYsn3QKHmvsLEREMtKpGjlRLE37rlUO3q4oI//ZcveKRXSrHiyBd/iqApey
iq/plFvw2uzLgH9eP6YWo1y32/PnURTpdvxgcnRuIdcP5W7UEuH1fktOHPWClTFaP/pp1E6T4Zwc
J9Yo/y3SC9Ic0+IhDOJjqA1Y3/MYVLGfkNoMTmq2qR5HOm5B4WsJPJfqNq54r74yICdX5l2gBz6w
VYsMo4WuzdlartOp4BJZgFTZKAmKR6jrt067KYe83xVAcEGRk59MG57yEbylcrnUBHedsO/i3kg2
XYKav9L1A0lyD0kQ/6SoleDbPSbjuC1Dtd6kcxQSRd1/SuJszzMbUlcHgxltDWVV8y9Y1coEo3LK
dZpp2rSt40+ILH90E8ZUNUpA8gfhK8/xt10w7hI3odLTgJyqXaC/FBe5PPbbseIWbTeIMPgvJZrY
IxCOUQjFPRpgH+5zNw4IbnWu5c6Ur7EIMyKaq2xtN+RFtAIQhUBPMDhXCXLpdTfb36BbH1o3vcqq
CUA1v1WQC5/NwT7G4Jf1MbmFwUiNztIgIjYwJVQAOhR517wzg5vE4tXdcg2b51M3acnO7ubHUcN+
yOAVh2RE9boRAXRoUV7pSUZpU4m1W0jM60xXOEGd6Erw5cA441Ju6QNEckZaiVtdW9RKUyX+MarU
dAe3uhrpB3iizl6IMiAuF7LXSk3T9dzON1qjQCogzaRqlUcK/Y+bCl68UiLObyj7LsPYfHhVebpe
xbraPGRz9CVgVPTQlPzZTUV+soH69jrhmSFKg0ceBGJx3QLDpioekjldEp/qc8dD9OrlZfZk6cG1
zZi4b9rwelz+0dVkVFd27I1FQByApb/ZSMC2dvucuyn8psz+ROvn2aTbvgk7w9jZbXo9ABZYuZaf
MPArcfk5GF0HYOZmjO8n9O1DE2r6Pvc1clm4m+VK4nudunXq8XMH/uqgaNOTQ0SBZk1gyLlmcVer
r6rexInfDftEIJOkpUYOtIYyU4n9PcSfB12nIRABEIJ2OWxmzbq2KMU1jUrbJCvrY9YMqzxL/fvE
v+7oBS9oNsiYdE1Uf0C8bOFtmZSKQgCeQ8VMQE6Tt2sEtHogZbtrXfxQ3Pa7IGkDzHFJ8EGRMjD+
GoR3YRf4hwk4HFVDeMsMD1YUTihgEYDuAO4hl2a40jLyMzQ8veRsRaQOzxVflspFxT86Sv2Clurn
+IZTnFJFkF8rk2peZUH4OY/feFINKd4t9piEs7tN1yqYunVe3k2RWAJ5qVoZynbMmvKpMThB7Pmx
ImeI5yWxNgIjP3XRS9G1/NIGy/dm60usDQPlAbFtm0msiEur111qHcvEWqtlMW37gZKAEWJ0CVSh
rbFzxdikHTODnqp/KeK4X8eJ+IQe4lsk8pKkRxXUyky2SUapXOsibJVaeKq7BXE3kkyTUE3MEX7A
eK/qaRssHJeyM578yK33vt2DF06eEoNkVxeTytrqGfxkLjHuMThQ/EOvaAFXkLUtKlKwJQSdE0+r
HmwKIwOjnqYVw9bC/7WC95UYtIeicj/nqLOQiD1A6m8fQ0PHeux+hVU2UnUL3V3LJR1bwY1OsEgQ
w/ichkDAkciXB7SYnlHO3ShkBBUHuAsah+hfO2XsQUzzsUnpKWx0oiW7gbqxO8Xaho5+hPTVrFeD
5gYLfSJepZHyrVGa3aKFLzFvb+OoLDf2qBmA1wi7sPsd4483fuzrsFb5N+ajRVmBCL8gVEiGwP9z
6jV+aVX8qeL5bGXVJWnrSCtWWMuf7bSNdjwzH2anvCJd9oBBYingJcUaz/tV4s7tbki3jGluG0SL
NbFEnirChsNczzzd8UUkj1Upfur1vKezxue3h6+DDUXOD93ukFXpdfiUwMZD6G+ZOR0grN0r2+UQ
PYTTax9XXKOkL+oSw6lELV5kLiWV0G9jioMHRIinyiTQ1yBm0hNkGqVpezuGIVq+fs7AeaH+nsHY
RmTGGLqy5ldf16HltXYuNmMu6AxWxZa0orcWZRdR9aV1HcTzoV9+UA01IvyAJUFCK7sqeRwwS34i
3CcauAZ0bLi4mDq5A83IM+jUNTwDqTZSCmc95H634bGcszD3utR+obr5VhU5UYJRuRoJC9Bc9Skq
bNpBqc0zBIPEQLxFU3tC7brktMKUHbODpdIjcu1g43y3d9B+VC/NbXuJKadktOTSwxAJcaClevxK
h62CJIDPj+q9uTaU+LEuEmuFW/ehl5DdkYZdzk963c5TvklLgBZALcgmaMYnwy6OWVbHW6cax/UY
0oEMSxVaQUtiQBxyUcV4sSUYM2odb6ZvdAwgzKU2EGY8rbCoGa5XY7Zn9PulSuHTpzqE/qrXYOga
xCLkr8YbQVziRi/7r0pHGmmNE/FggpOfB9ta3IsWNKWm2JgjORGd0/zkGmPjJrQdLx/7E4neNFa4
ZuyIVyVDfe42TuZ+KyhR2TOt4HioqfY4N/RyLYzGlA4LBK2ps2t7LC3+gvS+TGx8D8d4UeV+WHdZ
VAhtR4y3ENGrHFKmtMzkhIyjFF6MM5HMHqaKQEjB4JfelGVs4s72p6fm3f61r9P/ztJPpXy53Ofd
7PlwyzGLpZhg6fw8ZGKiI7pbbdZmunjLGy4T+drL4vlDSPvOZfP50JdlOXdeOQ2LhEojQHX04wHh
IG4GGfsovUBnJrF8a80KNZypoIGzQP+kzmjPbSDPWyNo3yiKTfuuLZNdRezaPmd0vSlj682akn3f
f44qxE1LZFA44QC37fqYVvnXeB6mlzBdwmNs+8rRO3Ov6EQ58bBE20VmgX6clUGdlcMDTktkBXR2
dlz+b3LyzuqF6gD5mVx7dn3J2Ua1Y2KyqPf2xqHITh+3y+PZEs0vN6UylPTX8QkhQhInt5wnxszY
cuE1ldyDL+svH+t8rMvy7/b53TpDaZ2D3eyqRRBtLoaoYQmRtY1JgF9jEQZpjUHtr61yTq6TW+Wi
nMgDXBZ/99rfHSrrioFxG/+LemmO0Gg7m7ECCU2Xy79dKaSD67K9WGxc0eVFcllutiqefjrnQLTa
cKw7Tmn61cz6hU22iJyVm+TEjDAAV8rh8vIPbyEXBTlt/wm5/JdUaLqhC0yUf28bvQ2jfzaMnl/w
lwBN/cPUsISqC0+BjCeByuxPw6hj/IHyDGGaS+yBzkgOm+lfAZfaH65tUhgXGvo0fJziIkBz/liy
KTUHBQNoZA3B2P/577fxfwU/irtzjmXzYfkfOVTfAh9g87//y+BA7+nKhu26mqObpq0JR9PJ0vxn
+Zk/KEEf5qZ5wJ64th1jAiM6MrwwG8wEwf9l77yWG1eyLPpF6IBNAK+gJ0Ujb14QKqkK3rsEvn4W
cLu7qm9MzMS8z0MxSLFE0QGZ55y917Z+GN1IQNAPp9ceShfrcuqaMNka561ynXxLfibT9YHKuDb7
A6ncXllzv2vEExnj/Q0hDaqGQfrHwrbpVSLFsdz6vtQAyZW9Q797yPTV5OvJmnBXEmBD9zDFl6LV
E/J6oIVa6nuSqOHGzhkiNoSX7wi6CfeYTwPQOvpRaxC9/PHp/fMt+vMt0f+bt0RXec95V3SW1flj
+dNC63ZO7WsDrCowr+4+0COyalLlkpaMIQtF2dH80qmjS38jJ+OCGX6vT8mHosGIi0uCNkZeaVu6
yapzc15NcOeWoJSaGP0LmfdbpweMGLjibbThqPzPz13j4/vbB+oYhuVoOJQFS78w52jUP5+9H+pp
KSAZHEgaJgHLN1bkxN1nUqhzn63YjZNGSMxrjk2KzkLlesz+hgM96tciVoadVrMLl0EqVgPn2RXN
jY0Y5vUs2dAP1eijWWu9iYBcVD/6eXRlzNKROe6zCAgIbaz0RHMe4CD+Qk2fGAxUEL6U+mdmJY1X
+u2pSqMUKqA8wfB9NfXpnGAU9ULpvOl98GyXLf7OSDuooKa9Xhy0uTEsnBtxjJbXlF23jdzkebpj
NDrtlV4/ZApYl8iZxEppNgyu2Pu7cs0IdY42+wGipmJh6r/G/NhV9Pkyfg/63xXtWr1pZpCgJnoX
BsP3Euid4h1zYh9RTgrWOgThm5ritRrog2vEm6JbiDHxvhCSOjNxla+2w+Aa2q11DVMmYrqNWqNH
gNT6qHeCTr2rBr4t2N3ARqv2YTTFU64DEq1lxlCYB1GKAB1CZ96bWf5FZRZ7+tDv7DhPgYFon8n4
JHsaoIk0P53woDkGTueqvUWWczJVZkoTvA8vyZpTkjnECsbv0yQ2rg9gqKhNyiVzhvNmzZmWtrFV
Q7qa1qTvbFrLUzI6K2Gxa4ZltO76+q20qDOLISpXVUc8aVUADDOJvqvDU4bLb5W1eU4fAVB3lDrG
VffRgmmMH3ztLgA/dp8oj46Boi2tdfjojpeRXO2lvTxmdvvDJy/UCpEUYsfehhSVisgkDzkgU0eF
sJ2K6R7BAda9cnzP+ue6H6sVe6OXcjQ/6rb5YafVBiH/G5gsB0Zf/t3EzGRCKhAtiq510qq8j/2r
qMr3yVopJq2c1h5ThNuEKjrdGvrQqSR4yaP582ZHEUI3/VypU70qYn0XjT6Fck1IZakFO3tueKug
LWhKOmiYIEiqYbVFQuYlbX8d+24X6i296XrXKvHKoWZpkvrL1u8Nohk7N3tuNB8VlCo/Fc3agGZD
eoDYpeZjcQYuptGTjJzIs6GyH6mAoFislbA7WCjo0b2h7VTNVyexn9IkOpJreRfTESQ8Mc4gFwUq
3UCx6rLx2kfFQyyaz0Jv3sO035lBurU4kthJdh+tszfA63mFLWi/OPsG/SSjWF/zgMYj5PQ5sYqn
qVhaaz8ax/nl81xqJCq5aXzi5CtXOpw4Wn2EiUr3FvXWG4mkRy0O0XhGJ9TzO/j5z3L2qffBzbas
L9/iBeTmpzkO9c6mlwqC/sGJy3PsKgVhIjFcceshNetNa9Ju1XQ39AKfLtyU9bss0H4yXWw8J4RX
1pvpM0GAW6HODgSBwNOiq4nbqqiZ9/le1KiUsnbxQN9rqyUJjwEIlrMGwrsyNa6M79dFB6sr6+9H
27lFjNljMV5cQ9mX4Hm0khnkiCZlg66Y07WLS7250OsHq82cA2sayiO/O6D4Ydjk/9Ct7E7Jw0dC
euqVGOVzmQp9Pfk0HfxBvf31dxO6Cb6g8wJxNZjizzRB78jxPTbM5yivT3WGGi0l1TVGnTnW3mQG
JBYVozf18meaBYiffYpXxaCchjhdavfzHbFrvyUIAYV0f+it/xCIdA0Oz/Aiv1kZjvPhSOMucE5+
wm7ZDbZ+1b9NhxGlg1dp9LZLf1ekE7wYIoTDqgPOP7d5VQROhU7BaAuybaPQYlAlwiefAfM+jrqD
Du4Bzr4AkasxEzSHK3XGIW+1V8MiRqFO14ltXwRj+8CtT0lkvbUppzBnMqu1+FRtOP8wy++mKGc+
5yLK6gI0MSExgznU97JzYNC09hOQZ4IA6SdSbcWHwXXoSM+VrVVEPuvXixGF+zTVMHjmdHMN07im
Zf1CaN9N2FDvgtx+0WCUxUnzHUZ25bmd8W00zGXbOX6eKyTV08vP+nq5a3Srh9J07wDEsAYiXcpC
40MnrpAxARHENRNEd4KjaM42x4yhHnMZTyQTkXNT/4uspnsBQkgG2Q+hSqardTzsIyHuaAWytEey
3hZGj4x7tNA5mWJD8Xso0u5JKgW9X3Xk/MLaM2q85kT7yqoaHbJfrEm8dTzbsN4T2UCG8vXPUvFf
QcqdDb9DOGsUOUgfdWeYYgafnTObxo2u0xzp61FZ0fX3XFKSzqWe7IbReYwtiZrLfsscZLdd5obr
j7iMPsds2nQQTj4tNiIoGra1oqORQlS5KqM23yS1fcG2QF+646tYtuI2ObxA1QjEyi05swwwJaO2
Ji6WnoTaEieBZILWndFeQ50GO42H8izySD21TfA9OepTJfsJLLlLBCxfeKVp6pXNWKWj8Y/rOV0P
ovgJpJFesVao3mg0UOLiXaAxCAiw5jNS8zeO9dQGUUA06sGW2ADqzL7BzOHDNofvKTJar9LHnT7q
z2Hd5DsTiz4nl2rV2TZASlbQwDnqbX+RqmeGRJEVEIZ94sEdzlv+1H6mQkw7i6/EeWul8Xnwu9fJ
MW3OxZkADnA3tOZjKq213Sbt+/zWtf4cac3nMVjWGwC+b7iIUKRC9W0AvWUp+eAJ034NtAxxPE6G
rtU2TaG92bVebm3aj62ZfkMiVdclu23CAouZJnlyU+U2dP0HI+hpNZmGNxD2KoirWPVpXXh05F4g
myJnSy+hqJC+Ij0kZzEu68mLEGyP9lHpJBQPwHPIjDg1Te5Bc2mhBkigAut5eXUsjwjsaJGl5GLO
f9YQ5lZPsBLE4mcTI9gYpf1S2tE9fgf0jQ3KTHPv+BcxVlfFrXniJtqtlKgAiFxt7URb6brpret/
TD390SBBQoeKy1WFsRHlgMWxGQ6MQ+xDKwXjOmQ9xoxI51Sv0cOo8vJ5aMf3qbKRGw7aXioMb4wU
HqxujQXJW5G9AnJGADR5s2akxMwN2fm49LhLYdZbhwxFs8zaU+EOt9TWdYDqcYT8WycZVjfwcYVM
6LIUU3hfMqpKnzQiOvCoU8EQ7fDltLEGq1GioSP8eYqyZ7Du7BWUCMSx6TzFCWqGnEjPru1aMkrU
R6wIOdr/jW/FO/LAOfy14cC+pNu7ufszCmp/k09kuzgxb3xC+vbdqE86obL14HEc4oX36wszFfUh
zyULYRDdVxlW28RVFBqjtGv7rGtWJYhO0kdk0KAKTeHPEaZLl0VoaBC0acax8CEO6qGySQE1EdmM
hNVgMzBnsHZ2trPqMQzxK9RT2q77EAFTqiu7xuLwUCq66mIShMz6Ybpv8ZsDnRmjbF009DIR0UAP
nS+YqEFp+PfN5Zo2ihMq8mi33DkopE0oeQ44+fcvGLe0niQ7I/irvx9iuTaqdNnsXrlVHfCbYlBd
ALbwIHVjFwYIrJTOJpunj2i3hGURrxQ9GP8iWyzUigU0sTzQcrOU+i1nLoL6E+K1xELC7Gy+mqg+
9QX9x8BxiHmZ4UCh4UMIHZgDxLpyKHXtkNXggwzbrnaRzM2DXbtItUo3OLJ8PNqY+jA4+U+mRdrr
8vDzwyzXlj8RLJ7K5bHpzOQk8Why3ficmPAeVtl+FDAJICTyeVXDXdQE9qG3cQuCDIbPhxTfrdXZ
O0AiXRo604VEZyomwyp3htLsncicTnxlwmutaMhLHeRBykiTu6pwv6TYNFaB1sQXVKzpRg56vS4D
F7ydPz0OkkVBInIDSxakBNl04ZYdDLu5tELIMYx0wUVRrmHiWfeWrkVHPUu0dWBWwNmxyK/sTDMI
QMSEWYzKufCdin07WUtNEqvXBEYUgyIol6TFmIEb3UVh/dJmimSXmG8qAntGLavOamtMNyVj8+Bk
+SbE4rpVyDfaJhp/v7FkcDf01jv9ha+pnpIDabh7lgf/2CnbtElLCFA4o/A5mQ+hFh/dsSNgiHig
O9FwfshLloo2K9kFIlr+mFiQnBgBSFpCsqvm86zp4K6pgvo+M836pGuYizD5PJqaLs/DRDGlZiOK
1S7XYFYTcSvq4KrJiFqdeQ41vnloej++b91WeAGHDFuN/Eff3k2J4h4LkwWsUbL8lGvsxOIqaJ6D
MSITTiHCGT8fJ4qwT99sO7gvfIMQbcxH2yLqg6dhyn8ZFefvgWE2hr/24A6+cRz74b1KMrmzB3s6
8xVxYN+1OcV4EOxJv2GPaTunQSj2qfcq14ofRjrNa0ruN7owlHulO15N0d+SJHZ3SRf8IA9oPJSF
+YNk7vCE8QEvnYBvXrZRfFnyfhVjHpYGkikk3qVxqsYnZc6STnIE/VZKmCO2xadAafKDQqLRqtAD
NMmNuEm8iysnAYfr9TE71jx29LtyvuhV8zYOOC9CV4PTO7X6c2SLW1IO2Z5opXNDuMvNBYs5xFq6
d4y2OQVyeE6Z8B3ZlwMOsG+I9/MufsC/h1YpFfsQdS954uPDOEJ1iWtLOw6l+RaJWvAhJv12sAzn
AI2+9QYR4MhwWVXV6s1nN7JmETMOAIDdQ9oXGzOry0tZIXNHw2weRMpM0jJuwZCoe6XpQkqktN2n
DbOs4UmD5c8enYF2EQZXXUd3FqR6sZN9cIzMPN+Gmf/d9kn5oEnU6Hlv78aQMK1Jw9SpaNN7X8tk
D1tLkZBvujw5Gb1anCy+udBdt4pqPGdRfwxDyzjYg2y2dpi/+jOi2M67NSCu5jRgeajULFqXNl+I
fkL9AW/rFNCVsT3eYURWuT9cLODEB0fI+2jUIDtZU4OQLbH2KsZANCPkT7aNTlyDEionH3xkT+xv
VyMpDLruZ5y24bWTDjEUxkvvspORU70rh7G+r/nmhlWQHbWgWE/dZBw0MLMl0PJVNk5sjkwfKnsd
faB16x8AqqP/TI51lgf38VhefANRM+3JnAIkY4iYro1cOZXOyKszMkgA08s0m7jcOCP3OE7xi+u0
Xlpb0lDwAnCrJ3NIupNHj7O+t6LsFrGlQYXlmHInMBusnM7AWyWxYIXKeGU/HW9BKjkHjElT0uGK
UcuetRoKaGCPFz+Z9GOdmoilM93dRa0rLpaYxeB1Pu4YVx/NTsyJrcNb22vquX6taiV66iTUeboc
Nx9GsC7ZMGaq9aAGsKKnAFZvjvEHcQtad3bnbV3UbLKHZJ0Zjb6RFgm8jXS+gywbd9PQVSeZTmh2
MYCWrbWmV7otA4fWmjCfR5fodljOlEd04GQau/sSg8CqbvO7Onmu9fhs93NYWTv4x9FdOW15ygqm
C1PanPSiUe/pWXqQcDDioUQxqApmTeuic12uRdEdUWHEYlaKTWk0X5X1HSUw1PcwBKXTx/BA+2wf
I1kiGJpeklJL6GKpknerkQw7zAelckzD6hfYiHHTzOEXMf1iT1PdbgOSyAfoPyvj/7oaldKgo1Cl
x6w6OPmg+lfyyoz15Iwt+w+Ota6NsU8k09F0KeDbLM6QgNvjMWzQ6cwScSoMZ7X8aLlAGPgiySLd
Jothw5wxPsQF96Snz1eToooOKsLiReH6W+uqW5Is3L4d/ql9bccU80WcZn+h6c2ZibHQznPqcHb4
MyJfyMCg3sn/ouZ3hGVjnowFvDw2LszjQcnEwl2rM+V++Zm/bF1+3y1Y+/HDJR+c5sXKSlz7j99d
HmC5+P0Lf7upqnOcxlDHOtGs1KC/f6Wy2c8igUa6/+8ns9yrOTOz5o+rWknL1gqDbP37t//4T8sP
HUX0WK7QCf79FSx3/+1PuEiAKIHRDC53hJUvEODgUP79B/72G//do/z+L5rkyI2Q5JTzbpETYeCZ
pkw3+PYMcqyEFXoNmbQYmbh7CRzVMXpSwNYP5NCpB1EQtrpc2DP+juap/OdtZ75HNj6tOwwVGzyi
FG8iQxkv+o5VdFQe09x5Ei5ZZ/pCRRn8L5eWz8YC9K1uFjIKY41/YWP8mjB7R08fXYTYmS+rnWJk
4XhKm5qmAIMFWgBo/mJT/ZDIUut++A6zYtjqc4Qq6ie9PAKjnGN0fRbIEedmYuNm5VvkRSn7dKt/
NhG1kYJQPkaR/SssyivGsnVguLdCCz6ZshZEiyeQa8Wvuls3fXSr4PF6siO9sBTRgbL7rY9KdPuW
s0L59EM08LZp+LSeSshdRzSzmMhniCcQh5X8SrIMIVOJsiFUEAHZUCu9uh3PRqH88heqhfaYD+Zz
nAxPYTWWm053bssEIfcjOrzp8GUM1jpA5cR8vnytzZ8OeQsepuVrpvZ7PTv0Kh0gtQadHIbtTzNX
VqEBrTJMCAgIdroWfMxCPppeM81rpWvOyYaPxQYx5K8N65b9X9zJrewwJwdB/gix8jRIF2k27qLK
9nLLvOpW9xLRDAtppqfVSz9a4JwbzBYo49pI+W4cU0VsG131SsKLmp6Topd7kgpDr3aLu7Zu9sSC
HlP2bkmC36ps/WCfueNDGYj+0vu/7FlimBC4TugjBbLfNGhdjHMVGCmhTS37ztQwvVn0UZtorQaN
asBNn6XBTLwapq1zqtlsrUrEvmsU8pyXJ7SUnJNWZsz2P1Cqh7Z6HpNx+KVTmjJIw3dGEN6wraR/
0Dr/UlkDLkj33ObEy7cEcUT6RXXiJxPBjGcX7qMt1/F4rixzlbf9uXLwaUfj2m0/+qExaW8qX7Pq
MelRVRaB+VLGL6Uev0r45TRhO2PnlPEJUku2cYchZvcaPTi67q8dUf4oDDJW3cbd9JxIdkZs2Fgg
jAhbu7C2fHuI+dQJdiHUfVyTLIM1MnZX2F5MLzOK0DNLS+4NjaPQcbStWbCRD+ZCRhSFv66y71oh
y3TSMcI1e6IUXDbROSOHpMGrGfMGoqql/4TXcUWlfnR6dzU+uArotHJC/tOlVxOTGRQJP1n5qFOD
wr/Xa7/0sjwJVrQUiVwV4wYT9DPCol2uNi8UZQdqCeFlPZ+dSeylF5jWLTJ4waVEpOPjtynC9GeB
CSxMHovU/eUMarXpi/JIEgI6QoyWRHToH41qINBsJM7LMl6h/G9WOhDpyRYwKVRTrm3690jgUszU
BaiETZNGTCQaQRSCrPAvyiLZJyWqWOZP0uwcQiZIWLN539wgeYMJdOhw7dMoKgkAjfGDQaOR+UfK
IrfV52OtRLHnAau2tMv8z4/HiABqjpaxNDZJy/qqWDW8asmZhoSqtVu3vZd0Dpp/WnYVsm2vnlgc
C2T4Zk0ki0SqtopisSrCKaDFUMyGuY7pjSB4RQ8uSGVp6tD+ZYcQ3AHZGIWbr9WRoKU0YOVOh5xG
8XtDu+fUYPfdTg5ucFh0cl0kZK5NiDFrJ3mDNIeVNquB+dXVo5/aZOqY6TVpJtpNylsmbQZUA8fV
bNn0xYcOTp/nyxupoaJGPJtdqFaYavmPvTl+YDf+qumH8GloH86OBA5940M3jif5s2UOWSfJQ+QW
G3vInZUvgud5IM20q0LGGLY7R6S7eqiijchmlUmCcQ9sg1z5Plt6LZmkR3DALFaMDwYhfOs8y0wP
EBEvv8X57lTs1Gv00NK1d2nlUzGb1IPSwNhIfbJqLCKgFHh5vai+9CpsdrE+BptKBe6F/SLFJh3o
JjM/81fvUA1X1snqlaucG/btfETmHWZVLC56hxYq90MvdJUvPYzvkrT4qud+ut7HOOpoFZ7Ojhus
LDS5XgmQd2eTlyDb8uDr4xfuKqem7axo2ksf0bppx+jdl7+kMpYYsY010LbLoDHeVWh9oxufVFqn
qviV0DLYliWjAzoyGOvzfUhq257KCbkmxQw2XKcYV1OI+8+kB+t1kfUeaUyN4+TLSPV0Y6UTHcGY
cBnsC/dT7XwlnENLxXq2E9JeJo4GXdOvStbLTaeZn23TodTs0po4M55Tis0QA1i08nNxjZOsWwGu
cD0HVTJHO+8+iTArtgio9+ePwnxisAanwyVfY6hGvhC+Wm8zV3lwOCy9rMRX0sIBKXLf3UnDTWBE
71PlZ51WKX0DJjudpUgW0YBjQFYvSXpNodpA3hhIjAlWBjSbc9dVoA1KGwjjRVXzalN2I2Fb3dlV
R058MZukamJzoKfBfhn4/3/Q+f8GczctgZLmf1Dl1D9JPv4TDKX/9Sv/Arlr4h+mwHlqCEeg8zAR
vvwL5K6b/7CEZQlUNkL8RX/6ly5H/ENHWWGRRU6hbxnu79xzE8mO65q2baC6WKLT/y+6HM0Vs/Lm
LwHPjJ23VAtglUAEZKk62zT0Q/8p5EiaDqdd50a33P/AEdwc82pqjoIZ3qpBkTGmzPiK7iU0Kv84
uQ5ieYpDR0bfASEwK/qGWGb/k5W+kNRBAt1JgXcqlQYqAna1y0VtJKcWtNQOgQeUQ86mwNza0t5q
uMmxe4Lpmy+KuRabslhftxS4bl8D69C0YtOGnAFjRiiEPE4M/oPQ3jZJP2zKJkv2ndGffCIP4lTx
bxWxW9vWcF/I2wLKh15Z+PaNCqqmJXnrqiq6T5zs4LfmRZOOc6c32dnqEqaOvfEjEiHc4IncEXNA
lk3y+7Za+q8LOLye+6/LtQXvLnT5Ug59sK4KcTX6vNxZqXVJejU5KWFMxEPTfONY+0IVIY4ypRtC
ViXa+ZlYazpS84aek2ztd9tcG6xTOV+4PaWskX4uadjVnP1G4ly+Cng1ClCpeeNvzBcLVmu5uVzT
8HzLpE3mHAnop7iW9vQ3MBaRPkcAGXCaDgxL3uNVGiAnLq/BFULsx4ledMLoBpIIL06d8+0QXadw
UObMuyJ9GgjBi+c0PAJEYPsUDhOTOrGPDm7rdUd8XkSMHj1eOq7g/LU5YU+ds/ayJXavV3Fzab0g
i49FlHBTeFatwKTsNLucoHM0vi09YqsT5PkNJPsBQNGZVMK5yAIHUlVg71S71w6G++db/7dP4ven
U8wJg0CTfxlEDqrl6M9xlQw/HKy3NDi643IhJfIAp7B+qmy5U/wrDUavuN4tMDQxHwzLtd8XC91M
Twt/Z47W1uDPH5eL5QX97Sb7u+pYk+bONoa5WAiAaFol9FqOf12dGCYMoACR5+vv5hztOElmIMu1
3zcXSNtk1wzFsnS1fNJLqMFy7ffF8mVYbk6jrNaa1fR07DDjLwejPeXkq4UzEXf54fLtGGLrzcgi
Y9PM04blrft98ftnxpx6mcR/CJTTJRpzUS0vKuVFukwcBNv3OU1zCSlYggt+pxcsxzm4BebWzZzK
adlMyXRUVMcaZgsfPnOA4x+302QrxvYeAO8wbZw5cSHEHzbhbfgMEmDLbV+Ya5xlrKzoII5oDifa
eVwsN5cL3YXYawYlvk/rPYbJq2n+ruxzQFhla6wdOcfF6g4GezkCtGabwtUqH/NdLttTPfivTsHO
oNDVtR1hlkMQ9zQ6QBAG/D+It+YnhQEcZNpRnQ+25Qfa/JYvF8a/ry03XSaywJjU3ZLaO86/wOZd
32VxdGaBwJ+Xa4dkThUUGWgdRVXobhoFGVRg3Y6qQsygWw3RdjLlW5TV7jFSwvBoTs+8swmzGZOQ
VyIF+mOPo4P2Pu5MP7TeyqbFPmybT4wrsu3yFJdhUogB05NCz9bLQGm5o4/irHqzVbc6jNRa2kUb
4qdxbJFYavBJkum+cXEqFoNJqdw3F3a6P9paQb6i4J5S+ztGkZjhWOlWlHLfQFnSA7ssDUgNTi6/
fkwdEiIZ2L6oZrV3HUhneu5+ZsT3rifGtO62c+v0GGXq3ZBF6Tav+B9VRKAtE+p1NyBsbMb0XDp2
vnOkfJcDFBeZvAcmzmNDgqBrMmdifzStUyaWx0zKq1EnQMs69d2HsLcpNFSgsusugBKCbRE7CSwX
gLhRHzXkkqJeaeEqEcmA85nESWZP+V1aThmniD66M5EbTjbfpiA7z+0BVS+nU2QpIJrM6DC2+hmC
yqMT4lIYLD+l62u73hAjHB071jfLkXvK6tMUD92xnE30VD/NyU3GF4mveDXG4P+w5n8n6E48bHlf
ihqYx6nU7I3hEGREsPNEyMe97yjhRnf752iqkh3RW1cldtpDMA79lsGixqYcX6BQwqtB8XyyGys7
5ERyebHBRAGOObWEgNlHerDFUJfJdIt5uDgptWuwP636lSWbCspcAvgLGycxSHj/g+FaBLG+sUxo
V4YJ3rFGM+PIKSYlLsrXndGBIo8djXM4wZu1aRhbWBIMbrLk56hN6i5wx6cuHa/Yk4andAanMWDY
toVho5BrEQ2OE7WdCmtb07u9HkNOq0oeFNPMrZ2s3OODlyc9TxSm2SG/HHyHYypIt1PSdeWX3S73
s2dZtnKT2LG21Qrzo4hBLA2TQhrtos9sg9uYliejddTtxLZaUWrl0olE9YLBaRC69WReWol8HOK6
QXbcjesAgLXtdNrZKZnMZti7WEXU6kcKvWkZvniR0aV03QZ95TjGK/3jsEMdoFLM5PqhCPu1qkbf
SRB23pD5EypO5dz1uATHCnQa6/m+lRxABLe8N4C21ipOHBznlXZA2jF6RupiQRPKmSfzjR0B3Zmu
KRuNIs+cvrXcuNmZf5+X9jlJeU+FWny0bvPu4FCGx3YeCk5TNsdtolc1iXbBZTBCZ6+n9t6cD9Uw
4egMmdyT5NLdNZlGWp/tK9ux8FFEBArxVuVzAk+E+uTYEXi9FaYCCEsF7RzH5F6GA4hHM3yBTfGF
AYrlRA20taNaymVqN11WxPjrBcekBpQTJBeVGZGqKryemzvpQIddS7AzGL6CnIySJPXj/ZRayao9
hEJ7HRpVX5eK+S4FHhnb1RGmPbcRQw2EG7+QEFn3eY0YJbxjkC43dtAmhzoRUDpN+Gt4A3m6WEcb
g86nbyUAqqCwQMa7zRoUnugtioJu1ShDdY7nPsQYHAiN+xmPxttUBjrxM+qdofqANdQe1otRrqPQ
vNDZbAHD6ShS4NQjEVKVc+YPaEzAb6pG9assWCLqnsjdIhWKBz0o9wymwFOmV5u6tn8wqbnGikt2
mlpBgpniTdHjiMMYfdd28mLA3lwxw7vXsY3VagqHs2+fTCBsTXjFDlifQoGz2c5sIo8LeRjotHmJ
1kx8VSJrVTu0STn1B8RYVoyLSkz0vWxeh2Tq1uU1KpJxJQT9yNEctb1o0h04FeXszGIt6wNlhn+q
/Qo6H6RC5HtYfyraNVmS3AabrYyK/2ilsfMmYq7viOq0J+Vzyptt2OVvYRCxE59MDCQEzqMsfw0d
WhxdRG7LZNLxCmGndKV6UiSKRZcY9g3k6G8g/O2BNwI5XHwtrdZz6ZHeJieD+rwK7dgiMDACFlCy
HCkR5ruEWngo5MhQOoCzMvebjNLxdFbs04iEj9NTd2EthdvX3WqnwrHqR8paz3XeWNILBgGkIFOj
Ym9HMWWO2m8SGu7+7LwJmWZRnMz7k+X2ci1IuGe5Ocwy1VFhSzaXL78z1X/fZEnMt0OTv0gTvizx
uPGGCwvqaozwb66GloslE+FvN4tOWodAHnOd/R4uTm1dTeOjYdQq0284oUuyvd3Zzrqsogo4JVsJ
1HIpVRLWPDp99S4E6CDz9Nko4H0oLjAKeslsbrSy3nZp+LXAgBaUDrSVf2KBYinZATtsg5D8+uts
9mHZphXPKnxwcKiQOYcS601mdHvUrD7ZRWF0V89uo3zsP5NAAXlBAz4a+n63/LgGyhYwK9tnKp7+
ohqPIpjGIzXGiG0PAZFlYFFf2BdEmX2P4Dg2zuIEI7bCopN/7BbS8L8v2pk0rAPmmMu68+/cgSWa
ICvps7nLVGTORl/QbK1pjRjt5ttu6pOEk9nXJQMlS6hocDo75DekcxNn3pUvN7U5LMPfmvPOfkha
2r4LBYpzV6iSetyeuoHwqmK6jA1imsjUHi2jePHTpN+ziqA1lGpwDvrqPJkgQM3Ax9PloEsp+HIX
mnKN7egbwgumvQHb6dh0jHhKtOJ+G8sL2jB5Yez7c0oB3SwDSGXIUO/W1EdT2LnDOu0BkWFX/ojy
eXwhvoBplhtzREaTRba1suavCE6iajcOmbhq/bj3c/YLeSg+u8K0MNgTnxRGwSV3McX22NW9hBxC
9m0DrLVa/5SUXKSaFA93LA3lIxxoprD1q9bGwZNwFBvJUmStqcYVz7Ry6xlWRXIUTII1s/81pn5x
brVWB/lQBpslPV01dHNjWvDxXFurr9jo6+sggA2iU+h2dWyd+OY5nFc5ZYoIPzY6oEkw6ICfZyqh
POvuOPOMzyQ/XPgg3H2Bs/Vmaj+Npk4uZnWI8wn5IhlCTPzBrA8s8V41iWybIdreNu4460ujEbdy
OMAb8Fd9ojHPKqS8zzpDZcpenREKUv/zhYF6hZ6mrBZJp9yo6n+xdybLkSNZlv2Vkl43UqAAFMOi
NzbPNBrp5gzfQOgMJ+YZiunr+8AiqirCMzpCel8pkpakezppA6D69L17z50yCLVZvR/QRPi5VV9A
eTUXVSChwKDOfj5E8ZnkVBcMWf1DjjQNvMDfIiOspvbcNuZEQqMFDMUt8Kz0UBw0TjJZw1OXJuHl
2C92gccAmPqeqZQ+HXGvIgdCz4rFJ14gjTEYOza/VsaUIiSEsKj1/kbrQgYtFb3hMeq4y8V47dFu
462CVDCI/UgPWUMy+hzjxN64hPNCH/um5aN5bcequ+RghREZaWepm/7Wg48fQRvbojUCvMMZ69nU
kauMaHszqpYt5QPRn3l6JLuGeg43MJifNd6iHAxOb9KzZqWKuaNwEorqKVsGthM9kad4krD3L2jg
jjoa+501ZB8MlBArzxP4EA/+xXDTgIZzig6jCvJdxybd88CpeTw5g3HQqSjWHb6z5VQLsa/TtxHa
ykUUfK6pHBj1KUSMqvcBpDRxs2p5ReizGoeLq8R6H5L9mlU8m4gKPmeZ2TbTaEI7Rcg0MpFbJ0AE
DZoOO1XFXwubg+yUtCcCuGFWPFuBfqMzL3b8WPRmAWJlF/W2pdVMd4qkWvC5rdHGJE9GhJwk8v2T
6w8mYmzr4IjmOSEr/VRDIDw9vuKIYiwTLdZXtl3nWzBrM0sqJoEqC5ZpPwIxheOthSjpxvRGjz1A
m6PHx86jB4TUdO60WwLmZ8dsK6L1G1ch1iKHdEM0FHHfrfXKQzhiewcrq+yXJFHhTQTD4mtFsJ7X
Fh8pcdDbZD7jaEH8hGxlQKdw1kX3BfqjftPzX0hfja94QzZVl+mXzi7IyMhdAs/r70JH7WPZdbvJ
PZ3INCObkJbNI6FOUZP1In1q0iB7csswuaTNd0JcYfCCbdwjtAleyyk4aGnl7quaH5HGxa+9wGKF
Dj/AkbzMGBZt0qAuLrolt3E3CqRYFVrbtn2HAmGeAP5NUP9qaxULyaea+uWaXofayUL7VZXOuFEQ
Wpd6bt+Tuuh20opfVOvVFxFKRFGWeH0stM3U3AJJX0MLZH8RccbxfgTzh5zx0AKE0IsMwKIOVnJS
4bRqXYEIvQ/OShobs2iya2jqzEjrXxpf1IfcHZ4d18NjPyN6WkjuqkRGIMmJhQ1NFwKZqLYY0wE5
tuN9YaFJ92iR9xyBP7BCpecxwEnW2s6w8dPW2e4noi7XsVO6q6Ini2Qm66YuE7lMd9H2sUZyxbwl
FofdumvPUWOIpyjxxDZOOnNF19hm9qeh37QTApnDHq2mUT8NyIFuczd12KUqdj5au9+2jY1XSDS4
CiqkHwUj66gptkH+3ep1nduh28HVFodBfKfEAMqSj8VOlySNxyGeQ0Ygq1w11SZPEBBp0bCFILbz
UudHTNn+BdTDWqEyhN6i2WchUdhm1W7Mx/fYSSVDMW4lG4LS0iJElG3F8L8k58yT+ziy00uXFPKZ
8prBWJ3Aku9bfznPfZau4X02+B0Xud22lLowSh1b4s7QiKP0CwpsJfLXCnDPOKFMdcM+4URruJs2
s631EDG6bwwK2Mmmmscyi8wDf8umr43LoxQDFoOuWbbtQhXNvU1dENl1IQ64Z79UrNMWKs6VhFJJ
qyHooUQFyYqt7NTNrgHZD9hTRpoxFOstnqW99InKtCd5ngykhIav4Rmcsm2g0o+hBn1DpgK+IuOO
xac9mpp19GLVMtY0iBuYQF4wVtq7aBSIelYIJ/p3q5/CY59WrE+jgF+TRNlTN6GvDTzrDHeNoh68
TJeF9UpnkojQ8ZijGjqLhtjswqHw9bsNkonxJTCdLTDgfkcrioGe53TrogGjHUZpeEkltbdjTcnG
4/haRfqiFtBKVJl91jqZxAsXSLSsy1tEgvlaVklHdpvfMiHzX6cReFMkgOUlTKXOngNaQnokdkcT
4B5HC/cT5Q+cMI9Tq/HCSeqzm/Th5DRQRDgxzowu49NrIT8yU9kjYl0z8I1WQcIUNHQLsl9bGh3K
kOa6hIZyhF628WoS50xBPD1C5+GJ9OUnm7FeHKuvlgLvV0xpvWjd5sNNSN9B1dpetDakE4Ut+Qj3
dGPqVvdc1ToCcJm7rDCWv5VY9VZWWdP+bMQtZ6MLqsw7YWb+OqYeNWIlIxQvPDh+UR0zSPBNZ2nA
ItNJP3M4Yj8cUAOFRhgsCpVqp0DqYOLIFcBd3O9KYdHpmi9Ys0azb0EqtcvhbHkNAv28fNMrtyYg
Nw6PDs9+0JxiqezMWOF9ELt08t+zoCy/jNyIUeeyyEJEvGkVxoJSC15in4kpg2p4mMw/wPFyAG3c
YitdGEpeq1Z91lswrTn6QF6Xy5aNZh2iO2JkgRw96Ttz13t5dwxrwC9s89rKb03jHM2/paFzu8gF
yhK9oJifh+5JBsyrbqV4NaMgBGwIxs1lWMPxoVKHKCbmPPfWOb8UN0xjoHajQk2q4uIGlyGt5bFO
an8BQQ70MmRpoUU9YRd8AI6HeLEPNI5AymMD4Ii9dEdN7SMw42EQpmcaE0TreNquq4zmaPZEGlkN
YSUg/GJGQY7Yt3bxYUiKItG57dbXJB4Tj5ZEWolgR1W0MfuAd2RqonU0ubSOja7cy8LlvFbU9Yoe
ZLdyeg1aba7l8Hx4CwR0TVOI8aJVpKGavn50Surg6IhZbCSZPNpYceXuWjs7gYaun4VuLAlyYrkl
GW20v2mWB8DGLV51YlJ3MiBeMA6wI45Ge4aQ+EuXToJVNqB1MVh0FDM1oXanjXrqm+TNqgaMRNlk
noA3ettqzL63WQLpd/QcxDt6Sj8yZ3Ji5qfIprjAF1WvLExkR2DEsFlK5GkDE8t94pQIVHSGTkX8
xJ4cHF3SOc/AUsF5JMUFsuLG5JVtyyHiYCiDm09v8wwSlVX5Lcqj/uQmbQknz6xIhmjtQ+p4HNIK
7Sbj2Dk+Htwa7ren1TFoIit7kmXJ4L5HCucGlJBV5tbbCKTY2Yjs/MzLdlWkPVmx/YuUytv783et
E/8Cmb4+cqiH+TSwFvSm/TVztPxS4fG6QO1FQzXUxzhqkRhyZl07ybAujbG/5fPD4DXrNFc3r+Ok
ihmmfqrQJjmeOlqyIL4jro2ThslzOVWIsZM0ro5TJOJ94SX9Kk/F1Qi14UWfQq51HISrCGf+Vliz
+5gPbolZH66Zit1lpFsb5DHFukOvvI1calePtQu/sx8fkmx6GhruX2InvltdFe0MPtRLjkEbzFp0
9qB0EAIiBD9VffSDtJ5jLkOPLfmlQ2kUpvpFCwpx4cy7n+BBnCo7WVpk2h/zdG8VsnkCxgBjqXR0
XInqiQYhIp8gGulvWwnAYMpGSeM2HT11dutVpZlsBhxNMTQkqzyR9b7MWIQz4lHO3sCJhY7T1W25
iMyuTigzT6rOKzw/JNnK3lilpfnaS+NYAlTfElgf7cHBZQujahmeVF7yhL7lCSVgd0hpB8Lzg57o
FREujJw+DYkevYUCKcZN04gRCx1JoAu8zzSZM0Y8rRFHa1HAipJ20bF+eNzXnf0ZxfUPPbarrZe7
3zE2AwLvMqAOKZExcaOWyGLUWtbTpUYXtpw8JHEhzWncMKm2HYeh3VopW33MsWnTz6gclVflJtLK
rVs5YhUagbpnsj4pzTb3psO8eRqdkggWEQHv68OjTNub7qpy2RUtz3WgTC9d9Vr6nnuigfsaCPaS
1Ec1BRHTW9sK8LS2KJqKTLARGT5nbi4OxekNc/A2k/R2xVQhBTEyjdOj+9wOtKd6mSCM1jRrNeKm
Aj9LR6kSzQ8zGIpjXjm4v2Wxm+O6TZ1NplHN19wufiGBB1vI2L8rRWXrDvH68TqUW8mtOTlf+zDn
Ao6CdNcL9SV0O7UOIXkzdnua/Ls9WMGmA4jLEkgQSOgxuXUYPOFVsl7L5EjuyPBmSfadvrYQ5Eh1
+G2Wz9n18NPc77cstYBDFtK/17DCy0A3l2ZvNveSynkaqyBOkWpTHYrQWk5uF0LzoFOmeSplJYgx
5sz5byLXsyU0cjQIj+/jpkE5lkFqnjMKRq+nyWq3/gqsOuU7st5DDB5yHVlRt3D14DkAuUriKdS7
/45lp4bqd5j2YONHSBP07D0zXUVbVtt59VNcI1XAH8r+P3fKsA/ATAtKbMq26A+BkSN0BkuwiOO2
PzwewjS++C3ANo1WzaEZrW5tDVzcGVMsTNPYdyhpnrlZ6gXarLtE38OZJQpLjN9lcYxTgYowQ0AN
Y5c2hi3KEoIFQbNhMu7TWRMfAAlaxjONyHlwkiZ2XmPyJoiC3hcRa5gi46xZeCbb3wOkFYXw5jmC
+L9hnh4v54FAesCWHt8+HjTTiDeAz778NIf2TaqkhNOIHPz+8Hjlj6+KMh/+8O3jL5xyhB5oMkni
eEgVXCdAPeev3P/66vFtOL9hhWG8Tm11CSvo5yRZgOIMunQ9zvz8/gHRx+i3SMmMXXWPZIj5Qc4o
/QmHqouT4DBbZ1EZz1+WMwX38fD4djIoRuO48DDfDCdUbuOxCSadOoA3Y35G09zTpJ8/yzDIyEYT
mbA601VnaMy0goI3NmfzMQzZptTfAClq63DGqGOlaWZ2Kv1SapDm4DnyrrwYgzOT5UOGZ+Pw+CqZ
vwrzVG6aNn56/BGDxGEfOndY+ArOGJEXj4cWk8uq7+By/TdZLLDdA4Y47Jta6S0mGw6KS9MstyFQ
pu2IUOa/HjqzOCk8Z9tuzhw0ZRdxrpo7wgwHQXKZcQLBxKaNSFMzGqwr6Wdi8z8CsZzu1PhPAjHH
nhVV/2+B2C0sfv3xH/smfc9//ZNM7Ld/+LtMzBH/EoT2CduETk1EmU4S4O8yMf7K9SxUwYxKbNch
qfA/RWLGv/gXwoJkKGxLtw3+6vf0QERiwpL6gwPFH/8Eavo7cBNagz/rwyyX/3DyMXkOPC/T+QlT
VNWBqjPPo+noADgwgvAbolub3qTbGlvdL651Q3LzaNYdw0xM+r032Jsij/e1R2g81MVLvFRBdnWr
7tUtmJgbklQOfOpmdHKbmLM56MYkec/85OwQgdFrFs27M1aGfVNcTIlbOXcw8HnlksP1tmNq45F2
tYB6525p2NyigTtFlM9tTxYEvEtK9R4NLZr6IEsvzHVaGjgFLTETW1iVTP0iVeQdEpZXu4hIcDQs
K82Cm0IGjBY3FWhXpmVCfraVfsy1b2iKByyz+l2L7YuXtxO95XaBz4xlH0pI0aHTz434Mx6RpruN
cynTDoPxIK5JitnZcn7tRmdVe3igo4YhMY7SnWdm57kHkRA2x6xoW9XqtaUNAoB85TnZj34cOcbV
a0AwP/CvOhx3GV/C9lE9FATtxWGbW/hGd0784hjQfF44g4aRsXtmwHqOwPMWubVTOdQXhtYWul+t
H68RxAWU7MeIHjMD6qvn6/eQOCEzH6/USujqN3Um7jVRbZx70QWNWzox57qNPgXeV1TwX/1mvEXU
OAbiErjS6+zQ+M3aKdyLYw7bbEjOdhK/Czkdx56XmeTnXnS3UPf3RrD3Ek5lcJwtIwHOO12teDzG
tKG8OjmQc3OoYxATU3yOXJ2rIjqXYmmhBHI6tWktSs3CYW7dbyWuP5F5l97QlxBn3iqctY42XvXJ
Bnv8VU+REntW+Ml4KVkEdnEcZLj3bXH0K2vX58CtqRlwE2JTQTi0Q/uIzZrBfDqIVdTSSGnNt6RD
aSTTE5BhHEjXMpS7sg0PZHUBewjQxyXn+RMWfn9XDSOUKflODjqZUuFn1Q63+W0steleuVzU1vQq
qm2d6B+jjulTpMtUH7ZjjrcLuUSaJ/sqUWzr/c3LkZvXBSIRu2S3xhLdmB7dt/46TPZOjRFER8a8
8lJM8mKEvIPlcBShtQuC8RiF6acb0LbSIWxEA4IKKzmbcrrP1+RU4c/U9aVFmK4vhw8XOTFxEUMy
vNrheJsdrkylDlMvwO4m57qK3x+/Y4QOPTAyaBg1Br2WLlUVfPoNbNA0H7bBkL47+nCcuQ0Wn0ro
5CuQytR2Z+zA1w6xZqRHb1LFn3XSsEi0mwwepI6Mh+ApZFvxmQPPzofnSKzefQC5kHXuaoinazQl
OOrbDXjrY6HVLwlnqZg0q6q7WSBOai1jZMNy4H6HknonMPJGb6YIhpvBR1Lb6XvT/QI/59D2092p
pvv8CSp9PGppcrbC7H1+Y+brUQT9zYl6WuvTvcEq2glyF9Fczy/JNxX6KBhAjrWjYMsX1MNXFAnX
1uixtWCIyPaBWfPzagbZyQHL3Tp2id3o5VszNGtvkrvIcr9jIp1C1gR6gi9KC1fztZ0kw3F+bmnA
WtYz3I/EgFHK2MZxfo4jlgI6z9B4Fdwf7nWVKaZZ6edgWesoeuu7Zi2i4dUQdNG5mPDyb6rIuPst
kv3szhxxa3bO21BWXC/6hOJq32jeS1A2m1rGBy2e0TGKZXq6OvVwDeXwist0BZWlzIarpsa7Q8iB
m0O+wBj37gbaVwYQz6dmkBer1j/CGqqwH6w6I4iWJsllpjN8eHheIB4QQxh/tvl4NIgwqLiYtSBa
t+MBdMUFg2KpXf2+OJlgm+1ebOh17KopOdBmZR7WvU6VfgU3Vg3zl3JHussRX1mcPOtFfGhrc1cZ
6TmreO4Dt8cYcknwTtupvqy/NaS+KTUdvbJ9RSxF5qADeX84TtwI83+1KNoU1UGDFMCm4WxkII6V
VB+NT5oh12ZtqVfiVHDYW+XWD5EbOnI3L1ZRw201CTgdbZAeECu+zgs2vRTsP/GTx87WxtOdOcJ7
W1VfDP+usuGVc0G4iKwB28SPJvKY6duMNRLMUslZ95wLJfBmvokaY0btwxZbdoH7plRJFFfOTuNZ
bxV8VvbEcEGmxs22uOdZqBZJdw3b+L3ld6Q5qxuH+HCg6U8zhFste4+9nvsjPNXhZf5dmeFcHnec
GC7CQPRExss3zCEXgV5qraMT6yKksXbcQ/cezS/0qaNFgF2LfN8WG/do7tKBQTYj+69uXL2PXstg
JRYfcUAqG3CAhdP65Qmt17A0evsQs8SeknDk4DUyfrfJ8cOrzOC+JTRgIoy9a1Y0BJtlqhJsN8PV
Q45yHIHDtqL5RrFvQSki3iBJ5gQhJFDkuUatBkwDVJeFsm+f6q8DqDvwYEjpHjE/j68efzZO4BP7
rN0rx36OwtjYTLFt4p+M0NLNXz0eNKv+/Vt0ajzthT5Hq3su1fwjJh3Y81dcPsOqM9uToziP6J6v
IUVJ/SXCdVCNXj0xEpgf+hGXSxaTLORP8isxsLQJlH/w4VYORfo1jHCZBy0nJ5cQSaIoADamBMiN
enSHuxnuR8ZEbkjIkqf0Hbw/CBZz/leHAT/B7a2te9Us2AMWhfYGj9mu7U2CYXXM5TIe2xXNAIc8
HYc/aeleIa9htkxWUKW05ljSBPjtQXEYOfLkIIA7zcUJ62FDUYS5L/f51ImA08IrEabFmvrr7i68
VL5P0tuF7ALrKnTf61y48OU6kmty9Q0A+TIHAbsWHsinuXOk7IHdOLXoHDjtqsRFx8HFTlhuSARu
0fMEORf2FBsfqZYculxeXKuEYNHpy6R2d0U5vqlyVkhxm8c1iwe3QD6qG0DAW1CPS2629Qi+DdGB
+ws5ju0TvWr6SJ4okI2w/A0GTdgxYQKu4bPP+lejHl8Tq7ikNmgy391OMnqPLGbn9dFCsvCHov4v
aJ7i38tkz3AAhlmugZvCERTwf+RhYmBjyNAzm1dO8lkleyahrwx9X313uBDkOGnjsaKOGpzqHzii
Ai/IHw0cFOiegSRSNyWjeeHaPxk4wFKp3B6dfOcH4jqa6D9QRe7TlZ2xvlDoRHTyBqK4NfgDc6n0
Dy/8J//I/OtnFKjDM9AZEek//Xp6toOJVrPYGS1FPGtNHrYbrSpBMt0S0d9sM3pvCmhMz5HMjrAi
3yoKW5D/2394IjNx9A9Glt+eiGs4NkWbN//vnz+BwMy90G0YecwfPoyKm6QySbWj6+hPY0lhQLfO
AURAA2ypBIy4VN3ysVrngt0npWD1rF2UW+vS+fr3z2w+o/37M4O+qzuOkMKxfmKllgnJuvHo5jtP
cYTS86MZms9aQ7gqwk+KUGmvrUR9f1zeCECOUTp+UIm9Bs21kPG77g0fZsgC8CgPXTldcTLb2tcy
ne4tW5cZo+YbKUOo7Wy4D041bOcSxPb6bRLLXcgNMFfpesudkg63LIwPbqZfJ1Puaj6LPnBXKSj9
MOwwP9drYb0xY9hUbH6+i6pWjdvabW6ErOxSEsUTUtoFptSw8ze5XW90AKaVyVw5C+5aMH4kk/6V
9iEyGUzHdFBcoW7E5X1WnuLHx+91gbKQKtGwHEIGuGoWqU6gdcr5LyMuGiFH98rANf8NLP0nJPEf
ebt/dXlYTFiksIUujZ99TkYaYbw3LIyERoN0Qr8qD05E+v1RWQ930db/BMk1/+pzt4Q5n9rBKEsQ
yn9aE7weuwl/me8Cm+ZTGr+Q4WfH5j0u+lvDxrdxrYQAKxa1ieacrrpXjrtAB7KDSV2fdnIvphfS
x/d5cYYtefM8tSSQ/sl05otBpyBNu/Fq9j4HCeOpMY5RiyYAhhtvIltHn4MPct5QOx7nn9u75Qai
i+zsnUUBOp8KYCgevBDgijEcGS+AY5ruHacqut6AVYkEmiOrxVJD9Mb5fmvF6TlHbBQ135mqU6Yk
auXZTrkiGWllOOUuGg0bOpTLCF8gjLcwX2BnDAwMA3WK1sv1z76LPoKz/odo8SRTSRlVuc5U8JQn
w713/NcoUsuOIxgVuPlmpFTHdQGkw/yl5jhapNH7XLS2Zb8lx+ACVOlrrcaPzqAcyyOO7OGtqvcR
DhMV7Dve40DG50TPzqFrvRmFJAbwkFnjadDiT80od0TKr0iG3oxl+i5S/+DgODOvQwmKY5S7kVUb
z/ab3TH64bhHxXIc1xq3K3qDxzmpsHeGmlh2QyIYnweDTYvXofXUb/YstS5QwKqVI8hHc/UPUDIX
R9Am+PsF5t9YzCzBFgoTRyAAMTDx/fk6mxytqCzNzHfz8W0+0qGsfRN3sse/zi+ZifIu/4fV9q9W
falTcroumhVpzH//8X6L8gD6t/jfJL9HDtHfLLYJB7KGgynZhX//qnjy/75uOja0cBQr4FlBgP75
l0RhlbQpRtcddC1kZrKhiZNOr3COthXjNtSEC+RV1W2aqA3cZj0I/diEyedcZRMFdYxJhItMb+1J
MXdaSJwyLgnHns4AzMtC6OQpidb8m6IGIhB/d21+TdUlZ0TTBwts7rwQQ8m6q8C4dzFLdV0nAc12
4B4Zkj9vMTjqZvL5Kz95R6Z4bFvESjlPk3OZY053QmcvSWntBpOSvMnP0rlN/bCTHHTmJympQyrb
voym/YojkEtm3bnll5IOA5q1iZB1aL5nr1evOJvfgmw4unZ8zmvzzHBqrTXAQDg2tWF01idnxdzu
xOVxnIIn16f10dAvMGpOSXT3FkNXfBXKqYh8ydcKl8RCN6JPyXZBtNe5ipJzN2CHQdKe8km6qbmb
+wrzr9NrFpoOs1huq9eMMEw4GG+kPS7nQ4k3INjmufg+ng5WcIvz2j9dBn9R4HCJeZbLqUi3LPlT
BzIHXTQUY5bvRMr2mWfdsqiQeUYwsZFWWYChEv1YMKskuJLPSBuiLbQzEF3ai+Et05U1dZeaYx4K
taOy7Iuy3EPT3iXcy4oT+nx067prkw23UAtODVyxyo1/8Zhol3k7cxUYLEdfRzd5jw1+PsxHmBsY
5K3I3xQ0/nKJ4stgzatoAXTc+VSjc1GBW+KmfHmZV9Vq6j4K+Lea3hxhDH04rPwZi5ljFmer5DeN
7gE+HsXHsBU0F+je+dpw89zuJpRaKTlssuLbfEh18OLV2rCFdrYpaY405jw6pNqh/4J05F6F+pUD
3oDIArXpdq7G/KQjb1ejBpcXhBGBUISFNrcM08WoEG1RBMlmblmYb148LGyT//oOsMn+bkteMQqn
s2v6zyUtutb9nkjtRu3erv7+g/6LVYzCbf4PqDU62z99zH1QOWnbd0hWGHY3XrewSoe+Zo/gmovc
bIerZR/8MviH6wtN0L8vMy7lMzu0EAYq75+Wz8oyRyTKKt+1obxn6PHmfQ4FSJeqda/zYaTZ2e9b
bDycVQjFwmK8qyl4ypHGCx1OgxvFbOQCdQZyOFpWFNkJbc0ae81ciwn7+4wQtaBJz/WSS6PUGa5z
dwNb1lvnNZu+ig/zktFHZwX5v+lsQDK8dM5DKXFxfjaCbLcvoUHSF829GLhtVaZnmen3ed2Nuehi
kFkBKNg6k4ju1k2cnZnur5i63cgG21FPFNX0YcybUc6nGVsnG2tl1ybn3OQ8Hk+3IR2PmcO6Md/D
gZm8z6/ZnPT7JPR7jJqpQvfWJN81B8WixbGPf5tE7ToEMmzYrL6Y9+ZCxxkA8nLZN5xcJ2ulqvTS
4myT/hv9wNkV477NHYqg05nFhmy31gWP3efcDnG74SmnMv+1qLxtlw1nTMFMcz/rNN60fXa2Zw7v
OE0fiOJNn5Uo0cAyLFEe4jXirpzLOpxi7xNKfMzrTwFprqx+zIXDSiwm4G+ksYJvTg8jKufQ1c9l
Sic2di5qSN7V6FzmrrWgXzd3m0ZMlNporecmHGevj/lFM1V9NRJxrbTooDt002J1m3f4iHuj7+Ql
8Mfr/D2aE/TOeGHTQ62iM4jD926wzyGYoD5EhBQlaNz8cARtYe3m1XfurBWcFy2w77hXHofYUb26
Y/8hivhlojmDj/FFO8yrrqJJrvvx2WB0IGB/WyjQRa44bIbvFpnptSZZoem+Zt24HP0YDGZwlOCD
505bhlGn5u7NdfnGFs7Ime2D6rIMX+LKRp/Gz0rHu5Vab3EQrgvfQN48fYDhu5lUE12eHbSOcEuP
PqJXbwxczYFziFxiz+i1tW1Ke5GMjWJHdXsoy/H4uOAZesxlJIKt3dDzfrJ6WXQFABuu59N4WjoX
YIgreohoinvIfxY+lJYTpLx0DYlkwYf+QIRwwc3d15hNtRw4OzS42pCoMIKgvdA43T2dmPCAkll3
FYv/1G27iq4zy/HcJ5xK/8ffr1rCdP5q+XAk+kVps4g8qpg/lELpaMYVUIhs1zjjR97wRk793iS9
vqOJO2GNW8yHUVdlJ9qYzGh65syoeeg9zxdWg7RigWYqXLQYeHDXprcUofa8bD9+gGN8r2IK3Dr6
LLzxI3aJwZDDhc37xUvAwdkgi9I+qU/0g/o1cnPNIASbjLohApZnzSFdOSbdtZ7ivxjUuDOrEl+n
UtfM4ZAeGPpClyUlszud8yJizE0XyZ64TQY7qzfCqN7LGqR3EJeQn2hq1AW90Lagt6mbZb+45JzR
lzbmxgFYJUJFOuHqJW7Hu0cgRtd96rVZLgtu8Hl9CYE6FnGMCo6IF1Z122qPa4PFaV5zXhD4XfSq
JlGCNFHMuW7X33Eh3IbY2oEfXaBE7hAwz3t4GrWsw81mFqeAvDrOSyBikbPHFTnff43jvQjzpWOu
kcb6df5pc5kUGPPRODokT8j31wUzgfmqSBzrMv8Qj35/TXt57gxojBMY4B/mkwZKwleR2IjMx48x
4wnQt89GHHGe2OzqkiqoUDf9FFUYucXYb7uEWFsCE4Oq+Uxb9Wraw3W+oVvnP0v//wGz/MPc3TQZ
cP/hTl29t+//8VvQ0uU9+/F//tfrj+G9+ePA/fd/8fvA3TP/JXUm27o9K4gtc+7Z/CeXRbf/ZZtw
V3SSijysZxxLfh+5m8BcIKgw8dMdT/yGbPl95G7If7mmlBZsNw5hjwn+/8fYHWPRT1UvpYi0UAI4
Bk0L1hVjLpf+sKzodOhJayCF0IprzGVN91J1eI/bAOo5U88zoU44dP3ylgWA4LxpPOWKgBratd3I
/4V4npPpoxSSBGxKt76ZMnuvm4Ahlu7symLahHr36lkiIccmfC6l+9K34lQXckWWDep81ns45NaX
RIPbnehGc5Jm/Z7raqXhtqnGajVExpMtyE2MBK14Rs2q9Hc1wkMHCdqEjBAAfn5COAThrJLExDcX
WdM4LvKeKFgPx6ZWge5W1A55M217N9lImtSGYogVEANTax+xR8SEnRjOoq+x3ocwR2hErnAqwMAT
2Xpy9nUUsjBFoly7ybRVAs2eHjGsATYFK2SrgVRtPGI/ege5qIrptVSUtASgo16A9V0quAh+860C
Foev5ATGHz6+Ee6x1MBsMnuUQng8ChS9pOtWGeJZjSdgBPhKu8A4Z9mI7BfJ5+M7a6iM8+MrUSMa
5PB6dh1LXKaR95nl1dsWSWDyKqzmpEsxHBvNtFfjMIkVjh3tKZcFKQHmFFyLSsNe1E8nrEox3AsC
0IEz6tdgkhAxSIv77VtV+NV1lkzqkbcxDXzxkYysVwd5NRCdzlrIrAvPXeF/DfABkqoREKgbkKvq
aK7/9HioUVI/lUbxAvcm8wZn508OBj6E29Mlg7V4zDNjW1oZf6bX1Vrz+ZRjwPicL7LSXkxJU6xM
WZjs/wZxsGXu0Pfj8l62WuKe+pygwXqUC5SzJZCxwSG+oqhJl/PRXqVdeB1qJ7pEfQrkV4E5aEOl
lrXOQp32+dWzsVbbyaheOM2G2zGImpVyZPuS18hiBe4kbx9aov6iawUP+jfUcf7L4xtDkvPZFx1p
MQzd+9j+0mXuIs616I20T/KjdNLHE7uJcXrr5Wpke1/Hjfk2FP+XsPNablzZsu0XISLhgVcC9JIo
r5JeELLwNoGE+foeZHXvOrfu7ugXBZ1ogTRrzTmmnB8js39WYFI+srFsQRRb1p1yInxXbTWt8V8S
2DGIgdxmeilarH23jsYBPDU3qtUtdg5evRYiBrdSDfaj4ZiUg7L+xhEjjpnOeCChY/7yWtrHYwOR
ESrYStec5LUeOcULH7EAxGisFM497pXsTY9wW4567T3MGemnMc6rjRypP3iVoh2W9fEOxH5yt0SV
CtLcs9+8Jd43Ko8+lIEKVJtOPi6vJ+yQyy5hY7zxpCl/5QuVtcgxTuRvU4wbO3M7oYsPfTJyn/Pc
Q8Nc1mTYTn78XOamt1Z2LIjB5V5/NLb6AAYiozCFOHCYX1ypv8y5Vt9KC+/N1Ml870U2fjUp1Vf5
Do09uodBZAaT1x6LUvk3cgLFGeuOj6U29a4S3UgDi8CWx8QZtnbGSxcS1AESAPXoAag+OMp48g2L
HXMRv5camoQutpbbGp3tdZInYBnLCfUQJ9uRvFv3MHk4aIrCnx5qqI8PBKrtBnJAApzZcC/Pt9NG
XIC4IJO7PMKVnb/rzgs3lZSBcsv5DsbAdGdb/UjpMz38uYnfMt/GIj2mIE9WcqqaF9GY5Xbxam19
uQooaVo1yXlBC0W7Q9/3Yuv5CbWDvLPJfHqaoV87+fjmkLZ9PbZJ9Sir4iatZHy6XJvikXZ+As0t
55yY5sl7ZATCn1PO8RXxQeIF20bodbb9iPYIl7vtP6MKC13hFPe1bhR3fQ3OBiInlr3ZXp8JxNdA
F1FfUH9HAEDObGw4QB0nMz1GxiORg6gyU8/d1G5kPzQY/WgmRe03Qcp4I9WVaimQOggSg6Vg51u1
sjvx+1HmVSqB80D3Bbzlc2xp8kGr9JJ6iyC+NkqxvjVNumsc8xQLlX7B5jzhQ9Q+p82g061y4/lF
syr7QFWepeH5aggRwQq7oTX2nbTcXwVHFcad/MWihEDaLNj3GYz/r9HHkig4vFaAI821S6TSr2HN
lN/9AqURHYu0JT6s6X+UxvlE2OEJPLx6djToIyLVS8i5kb3xfYnMGA/ZXaWTkOJLSrdR77qhp1rr
tpslZmnBKdzi11gRvFWFauiinUPGy7Nb86OUbp8ep7S6ierGP40LBPskdmPM1nr25NpoeZNi/mVA
CCTfKE4fStzPdx4k6dQSyUM7WozVEZVauyZx3Mj6q7z11K2VNxqneTa8dLZGrnRdHRxtSJ8m0j0C
i3SjPRSA9Mno2nydCj7R5V6Wpuh9WRHgzoxjQfHBcbvl1naGOz1ehuPv285XK5WBKqaOEDVLD+KE
P5dLY8X7YUObrPspV8cJH//xcilHCxDkUGno4UfT2oyZfYHOaMwN0gm9NEXzYBgNGEaIuaVftrfk
Ke3cXP7oQoBAUsjlgb/UKxUTKmQ5AH+qKKbnDQVq4Uvg+PF25hm6woGPirh9NZFa7/M03uF7IKwa
SOqsZUzsI4ENRudGVw3WGL3qMRKTbd7dllpf3mmMsue61dkF+a0vLIgsJoVtKRasG4Zsj4D0i8BJ
xcMYpRneqEjfLWbkhK7XwbTPm71ptq+xX271WAFWV/m4s8fug0EYSk2r+ad4tkjYroeXlorctbKm
d4sNpzU0AwoB5ochd9ygmR9S4nQ2hsJrbFIcVnkH2tMCuWO6n+6cPS5Zy4iaB6OGJ0120x3aOUT8
XfsTpaSyDp0IWwelmiSjixT5emUa6suc0IKzc1mBeE03vYYysMZqtPMy1wpsS/5afKjz2QAJRBCQ
4TpTS20JSVmSZGHjN5+xRE7P2fqs9fYCtpMSOfz2OYbHm/rPZmt86qV23bsYTUQ0BYP1iqF3Sz/r
bqhximbF+A2Cgpj3FjAmcclP8SCfc9feSidytu2Qg8udv/NGEnwNv2Popxc7aj5VDfrbX+IjSw3X
HHUwriLsyTwck+QOgTyZGxsxYkeLVPRW+xp71y8ApBzM/YDiooHSNACzFp2+7Q1rM4/kxsPakwS4
xJ9GjooFEPsdcmk8ZJ/YQ34tFmwp0uqquUPemOLD0otDO4KsXmz9pe7FQwRgpSaSbVM6nE/iZ0RH
M87P0YyzkLjQJqb8ZpxZ9f0JHuCB2KOQo2m9sP5b1O0kvcDrypmDVbtXpvaej/JOxGBWaY1lGlw9
t97ljMQrz5gePQO/f601kgoA/c1kkAmAbBItofmr4v4sFzDwhsKr15OQqkLI2T+tEB18YhTBw29w
SnbZvjVsuSLVje4xwFkkxVdtbp7zVJ5ql625z1wPEb9pT21M4mWXyCvWT/mWUc1NIvIW0AEZ1ehj
/BtliGw3iWCD+yJqt4nvnqTfrEwCNyq3io4GkNngvOxOBQNMGaMviqqbwlevbtke66X6rHrRbKU2
PwrOx7CHvM3XaO5KY7kaGxQZdsuJ6FMJZSPmBpVPeWyGmosmvQp62hTQquCFJMPDnJfYJ2HKVh6M
14uOIer0DYc6kVaek4RLLJ5Fbd6Q7k5ekm+m69YmhrI1XWATfG6CpwI/JfzQN8ghl+pZluarPOsh
dN1+jbvixhyiMaCOn6Ib+24tzhFTaz9VkxJvP8B0cZ7c0n9zPf0j876YAW6jDuqKCe9i1ZJrKL0f
r5w/LMe4MnrZ4zIvO7yyw20uUb0huoBIN78r03uedetbOeP3nLZXVvMtpUVPtS5BiCV7W/KT21BY
EqTN/ZhT87Gbd52Mqis3ARztAGgUzEUqbd7A1/pgx72tB9O6TpJrFsy/9FG9xIN9Lx3nxmv8u8KY
MeujWZ7L6RU70nUNt9Bqz+zKxTjXUr5wLQAt4ACk8xnR35EbNdBAWRqHOEvnOCzzOrZXjgYrhXTI
2pO3eJY4KbuKg2ShuwF9BpPreKvp2S2VtzfiEWmsqsAhpXBVT0u9UXK4iqnxtcpM1hItm8jCrCtv
FYa17bC4wRJD1OnK8hSTGrs5p8F1Z1vTkIDNHJOw8d4s0lCQVi/fgwdJqcvbo3RuNII7kixCfaZS
/FeLk+/MMYUxYPRbR1e3pHusoF2/kWu0rzU321hKJ85T0oGZKKa3wH37Xte3TgpHAR30bm7ttdRq
usgOHRwX+mYlNPuG/T6p6k3HeqM2WC2xP9Y9vgN/mRL6ASiLfJncuh396br7yWdprgZlLtC5NhHC
+c/4PnvwBvMBNnX6mNfmSxQxtcey0UIN6ZeyZblhlSX3YKAx5fnDtFvo5Ftt/0Kps7jCfa5WUTrn
m5z0wS4kYy6hXzleyzYT91rxmJq09g27wa8LeD4Y1ImdnxVCfyEnRoFBav30YM2JD+DEA1xNw44k
GC9h7Haekz6t17ZXnQBNZxuFDCUUkXvM+dWOGp9U9sjQTBWvG1GcNA1HX2t7pxEk2i4WZ82Cn7Fo
6fywEaROegz9galNb07nDnv2iXs7SaL14nnlrrPz1zSrCT4p2cVXUnwhrCCAqtC8cPRr8jJNK2NB
PG8KvW9/SUqMfedh+Zn6h5x8mtUSOe+GiVUvrhn73mwNh6+XWEQde+ybHX78VWuSRFGn7l0yRxu2
tV7Qdt69U3JX3JnPwnCYLrvCAGBKmFLvnaRd3REVQthjIa7loOEhzCKPLPrjyPTqlX6PPQnudtXM
2pOMsAEoP0Wxj3K5KPBR2uP1WIkfxJHon/uUbkpexmu9tdhYx/QUzqEY3TmhIysSusZ/rl9uNH3n
JTcWd325fSR39eAAMvz/Hne5OxPpgd0YcvHz8yGa4INSjPjrKS93iogVoTWdaYk85eWmsVWkf+Fp
XGhlB5EZV0fhznKV4akPrHErTXs/QtfIZgpJ1fidlCxm+1n8ouBxnSIRFnJlaP2+lv3JQhADLljS
Z1WYDpGWpuqDEKZvN5u/WxMi0TATnOBjjRzH7yWHEQ4y5Kx5O5ZJgLt+IjSBtQLaAbFaLON7ngP2
lEnYNfp1Pad1oL6WpXY3RcEsoGz9qgXgY6VVFdRAeQK395NAengAgCf1RK3wR82QOi+XlgLYgxpb
NzAGd9gNowgvd17+JH1fbpbRfmrzCcCckb6XSeEcRF/s1Ah7Mm9cxP5Y6Saj91dYxMBXgnkJ9bMI
tDUw7APCQgp6ud6wxz80ww4pwl1t62JLaw3RmKzh61FNmn04nLlT4L60WZ0tRvlSEMqwWVxgq+2i
07BOsrfFI8xHmbFxFMrUf/8x/rnkUP9jKRVzEk9lfvSUke9ngoJwlTwUZz68NG801/4yHGpw4qE3
4udijI8SvEef6nh5u89ERk9uOmGp5wufbkonHPPyajTF2tCqg6UPW5Ut16Y+1uhqjCsiINCwaNDS
BLYKRSBdy34GYhubHo4NNilQ041jVFdxIBtjTapZHrjpnWpMdZiHNbCSde9rb3jnmRnc6iad/C96
2Hsob6vzEsG2Wc52Ec794m7Q7aNbdYe+vZvi4bqpWlwo8cZPKXoI7Q1pbEjtjyU+bWhCUNshedNp
N5ptzzmyxIoaHdQI0fUUG8StV/ltmNxXuRHtzGG88VFEYeZgIVVsFmkd1cYjQQuoVXNliQxLCuy7
gfi6GYmUEWWnPJ6AlWRgP7uKUj0b6pWWEt0gXY7gqi0e64HCZU08FLsor4CAarExNKIXXVNgAzL2
F9PBN06W240buiof8DjpamaRTROwuDUA9otep4na/OTNHBCzCVvGIzGpx7voUBHwKjY/pNndNAz8
gD6pkHj13qimeVU0MAfgda4nr1lr/XDVltFT3TgiRC1yylroD4S0zFblbTvrdY6iB60AHcrUdKiz
28FOEKjjQcfmnNisG/XDMvRb4A+sLyXBR3X5Eg2YPnSTjKU0ocKapI+NtR1KF8dTyy6ABQeHvhxW
TUfLUfeAfPTEATmxuZLW/JTA08FoTnCt1r4mlB28ZR2xY1qVnfy0avdAkhHkmjT7zOrSCyncUpmc
x9AYr3HHvE3R0B1M+Iq087q1NTY7+l4Jzk8UhTRDv+bZhM1qsXo0m9WUM40Vnv+SoWsh1HV4zJCe
uc6wUCMaf7VFGmR98T068kW3Ztg3y2dP7NRqAFmwsQ2XkSEa9+XyUKCBCX0BSdSa5sAW2pPn0jmz
kvqQzAN0/cE+inRbFOl9iVQ0JsKm6uc7hVNhr/e/6KfutP5lcNODSUjMOLR7UVj3GSicQLg66QUD
CRgtVBlP2T8Er1xrZ9Rsm51A3q1YoV8XkaT5jMiAGsqNLNR3u6SvcXZr6u1LUVtNWDUlKeCVA4TG
YUSzbeCSY3Llk771OjT1p+7ke1NqV5M1nKL42eNExIf/k3tgMBovutP9ySe2p9g4unxopXiB23e0
p+ohBvAri5E5Oj8uBC7Jzn0os25v9fV73iITFCnm5dr0SX3Ih9fE8pNts1gfUQZd0vWgJJZ2/Zgk
+UO5NAQEqa2xALfU2kBE/R2yzScUr1dkHhFfW32gV/qIGBQAHv+ccUj90Bxm132bs+ZtWM4yrC6U
VlUHTU3tX+k1LGWdYQXzFAb5lfHaWVO2IwD+UXr6A5lkVmStObueajHeFURPNxFWO5kSozAOvs4b
XK4BAe/8+Wkoe1Lp5xpGIUvVqKl+eq3fChwoeAnMp44pYIj1k+UvNTpLYo3malMv7mY+pxdlS3zN
1Leh2nZX6FDT7E+DKayJyHzIjVdTvyGoBh51he2KbNkpvsvUgh2DRdlCpXig7EFsEiFst1YNyDUF
VTH1GONsM8OHdp3qgn6/6T60mZMF3by3zTGk4utRndZfSSS9T3B/k4VkrF3WhkDTl9XY4g93iWRH
Uo8pSpCyGBgzK+hi7cQseJZ6ujt/xUPZPPoF1kiHESF3CN7sk0+sTFU4N2dUAh8hec0WSBK+rMJ+
xtxEWs6TMenXo8MV+C3rbukYPcvF3tsFNs30UxHKeo0l3V/ZtvarSItXM4WtmGZ+6C35cxfD0x+f
xqrW+bf0dDmR+oJDv/lh8UHKoFuvcYaFWQ8hpPVuiZ8EzzcDbqE5bWC+1tl/dBCxxPTiOnwoI2LN
ri1sFp2BaTJfrg1S1imNXtEe47kwPJscMczobWDQ7domg/iIEpx6eXKbjvoHTAAGeb+9jfWe857E
l7luOCuBoQZdRgX7vN0GmUZjPNavnEZQEMx9EtibvSJbFwYJ5RByE0mItygb5XzA2EP+ydwROESW
h5H9ZLfO22SDEXX1pyihwKHGH9a4z0PxYA+q3qQzeEACpukA85EiE3QvbSfmldTTwmFKYtaRM4Z4
i0Ehz3/s0RHrdvTwcsz3ccPrFwM+x2YAvD8axkfpEekjgQrMdnRtD8PTWBCHJ0WLlc/HViqxniIV
Rw+JcdFho+2jECmH2abkyrpUUnwSHg14qE82+c5pW29gStE6rEA3pYb+uujv5Zg9z7RgILtG1BnO
I2QrX7VJvTvmGXE+JsTTKP3KK1iHFl55Tl/k7U3wfhhHsZ5EF65sRd3dQGK4LOcwX0k0m6sHtL02
zgApA78Z8sFiAEObsJrQM68MsVLq8ENjuuIJEs0ZH4oV5x4tem8zFu7ZWJs8dWdDkew6xCr+yyLm
rTn2n0NL9MxkLTPnXHxyC/9OklZq9eZD304vjenfqJheRtFqv6jYQuxDl5DU1Q4eGqnqSco8y4SW
pvNHmsy7M0GbZNHuZ0HxgDKJPSt9vmCewFn2LhPB6Gdr6usAaNIPyvYup9BCMb0PKtN4ledqCtPG
1+QJsj5dfrgkz9GYYOTS3fuVI6HZJUb9DLt+Xfe8AZUIlxB1qsoL+YV6WcdXmu2Fg88hrtfn7qaK
W0KqzG1rKXvT6/4ny5sniKkDKyEtjAcyUL1i/pmS/rPsrE2fuqxdfQitke6wgYw2yH6gZPbDs+6z
fxrkCW0MP+/RjaknzfV40urEDAdFI1gS9l50+ZO7AI4FgEG8NPJkp52OCrZ5UICYuUpKUBJZHCXP
AlUqZZDYX9NhKymQv1tACYJYDQc3UtfVBPHXIh2bBh7EmAVLrsevhHxwS9eGDZb0V6k2PYq8uXZj
xjy/ZoOGTWzv+s27ZdBOSuI9njaKWOrbawTWY/ZNemasSKp4msZ83qQtEVIqyTa204A0FwtE9/lm
ruV3pbX2RpPmBl0iXuVnvacv7ZAFS9Ev/WiOE2Rt5CRiC9wlsbOTU+aYdmfve5Ae9X/6ekDRgayc
R4DSogU9wi6dAYi2JZwORTJ7XsGDaGLAXoaPvYFvvIvVO94I4Ez92ocgEvQmVnI69msp3Ts2tI9J
NL4bOcy+uffWZgV2qhfo2Et33kb9EAdqwrNYUN/S0wGK5WTla33AYDzrJ5tGoR2JJkg8Rj5Tw7zY
pBs1JaSccUzmdFPWRsSUzpK9QXnk08TpHJaghbdrFska/QzuVDi5HedrtAQ7GGBA+oDWLyKOJswc
XQ+VzL7wO07BWGWPbsG22aASEHQkEa5A9na8Mox70rxpc8Hblm82QW2ETLEwFqjCfJcIJL1bnmMN
+0I5YBwYPRimTuXN4SCmz8HlJrs0bskIyWDFH2I6LyGFMW6d7nt7WNZugswgqcFbEoqHZpvkLfAu
ut6Fc4lZoTE0FVByvyeIMwrByMdQj6t+bXhOGY6pOIsKWEzaL5Fr3lkTrMkopUro6R42+uq1xp3q
D89DhuAqQT61I3tUP5rdVq/cdmMZA2vbR7cx4K0zwBzKpUAfa2xS2vrOTVRwJtN5MneZq9krLbbE
JjKVuRkmJpnG6WbmH/07ZfMXJKgyE9/edHXNkA13FcRjPs9XySjHXVksxbqwnP1IRBajYbdnLX1X
DzR7sjG51ky6DWkx7dPcp0dXiH1c6Nj0PJYhjgWsxFgCwFXRVhvy0EaKvKkkSwTr7OBTAzF2ad8F
mXNGBEvtV92hxWujnPCsULb1UcQNtHXM5YGJ2xxScGYc1NlVQTwtY1GN+nTu5w8iLZZrWAkh3bMi
FCVhl8QFEtx6HQ3k/sbIvWgares6y68IY3yIhpGFh8c7m4nxafEJgG7SdmmSbzK6k6u+G+7Zx24G
Ify1ntGpVZVb4Purybw/SKO6tSsaCw377JXmFffE5/gv0ICo4dSNrX1RnVsvvbMtLqB8phmIeKfI
8FSoZSrd8nrviWoYNRVRcW5JO95q6g3hOx8CCVotwaYuicsYq5nAKaiIWHF2Y4OEZwq9b1yHbHTY
PXaPH3+ySALJHNabZFA6sMYHim3uJ/of3A1DeRZsZt5aZ44CwmusayOi6UDFZ6QfGbv6R6XF8jg0
2qnNwbK77pM3C3ruMKEJZgjge24aPhIgzTjZsy05aigr6R9QDkEasc9JQUdytASZKG/nYbky3bQI
ae6sRC9vyy6n1YEeWzcwSxmqhXWp+pjmEjumzl3WS548mB4saMi5w7ZIG3HnRTGtRM18AlZ5r5J+
YNuRsOVU5lNKUNxiLcDtaDruFVCHoPPH9ULNfyMkNK8Ib02h3VgaKcocd9cmYQuIClB+TN2NsSjq
EuzhEO+kLbwn7b1NsifvFwV9jHbPozXvzZrt3hjbTmAAli3FtzkqCF6yeM7PQZ3Ugug4DO+CzZfT
oBBC3nCnyDlc+Tm/5GJOrFw94iksR6M9aI4vyvBov1XmZl6aFnHLsiPr+U7NsbFKYoIAiS/AYFw7
HnUk7wa/hdpIwWrPqJJrtNwAL3L3GAMm3tjwDcg4eE1RD23nxps4zCMKFddCS16pDrIT6XFHO+B5
jYFsqd6rAqtL4Onm1k2hhmAcAqYLZ+eWxIiUNJe1gKxZeMMGlWym2yPwHj1opPpwagujldVWoal+
MbY39Cf1L116bZC5GYhLVKTr0h+uy60XKRBaCWp/0BJTzvo3H9TWx4/H6nA9DylbKoryrVkBfcyb
KmRP5wc+JjxUuYzY9kBZXVH4th3gVm0UzTew6/G9x+VxanS1yYdWBEhNdpYrf2Id8LCe/6BFhx/P
L+Ipx1w7bXoA1IIuotq4ifUxpyNJsBqS9GxN+uI57EY99aiQs7MpJhmzQ7SMQCdZjav+bU7fe7tv
1gU6lHVCXEPiuNUGYW+xrpFZrxc1nn+m7L43S2dbov/RddKtST+t+NXY7pcPuTX1q2ZJiq2qyYvt
6/zLSOjyCKd+jCL8Mnr+OtB+BxTDQOS38n3Jkh0raeEu7g6EAv3uuv6hUfW8qA1DOa9P1RZU1/CM
34oceC/aRDPlOsDSIqjqMhjS4t1B98/IaRx9Q3xFTsWKlrU/61vvEQV+okxANtl4O88tbvzeWaFA
AvkfDwQ9Vk0w1obcern8wuWas/lkBVwIt70bWuuYura/Lsnhal0N3rpuPPRkbdNVoVEoAO8l0QuN
KWj8GuvPtj8r140szGVDuiGTp0VFA4QH7jvP7deAS28qL5kY931Q9a7AQJ5tmxIGhMaMaWMuChvH
yaD+ym9acTW7D4RXMUm4ijpdBWn7EOvmwZnobI80u6hoWgFeJ7niqRkZMmltu6PjtlQ6LP9BSwob
8YX8QtrFJoq4CaDDc7+dTVOi5kGqbBvatsb9Ioh1XIT21cWTdZBNve+En997V96jPiUVvC0PqHDm
UO+MHxzz2ykyHK3ZAoiNEBkCFqMpmW6mZcUpwo5L5h16O3jYxIXMAbkYEaZHQCKy23omgmEk5mLV
Oj0xorJ+wcchfjnSvu9M+6O2c+xRBDyBlBEbRjXl3tsUWLemn2dHpFEtnRwWnHizbMCWDJC55QWU
mWDkukTBxra3n5oXwkCnfQRn/iDs9qOWqj2UjRkM0YDj0Dzjelhi1gMFn6bTunUHLCaO7W0CW5SY
GoD3bWutKq24iWYt3+tqnk+6m10Vcd8dorQjPXoRQGkLatjZsu3qMCNrbyWSoYUTpAOzS0ex7qnQ
BxCRQKiPhM7z5wpIWES4My02QlzXmeNvNScqthH9pVBcKMvTGFIc2RIrcqNpMXOWyWHgqexmnp0H
vY5MqCn1HnimtZ1i/SGlF7WbRAUjuY8Ote3o26qsDorG/kH3/GvNJZtWTPqTToXQBi25ySOhkdg5
gjA2vfesOScWkZ+6IfSc5mEOclpX7Fr6Bfvw0HO+ky6Avis/+mfOwSKTEKbDuyRwd5sw0lSOVoZz
R4WMvINtbk4y0AsLzVpeqJVd+XKPDkQwlLwVSCqCcqy0Db33LmhS2kBcmpnDxK1sy5xdN3yVAYOF
3eonfVDrsfyIhJ0/F1Fxlxbmh104676BqegXqqYqjYONsKlkvC84FFDUYk+BNMjuF76t63z1Xf+i
tYO/BkW6idyECJLasLct87Joui8nLlmY+i4c9L45jVCwEMccxrrBTtPGe8YpdlNV8jJmGqOvibSv
9KPtdN5xfkECrW6sNH1taublknJ1qsFqKCS2DA7qnelZB4EyaW+2rK2JN0GQvnZNlk9zvLyZbIYn
l7Zrk+VrUdPFSPtfkdGla9wEr5IY4iCihBewQv4eu6YA7lwlgd/3QKVSinZtxQJ5GOd87bobsHLx
ehkHWE8ISQrR8WbJ4wriNO14/xltCPcIQTRwa2uhOixeBKv70FXqUcQd/K1zmRgEfRMOdf9Ypj5p
i5Lk4yqyzdBOBpCFDE4qy6PDbFcizGTyVBl2GRi1hXbWMFXQLVq1EQkjH1oSLCPm/N715U+fTw1C
Kfe27oS1dfzF3gAYpQ3gN895yhIQHvTzMPK9WXgvw8Ktb5RoqfEaZFYSQfcolFp2LVlNIPQJoEKG
IAkUokW1TwgJ4oNaydEvp5Kz3C4Pl0vUUxBr/t+3GezeMWr+88D5/Ax/nqZhKURmUNJXRz2r2uDy
wMtjGnye//2P1PE9jD//vGKUN9x1uZ7OCXdd/uE/Lv55/t/3ELYsDW//v76L32/y9ysy351TgS5v
+/ctsRVlodtaQ3F0OjKPLk9zefXfb+Tyakbi1OUZ9f7f3w9RCCwhLg9tc2fpfn9/v5/8cuufZ7lc
Eu7UcT5wkO599RYDxwA5AAaiKidj3+tTzTBD4uHlUoT24felP7d5y5Ki6vrnMRkiK6pq/zzycik+
j9R/bpNQBKYIr8jl9t/PcLn39z//ea0///fX09jaWdajx3qgO9TR1+kAwo6G2OnPG2kNjQ7E5bn+
42KNhVis/zwbHK8zHsp+ysuRrbnKCeLxBnHiLKwOlz/ZvFT0H/jz121/rl4uVb175eaVD5f2f/71
cuny/5dLlyf5c3VhFcreBxPyvz3ur9suVwsKWVTgz8//13Ndbvu3f/H7Fvu/tAmTgw7x58V/f9w/
nw1YLYENfz3N7wf929NeXj5f/IMvh2brYO45gLLpQ93SFLsvrrpRShvt/Oevq2TzmAUQ9v/n7lFs
ssXbZP654iJAbl7+6c+fv24jxzFamZNFjM4/r/DXy/z5379e6t8ep/tEMqLq/J93i76QRFBSdM83
X/7BakZ6gH896X/c/9eLXK7+fbfml81uzob1v34F//a+/vVpLg/8814vj7nclqAgW4+u+T2kgxWg
80VGeMnCrcae1odeml1/G/eEU/4eLkbzWbNlES3XidE8XUaDmhIe2XN1vbdgQSXM4FQfyrWBf5OS
Ils2h+BwJrGc6AYdsFVcb+n+dscZGdLRPl+iWtdZbLGdZq30c5BJ2dwYOaUz4ZWPIurEzk+ybQ41
rB1SSo4aJU23qmgjStR/gxNvmkidpF5fEyMOVmpgzSzL+XZu1JcVRWGeoCcws569B31YaoCY14p5
DoXXokgzRLQtdfHlF9Oj3vj5JmkRRZQTgcR9B8qdZLG1UbJKwihdksmz6lJR455pEjx/XXkN9zhI
alPSBSnJJEMLQBPbhp1RIQhgKUwXnRCnvMdi3Q77Scwu5t9F3MH+NIA68M4ctquT+8LShK1NT+Ln
KFnoGJ6MN2l/XonRA1clW32+07Bmr8JO7wQsywno+WjrSOvp5VKPwdSC0H95Mq1iXzXNNSpdSG7S
em1H4MuE4G5YQKVrIlVWrFCukpiOVIabMmTHXoegSOZkuKIqwR4jowyoiVpiDdTxAtIFIEs53Ywt
353dm7BjkuQxpoe4NMYYEM4hw4aNufTmU66mH+nyxXjKf6WnTntUEaow51mQFjxPlQmIns20pXd2
ZRCjh+gpY9/SJS+t+skiFpBCsCKYFtvbQm50tabf9Qbtb63ztqnl8E1blNMbOVrrdhqfWUtOG9mK
Oih6+eWmt2VM0x5dIP/rUEremhrETUOLzyHAGivzYgncKH+Tyk/WtO/LXQPMCiFCgn97waBv9cUG
by5FWIsPHqNr3OXe3ZT63c6TvOlpQfMZYwU4iIofGvJK4vpwUHWSiWJP0DbgXOoNdvaJ9tNH5RJ2
0/X5CDIyp78ukuWbFjbLZEl7oLXAtbnRTW0Mny144cDg9AOQTR90mpHKEd7YBJbILPZT7hVtijHs
8IZYUk7kNJYb0jq17ZIL9M49PGEKsvRwjP4lSnPE/E4BVwjhFVhz3jCv5aAkC8Gc/hd757XkupFu
6VeZOPfogUkggVsSdFUs7+sGURbeJEzCPP180NGJ0ag7ul9gbhQhadcmiwQSv1nrW3o7THrGvuyi
ozP2ZdxFd7MFB0/5n01RiU1sxh+zJsLTN4ztaFGXWc4V84TkMqmwcgXJt7EqX+spYa49La+Bmk3U
J0fL+JFBhfgkddKTY8H0DjLzbukjf+vMRRgl+pGAKfxpwXnwqb5rUJ37XON5N/KvXFnDflEUxgwe
m73hQzDlhnazMsIlVQ2h0BWzEKM+L9zS27EfGYpb1k08MZ0o2b4O5oerBGXPTNzJ0D50uXpCTF+Q
KgGiPWjerF6DiBDl1oe2UPT6uTYjh4waeDgtwQcMaTT9hjWZmyAmJLOfWXdkMjm6Ys2nUNa9lwlY
sQxFsa0VBT1SVyqTcAHC5nwr3pnWcLQcBJdFMb/Egf6IYgXNIq2/s+V1sfMRmVryZaYJu3v7yVfJ
k8Z9cFmlvbUfL7Gcmp4OPvpp8EPGVRPhslsSKnqQDfZvVaCnNr23bMRNPi0vugjOwuaPkTVy5Zjo
7/pFkEWIpKVvunOEPoTR1HzIk4QY3KVKjvOnh2U6Kh5zMG8QD9kLQfIUmRGOA55Bj0kiJgnObsEi
TJE9iO+cAWs7hjHXxLatB9Rx2YdeAymxxlobbBanZsKChU1LbXt6xIS4Yynx+3QEojV7iAURpD7C
QscoyLbrCtmbSqLcBg4Cg4lDUbwSzVGEVlCsynjGEV1XvjQuEahuPxMwn6/JMKQBe+Qr+zkeWxOV
/a4zimcvs+/0tA6nX7TH1henPVZKBBGp/V0b+XeZ2l+dAv3PwHU7mOD1B1nimBko14AUkWGDkMYv
2Golc/wKo3Ezleg6x7l+MDN1rbp5W1bzuRkYdHYMrOyRN5zY+6DDemf2drubDI+5ptncsLfapLUH
71fG9K3xdKpJX+UbqXKvAUuZMR7tvXibkXDGVl12EvNQUV+XOYMtR56U8j66tNnVALwTvyhD8qmO
iSXhska4+YcxQv/hjzAyceOA1w9Bb1q7wcnQtY86Dz2D3Q3ivhl9QzVhnja+wNyck0jDCiUFXMwj
GiXpkYzQPgprOci+FIda2JBGxiuikJ+qydwLq0CIniAPmVXxlrpcZkb9Gqy4BL2NEx/csLpHA/xY
usXzvPTQV9oOnNfyVU8eNCJ0NYyGS0/tvXi6Wnwi3hm4Wh1SVsvzruoGGU3dsUmtWcp4ojvlEQqV
1DuMZHcyhjykb2zt34O4ePSa4Tx5LnyWEYFrcexE8ZZPXBNZ3+3tgdrA0edkQUQ043MzW4ZaeWPf
psQsO+0aTYSctjjSdaM+LNj1paOHxL6et9yb73M/vccdO0FZIAn1a8YEKRvfMv8aZfrkqOlNq+Un
Y0mrY+ew6JRwsfKR/eoK963vG1ylRJagqsot/uEkD2JBkFIvKSmjFjbzEsOrCOKPzu9O8YAth+nm
rvJLpB+9/OlER+oYT9gVsgFdWrB+MpFbGIK8qcqswmj1CPXVXR6bdEkII3aYog6TF5zeyi5bB2T+
qZ5Y02NSI+V4FjWhkDybDftSFQP9coSgXUj7uOqoVRNVm0aSfuB+mSXGI3N8HXhTJ7N5SRsS7qCH
PgetccnJ95C2JJAMg+Sjj6+thjLBtQ99Nh6nOtp3x44RcsfHwiGBVCLFcrUZWRO+JzOLwUE216m/
qhcg0Znd7IVTcM7r+qEYHNQMNpGpKXfv6Ec/RTFd1PnobqupfUEVcraD/nbwi60cxrumj9/dEjHB
EDCGysbiTQYkDpAppbfdwlDLEcyGF66NHG76hkPsRbUg02qioWGdn7klD6QpL6cAZ3JdXuMNQG2D
GQjPDLfL8OL1jOWWwp82XVwTicOABJcPn6ZAz+mU8WPtFT9QiRC+9cWI9Hp4ShnEH9uErQqCHolr
AY8BuvMq1pdIt5INGsZ3bDAhR66990q1l52+ctrgqq/JXFERWvoixfPFat0x0BVgoSbGHutXTGSI
s7gM+R0+ZMnHKCUOghKVVTjYklB0POzMWdislg/oqRuuOcRMaKg3btem973e9ZHXP/KAo5K8C77B
Qw9nMA9bojrcox/1j4aY6eaC4R3N72YmaAu77PDedsE+1j5bDYJjrADJXMGQpmUrUtRrWA4JGaqj
CFNoAlXM+oxdH4LUMj+Wi/ZP/lK8SIr6hif4oBt04NTGBJPj6wTnkaVngR+LULmbKci4XFR6b3H8
hCSioj8lnBzJyjlO61/ZpYzHLdblufMEefpaT9WnNaFKWdqO0huTUJT6e9a9V0OsLj2KxZghG7ji
a0qQTda6ZArlz9Taz74HigLoL/poe/piKsWyBeTMtQ9XLyIzOveHj5gEpwx0LNmIjMc9hXQbXGFD
oHrL7NYFSkMxXgDJAYy29QqxJ+3mV+8DQBZubZHd4k7GBsTbEzkVO8smsWEuDZ6tkj7YG26xobLs
NfJbh9k4O9dPRmLVgTXbjVILW8wl0Qd0uU7HfnuNMkNB9EmnrLZurpC9Wmz8JReN8WtH9gc5znDN
2Q6mCZRXQR6QKbZBgpi4KClEFzdGcJf72wBTTra4V+0QPJbG8MNqB9z/OZ2iHZL3cMYpvcFqtOt1
fJtpIRCRqDeCoi6GarlfHIYzunmHMIdaNUA0ZtbJUyOQjE5N9OSPCGiVGVN3YspHK4sB3EfLYYIQ
QJzCemU5am/epJX7kQ0lKOMRmGvs2XvhzI+2iXkp4w5M+IRzkcar5OzHRVASkoRIXDaJGx5KkOl9
mS7Y+zwVkru0LEe1I6mcBNpRXMcTqCOszGuTZFOOdVdd7r4QkYp+UPMPrV/t7pI8RM+cWAO4xoOo
xV4L2jEOqRpjIMmt6fzsr97dkajLPOdgM5xLJ+nedOJ8wtqc98D2H8w5ArJrZds5Loot0GQWwQFX
f23MwY7CJOYOySmoHB4WSPrq3Pklj4Zs3Wn4Yan9x7m5SZVrb2fbvEtR18MlgtsWsLs3Aq4S6dof
EPd+UvZLWAXrk2OPR+LAAjYP1r1yA6RTVoCo2ME6Rz7i+gPgwIlfQ4B1nPycxbg9by1EkdLSPnVA
1mytAAkP4o7XzFKnNuovDQSKqkb0R0bvU1ZUV4npXehWEZxA/Tz2ATt4uC8br1gtf1m4qbvlmlHA
ayO+ZyRJTUn0FQsrfGLdcCer8U1241da9seFpbZnW+/oO92wgfa0rRaIc1OLrW+BCNxx8TTiQefy
jk0qQ20oVRrHksGOclNnwVvmoj9B/0RM5/0gTBahtO4AbPyCVV8UslS6KlxxFhabzzzud95CJFlr
yhvQwZcasESYsBUAiftka+PJDIZqHyfzPQ43HYI2uCsj4tV0FoFhXl794N5n1o7IpJRg5VbDQp9R
YFNgehJfUmbX4Ty6F8jGNrodDr1M0A/hei6eFA7QC5Ngea7Jbdskzm7KLDoxjeANv0G1M2yPyfNF
F2O6tDp8fnG67IIB72kld6MyX42iuPDbwT5EE1jLCZKcLjC9KAnGS/dfierCmYgo6gs84RQYo9y4
VJV0X+ONmZ+opN2TsSpPdBqgkNEeL+PtqPcNfB/Ba6UcNHh+9j3L5DXpk908Y0g29OBss8BGdDW/
1CItdpF9KMCQbCqwTpsOV4uXsdoTw2tesWGP2HaGUca3FngtWpiAPL+WzMlAHvlj2Sq+8vKnaeLp
7dYIWpuRkkN7/TbwiStlCVAhEgouRP3dRJJAwaS57uNk7+Ruiul1umxy+xMQxDFKsoGmDT2y6r/S
cX7KUbHtjRq4tOKOJzdO0hsG3Erj2IGF3gckVs9zGqP17BWbLxC0Rh3FRH7tRKEbYjQ8FgMRs5A0
/a6j4mxKNE20YC5tvduAVuyOyUQoiE+dDWDU/h7JruOLtdhdHxC+vUvULHKZmJ8E5Sl3mm8SKd29
rIvvrMDqO+pxr+zkeokRqir+se3W/b253LRJcJS3E09TbsVrnMofqR3tbVf/gmS5jgJ8XilnlAU1
rdTyObCmy7k1UHIouvgagr1uBboytn+S7VUe2AdjHYUnzXwuXJJWCvjb+xQBo8eyedM04zP3KGoQ
q0HkMgpv18bEdhCgVi5DHOZZcrIK8wkPqhGmbP+e4dlH6Iujuz75DqYX5Tsv6GceZQndfoC64qKz
2HZRlG4QdaBIQksp6RYoeLk30ezW6qBAkDtvpmfj/3Cep3Iw+EDb+5oPb1ONoI2LfA578K0a7gcB
Czpc0GrxzQTxGQvBY7x4sBwp0EWcwJ4jqypDMOLTw2JSxN81OCVzOFyP2r4Nkviu+eHgjWLEfMo5
T4m+KwSdmtfa6HZGhYTAfE3azt7Mdn3tFuPjhE5hPyfpbSb12QnQkfnsZAVr2JAm8Dxi8ybT4sH6
QEr9IXEudyYXZu4+y8R7sD3CneP0KgkIve6xoBTzRddyt8RYp/3p2Dnm69C7YPCQhPB7nTBV7XHj
MozJeP7LJXU2pq1ParjOlXfVcQAEAtRz21tv0dq8+kAmF6JKlVWfc9tbGNx1X42aVq3AczEQhcuE
dGT5R+FtguIvI64WqhjSXILjYuKmctkg11H/WQl91yTDAh/ApacZHmQhLhFZdFuWFNRUSO19Npa8
MQMYb5n9UABYLGVsuGtZ/ZWUyTFzAaPhLTZz9zvxW+ZUbUtgDClkezCa9txc514+bVtVnBo94Scx
m52q3Y/c6i5am01s4KY7gHpEbfXOZxJVd23q7ngLl0NyI6EhdMt4rgzoN7mHdCMFfzE69xE4fzuK
fpfKgP+rwwnHzqORv2s0Di752EZsgsQcbbSdZRM6vfUlh/5kB+kDRJz4VFf5d0/yMh9U8T5b+iUH
Tr+pHJzGXc3vnI7Xcz5e1VlKXmL8QQnxYa4yZ1kTfNvM78Oa2+ubPMiNMsi3yVITOmdL5M3DH5PK
6TBxZIbOzGjWTO0LVOtME5L3AEvQulM9l0V8iQr6vvRHsZGm8bbE49lUAVA8cJAc4UBRDn1dIzEg
8GdEsJiO6WtatGL7q9zmy3WKz6hpIgr4+q401AYJG4eLhzsmwvzhETtZjTBV6QqY6BW51ZAcXz4g
htxUEg1JhfplHrEwJVb0kmWoYt0B8ssyyst0EQ5rasT0Rh0fPFWNW3PbL1O2kTLN90ssL4u6+vCE
ekc6fqPLyN+lXKfcIS+4HeTOgOkMbzodfCjjxHXKcYh3RGxunWy5NqLqoir0clAk77oDpB8eecbO
LUhl5u5CRUk0hEZhvuqpJx+L3fpLNU5wP0mGN2Ca6Mqp6LiKqyuneIYgEyYFGVJJ/5potK/rJbjM
yt5UlEf72ONCYZZ/jd3vwET8NZL9NZPbm6iLTLoEe+R0snZu1lwWonzoE/utnDxBo5dQ1o4EOQbL
LhFggHWVPqBe4DlsMpRheNwc6cYe+rl8bfrsi+73cfT7/iTxgzjVEoUQBF7d5tw20RvlwXBKEkqU
iEH92fDFrkVHtUVsn4Niso/w9RjrZbNDyaDiczkb51o2xjW95stUMttdBrlvm7QKUVqM9PQIcTDU
MBkn3uhYtYD3DBYE/AUwrIwv+t7NPOhH+LL+cVqM64au/BSXOUNMP77Q6UjTaLR7Z+6MbZMhum9m
9zB3pUW2OlpmtQCujHNJo+Yn5qGMrMM8ByRRGz5y/DnwtzjAyntj7tDUQOY4/PGv//3fovKYcV+y
vgllkeZogRubZ1Xv0saX9aFI/DCupldfpFcsfoY9oeUzZs/5VMsyx3Eg3z3myBYG6o10BuPI77Nf
LArVQURM+izQg533TBJzd9BU6O3IM0y3DCDT/qGZ6o+BvG3GPTx9FmM8CUsHBxn9SjkDeylYDSnm
xkunNHJJVAQd3hTCanosTJT23mj94AbmpqHCLqPo08kE2BwivkOoSoLMrU1iIsFqPY4lnyi8cS3Z
EgPRpn+UkfxKAhvzi9hkM4dwNEQnZ0nPpmBi1Qf2S5BfD0gR8AhfqfXl0nUD43gWaaPJ+xj4z76A
iAHlX+C/2eo5Oy+md182N00GhgFlzUMV43DHyHRqwRKOsbzBw7hppf/dTq7kYQjJyy3uCAFiJG+U
jA2JshVmPOKCcLgjgmreDWZ/MWh0jypW06Ze8z8QunFbO6dKix8YlXRv8FPQias8YRLqgVu3ZNNx
ZTmEx88Y70BI3bSZfp3KjnJoyrA1OuXvmC7dVZ/3h5jxtunSKTtxwAN2BsKCq2oXJOZrOkvSaX9R
QWWXZrt6EWg4m9SvOB6zh3J8jhxsKdqnR0ti5LEEJ2+mHs7yVKPMWNnCgPjgXwJdzVLTeskDTuu8
B1KXM2KBBuUeSE8WA9MXT4treuxHzyxfutIvdkaLwUBbIChiYqhK3yY5FXVKtmZRJeSeZtI8CiaH
DKnQaTL2xPi7FOxKsDQ3BB8uABgnN88PKIP4KfvSYRe2N33vY8GQWI6MKiPNckXH/FS3Mt76iR7O
cCAsVYW/zT3P2kULJEgA2ey7FM5iSD8bKKuQL77zTN22QUVEwry6iwo8I7Y49SWU+zlmMdUtDJ+k
hDLLkI+nTW1gNmViVtTJKc70WkDbb66H/5VpZXzgT7e3ZolmabSRt62rp+hdMWHBuGRQu/ZnjAOY
BjFUxmTSDBQjdxGYFyBzDDsH04Cfe62NFUFTDs2OjPOWmp+1h6dH/zQoJn7pMozsy7hgAifOYXC0
IeI54HdtPtypkiVQ53Z8NSO5pUF2FbtwFQbmNlOBHHlkrEkt1ZwyjYWGbuqQKAF2YEjNq561O45S
DjFpSzw24G+FeRM0wjkIc1B7PRPgqTIMGnlFMDqA1CXm4RDHorscmbfnPpaGDIy+V+EDNfsntmZ8
/9UCbI6JbJR2GTnCjNXpW0uMr95l6+h9ZTrtdlRVeu4l+1PVMrRvnMm4bLmKYYABCyS7fEsD8RoE
1a5y1/qz7sGl65Obc5IWaf1ceYtzxHNGEK+o5wvRrTuh1jQ2g1Xi25J5S11buJt6YKwmEi4LYxT2
JfvGsudGo83yQEgX2MYk6UpbX2wrG0qEOzb4ZrlFu8Zfb8mbYuIl8plb2CladyuEcFDRqTP+2pfe
47ONrN6DspejoeG2D2HQtx6/sXJ5STvHYDbFHscaKxnP1y8uhHuk4OXZZyh5Gdd3JiMUrigW3Xwr
uyQHO+yARNhFvLbVEHWvOEKttcqS7Hp2no8SPIv1UdC4b0yjNHb2IKoDy2Incat9gAyTdBBeT30Q
CtDfl3ZEHNv8Ao7h3GipoSZkNXpKrBXVzIpoASAwpQt/yPgVpcEn4MafjeNBn/aHi5gdKoPDwCaQ
PJ4Zm3vNt90XfERzdqtXp64f+c9Fov0jPiUNR7VpNj0a1NBW6jhUl23FlexGuKa4kSCzNFdi7jlu
pso+SRtnJ2WFyzUnGut7it0P0/7V0/JNvvMdmag711W3S+eZF12KsbyLPtDu8dPC9jB0P0aQpcKp
4cgklf3aM0Z9PbJj9vBPZYnedYnxFrTCR6rQmlvOOyQFwpC7YvG/klyw02HttUUZS62xUIvMVKz0
tQe75qwspzkPeWyfMieaLzysOJuU1kdUA8VsXE97UtkPRZM+9EZh7lv/1hYGhaE5P+sJQFVnMhWe
2qdesxHxRnx3cUW4zwiw2puKhXcfg5ju3wqPFZnza+v0lvCgmSaYp6LW04uwaQcG/GqbJIAHnx3b
2k1u4hpXQu2wNqBWGTv0vLV+Ax6Bpju6yoccFPvwPfoM9JuMEbyOjceeoUBtFwEhhRWRH5nzpCPa
w6zoS8Kuxg+D1r1N5Aw5LBWnMsvuDAGg2Xeh28iFMMk6YH5taXo+qHEM/5vqx3TGz16bVCwekcyc
PYe8qmF9Fp84yiN+FnOJAUd5a8uWEMoo46rCV9Q2bnFIHDCeiwpzIzuWJmyhNnJuVQejukaXvHUU
fCS8gHMTXHIdVVuL3LJd0o/jdYM1S7QIWSbQWcnwMc/1DU/YjCrY2WAqSWGiVuhAmv2c1d0ZZxlT
/yBriJtsvrMOLQiJ0g82+WDbRDF6TWoXQp9icIKBbripvG1aGl/M2sd3Iz6yfUXGbgig1qzZlqn6
khI+qBS0Rm13rVZnTmaZyyGGaneTrv9wmb6VRiAv/vhP+FS+tMvkock9ftvOfwRcMB1LBOLkpsNA
x9K4940AsmCr57BRnMNRYz1mQ7rGfZsvHQlhoWXbksRJ8h3wjIkleInTBKhMy0y77sgjayMamRJ8
+ybbtFOtTmrqHrVsloONAWmngSlNuYjZHbOdgwWiDtw8uIh9LEq9j/fXYhNHCccZ66Gyp/Miv9Fp
u+FaN/59UfGBVgt+1cZqr/uApIU8BUnJzyOAN3rWG2rMbtpoZsjPmBFH4ec4WDBJJWv5bLCeHU9J
1B3vjaqiQzJhsK5Bl7XypmQjFmJhR06Mcj5qjL1mxWoVRhfWQMsyTFuRp7GGk1LeDoQqlAp4WHQN
lOwq9uhVaMvQwTbwYo2ceQwp3zg7Goqc6YcjFxib9G8tp71TQ84YxoPEMbP/FDyX4qKnE8CbGenb
LMI1nrqOJlKxhCJfgH9Tlv8rXY33sH+eepRmoqXckDMK227mfHaWbzH5JAtAZ81+pccFupTFl5og
aZiyp/YzUP1Xc3w5Os1TmyOm6Lm47O5xyrvLgGQGNsHJDp35E8E8NvJb8SV0i0/esUDLBbazjWx5
tmOixtm/7HTsnQIkPxdNNj1ZawJR3Bhs22s+ACm+4QYchsTY4hQp9lPkZ+GYFY8QItibSpz8yMiR
08032mF74IroLblFgcKpso0IFhjsPjR0ewV4rDggyzjNOrppOhbEkllEbk1IdSR/Jzaol7Jyf9pl
uhLgDahSwyRKLjEkk9TleQaCINIUBD6tfK3O2KPceFmCpTvvMGxq56jc/mRBTCJy8cGYF+tqQAtk
Ny6PgfQIl8KleHd+7NwBZwwrwqgJ8B2WnIcBn5tN4KhC9NT6yWXPLo2Z24ct+v6M/pPT3p/3Rt8H
YQdHmURZrpb0rqjh8sWc9XV76IR18nTBoxxA8q6wmvfCS7HWEb4628ZP7A4fucg/e4jKXP32YVR8
LyIdt/ig8r23dOBqGUJmWbkzgOZTtuLns2uQIAIXGxMGNrYuH7NGs4zwiRP2IuuzJ77/e/nZ4pcM
Y+YFjGkZ+neBie+QtsqNf6Zuuu9s+dMURDbO3QNbCCikmUHqrezZO+MuUxHtgLBW9Q57VAPPtSfA
G5lJ4G+GclG0/CZbZxk5l42yPgm6BbNUoRNbt1lVHyN8KXxgYVVzItjgUrcXs0P0GHdQhXqv5OCO
POPVGdLf1saJDct6OtSAmscI93z7U8nuhThEptFVfaPE3op4cnKmF/DrjqXQVxNACbyzI8uT3eCn
SOpM0exjClXVkHXorjYXDp9vaf+w0PR3yRJcTUjSwsoSX8Te3WEWTi5gCF1M7vKHofyqARBG4Q6H
H1BgXqny0M+uuUM251JdQGysPLJXJiJg+kbt407d4wPbmW7N7Z+Li5amNO6VgVEe9EAZqJ4THiNZ
9pNAXMO00J+cyuD3BqcoPKY4lLc0YWT6GPOIBSIJLplsbKeOTHvfTa3dJKvHpGlvncEJJ6AOvI00
HPHRhj7T8m3LzM8DmLtRrMu36bymiTj5OfPUXQzrloTpho3VxBJjKjOGVcVB9QaAkuamX0wLarPe
45oAr5ZTlDXdsSawGu9KHKYV5J1+qtbUyasUfvU2SlS1M5v+IvazUxSbCNVRHFkAGHfwa15SmsWC
/EXAuJQAfQwHjqIfAMR3zEKPeAKNFMpIQ2O2P7xe3QizP5ZBMe96i3q36HGHUFeT4FnUsLbH2z52
PhtBxgin5pSOknXYb4DGoRYuxEod/Mi5/2D4JZT/zAblMFXkIbX5pUNTmsSUEVNs38hsuklGJNXj
gNrDOjVxUe4txgNe6d1ONmY4xlPtoVHmBVwZ0Gat/dJN8G4UA1O3BLPS62wbrDGTi/MQOdm94EzZ
+3I45O1yCBqLoGR4xD7x5TULMg9kUpYxjcQCl2GRsNXkhMgo+Tc/pthp0MV08IzNvjylNahqbe1l
T6YJs0E66AkJgFGcxdR+R5n+Jv5DRdmysdR9oYaBm2bGClO/orv/Tif3Z9D1LoJ07phFczCNiX0Z
OaiWomv3kk9GsizsMZAxPDNunHp5TFz5nMnpaNrOCVOmCo3ePqejseJl0egMPBDdDq/t+Rct9U6Z
DQ+Mrt3qQOxdxRPWHD+RrN8W+adwVsBBfmKoe4clzOb7q1+WKAhb0AdYnaynoG5RIwVvyYC0nU3n
2QCTsEFoNyCcnc5u6T/gtWLAXfpPZqvPQ1Tf/IHy//+pB/8p9cA1bWKR/vf/JAv8U+rB809b4mH7
f3IP/vtn/sw9kNY/wG+CnHNMC6K86xA78GfugXT+wXcrTemxPjUt1+OV/sw9EO4/gAIIyyfXznRQ
LfzX//oz9kDY/5Ckjwb8H5dUBFfI//qfN/dnamr3t3//a0bjGtH5lwhPO3BdEqAkbxA8sxDm3wLf
fNzcS1pDXom94Msf1miBO9S2E25W5Wz+8sH8+dp/fS1n/cv+8mJopy2H35Q0B+Km+Dz+ls4YDVrZ
Th1Hx7m18r3tryWTRj9moQfcKeBY5nfXmSeSFBV48aDyX5UxnYoSxVWqy3cmHBd1wQ6+HRHcojMN
IbnEocg5DPwqfWJ+/diwqNp6nkOipws80VZjOLQsjAWijGmS0Ojd9FzH/nHsqB8MBiM0zO3tv/9F
5T8F1PCLup7pmzTUFuKgv32qiYeYysn94DjHiAR66mwn8/NwSMHIYjzPLcQMLkJIBIW/ReqQq8Po
Ka3YwUW0gGlDYhhj4cQsf0tRnotCj6Gf47XxWneXV3a5nT3QbXYNyKfu1gQqBnsDBm/7kA+FONm+
c9JI+UCACuzzvQP/I78qsoY9mQPwonZYsJg1Cp7sOV2NQsWCvhELGq5+Nutk1hfov1tUO4aE3e4K
3nav6UNHwmjxjZMSLeP+dVZMYZJYHRPfeqp4XLL/guHO1PGYIZMnuclx+ZH018rmY9WMt3hjAeR0
DtGVIDeWH1Wo29yMf9mCIP7K04dmYOAwTiSV1p0fziJ/q9UqTkKyq0HPbksP7dd/+K7+KfKQ70oK
vqc1Tog79G8XpdmKxin7heDlxPA576PHzMnfgx6XLvJLtKLYCdsKGnws2PnhytvkNdpbtG7HziC5
IgL4hkTzGOeOD1krMY+t9HYRRKHQTscLbJvezlX+69ShHbBp2jamnlH4ZyUKqPhATTlt2qJnQjPf
WS/aRDRJxPuvmwUdPRAdn5KEkuHkAImrjV07jsFuEcFnkYjpwmnVKzy6M0AFH6iem6HYZCjm5pel
3ayOvduy5sKThLzmsz6nFgJ7t7qNOgLT3ItajyfyQ0PbKq6zyLihhTi7clvg03PMTm8RIbF/tj2o
NnyLgvgqEryCO9MaWczM6yg/I4s9mEMJmWvq8l9Khgu+qPsy4Ir5D9/Tvzg7fFowiwgZ0intv0XG
AQUZSAsbg2NKBhICFHpZP3ZnIKnwNO0HMHiv//4FrX91ExNX47iChDoyW/52YbiAnOiWeUVnoiL3
vNvFZ6lMWiJdczW8sFy6hhLDhtVHuzGv2E40ing3bTw1FRuHNP7tLCZp8VEPb//+vf2razYwpb+2
+BwxDs+NvybVMGGvqtIokD3Y56Cj9JEJb40nGVNRVxK2XAMjrZbyP3wH/+JlhWkJx5W+Azlb/O07
CFg/+8Vo+Eekxr9ovB/NhvPAr7PfTgGMjEkJzRmP/Pvf1TLXv/Zvjw3X5j9Lb31M/dMzKostm/AL
zz+aPUqYNL6JR3SgyVico8YkV6Wxio3QiEUFakX5mKNF2KjJJm8BurhlBbjRsVYEPJa47Yi0y+pL
lXHIRGaOboO/prCCw0wAPXKVGdmTiQ2kKbw8xKx8K1a0cjGnL2R63VXkIVaaj3qWcRHmXr0juxSB
yISWH9zMPmsI8GvNW8+p8e161O55UZ4CjwdA7FxWZo1p+z2e2TbJKmYxlwDGlCyOVb3a0/z2q0c3
0uQ4ywd4ENEK845AoyJUee9HOiiXdzbmMg9zBa86QiFKtSx+J3iKVgQ7PUt7TLslmtscfhjqNw8d
y7wePMW0nEXMw8AUmHhmvjYaLsMjyixlXUdu5fzo6PqJZAj+LI/WTYA7R/Y8c5RBbOCQBo/Amnlj
AR+uq5xXb17gZK9Ph1ni/VGQN+yA5U6SH1uCBWh7SCkQJA6so/n/cEXY4m9RTayhiC7gGcs6w/eC
wF3v3a//G4Yb2VExJEs7HeNV3TM6+6zSN+iLl4MRsUHRwR32o5llfXPlOAh8k15eLeNisLyOT/Mk
glDvCu0763oSeqFvHi1/BGJWoooqETFAItTsYdCEDOBoDHNAbWlbT0PWWWjpc/Yy+4EDPeyHDM6R
0AGrJTQ5cAwJ6VWkZCwYhmGWuD55ImXRo7WTLu2F3HbO4vMEQZOVlPNvX3kEIKdmKNzgk+SpFot8
UK8KG1AxqAD7g52L9orx+jeTRwSe0fyIBhQZpu+CBmLojN6qWR4cM0GrVN37yl/Fjy0SuxrWS2PZ
r2S0jXuSv/fot3HH0EHserwlro9OfxkosWICOfrFYqVl/R/2zmQ5cmRLsr/SP4AngGHe+jySdM7B
DYSMZGA0AIbBMHx9HTBfVXZLSUlL73vjwgxmkEE6ADPTq3oU8aXE65Ro4w2ZkrlUMu0Dab+gxvyK
oLRiSHPfaOYgYF+kT1mGj0JhAfMiY0NEDGodAp7XGndqJlNHB8lGd/6N79uuIz88xH3DeC6YVioZ
nuysPqCWbwNTpmBLh2tDoJJso08Wh1+V89oNBUK70o+lcv8wHkbiwKlQ1tQKEAjMNp7Pvxse8C1h
Y72moAgxlPKJHKGYEkLB300mwslo8ZjKNvyuNuiGDMyNxcTKJG6Lae9ooMjWdX4cR8mVzN9do1V/
sjWDfA6sPuumYtmdWjvHAobFMZKaKwbyQaJOfewRb2wXRticltSUghDP7Oo4+uFCteWSSGuouDhQ
SAFkWF9typvgMWeQJ3PBQMU1j/WyONupXAVF0m0Dp04Q6uQ7GskqG1XyypTuKXPVOc0Y+3mJWKsc
0hOovoMEYFEom8hCvRtogUgcLoaJDIrpVz2b3DHnsjsok0N5FFT9WkzhLYw9uA6GfkJoCdcIwS+S
2xUsqH1LBt846jY/W4Cu8MKdvJwvw1Li7evIeXWVS5MSfQStlRg8hux9abK6qFHxFBQxvV4JPkUX
+FyVvlDHfc4s3eKnMm1Q8fXLKDC0zWGBtjFW9kr21t4nEndwctbSJAcTjt1w3DE8B6SBXasEoD1M
cGr17N/DOzjPiX0/6X5bG8YnjfU3Nq0rVhtoDLZg9zRKzuaR/qVF+RibvP+yMc0zzWen1jePQrND
ddmtVG4td2VvPNkRT2b8PvehE5cH3O7rIktvWVByPwUUxWPapAeECIFjCIxjS2eExV2ND/kw5SlS
+WpkWMPMcMzBq0cTWL2BzvOMKoVc7pWqfjV21a7aVGDLwZsCahdP2ljYn2F3ipL+L4Tp4dgM3Mfh
2O5bECKFUk8lLe633RAmVwjYSO9GeQUCBQu+29R+8ppLOLY+PgltRsSQasqczr2nfnWqfw5b8YFg
lqv5pCZQimlYgaybfESCpszWsz+8Fa676buITXe3x9p+N48dU/EShmKGVQf7S0VzknxpCo1poQg/
80DhDc/HpwKlfiUxHnkY3RZHl94VPOpLA7xz1xTzZtKJ2MZ5hN10tPbg43MCcy1uluKiy+gZSWQ9
jNXMAAabUi2KXyiQvO/Oa20OkmhrWq0MCKFYU4a3ULCaGJmZ32ojLA9+RTFUaKkb/nVjV3E6wF55
MMaOJMa0jjg34kKYsCMID43dgRjG18Qh3+JwtPWjIpGaLWbbuqJmWzndCzHImwFEJLe7bFNCtsgA
2666INiSrMCFOfsv9PiUx7mUDiVNKc/Iua3xv5OPQM05Bl1SbK2Q8C/p588ofcai262HiYdmYt/K
GLsAuKKVZ++70Ulw5YP5UzxJs8Y75QvRiE6YjjLAEKkuhzxD4eDG9R1/i0/YZiuJL30YXuoQG2cr
ekDTc39CaoOgxXI7GWDDea/ycPoy0g/u8nYbZUO2ccPwtW/D20ioaRWH+UtbN3tntHj76URb3cxG
xkevlftcpf7WTqZqk9QKtAv8U1OaFzPg5Mc+kjFZj6462+91SAGNg48DUwyZ2lWR6v7seiXOsvi3
DRiriH9LhyCEVHhD2E29gHtJ6dat8Wy6w0lE7ZtphL8jmR68GhfYFBmvYCyGlW9VG876Wm2rMT/0
pvOOG+lZ8nih0CO4R1IDqe0Xh1CHm3zgGEl3cB/6f7JM4MMMGv6hFKsPi8fUxx8ylMldZSfvUfyO
w6SgxZUsosNs3Q73Vj1CQkvE4efvDriXUWL7XQsZeRrxFNghW4PBcifw3WumeMyG4uEt8QZclgYd
ijojW9j4DiOifn4x+oLEmk4OZVgUm5HPl0Sdpi7/42oPC2lBYREgybdqXho2THcrlGNtTac9zTzj
0CJMMqdBcB6bEGov34zeMm61uHhNalJAqgYNpOKXRHBcs5eCpOFXZ1RIxf67iC333WhuWHgemRE2
W4YKpHmNOVwPZNqw60v5K6+MPbH4zTBlGQTQYNy6NYMSI7S+k8xsTv30WXbewzAYwEhQEY5GPb53
fnzpkghMIIma0kjWlWu8TLSpkIkH4zfUmGzZ8IAYoliaZaAAHOM85DXBxfLoNLh8DE6urbOLPNdE
Nk3a5QDY/P3izoxKnEoyk/PcG9vVeVfZIGaDHCNNPxvoOgjpeHexyvHj9qeRcjiKLfnon5d4EShk
RruP2ethNfrRfNI4JWH+BnucZmR8C5OCB8X+u5uru2nM5xO0gPmUSXqmwmKGLbJ8yaATNKxjhFJu
fHCC8BwHtBMC27pLrLDh2Vm+NoGE9UhV8ymNBCvHwHQ38RO1yjNr39viWrvmFd7rphwE7WKduGYC
I1QuX7jEWXadnCBKDK6rj9mNuEyWlQEuCfvveQ4YKLW4cjFTfvdN+jDM0kbILr9dq7j69IGmnD3m
iTLKaLyyTRrx/CcPQ9W+lG3+pPL0TAXldzOM51QQ3QzEZ9B7H84JnuN7rkM642X1LYr4QXRYlsQg
Of4QgM/IR7DLuOreY13vX8aeHF3Tn7VatilOssnMmaUPMQzjMl5F+kuMKedh2vFd5hTWVB3KD859
08k1+wkGIxEDTUSMqJYlJYYAbldROkeNE5LyabBLEFb6BW3iCeJObl+9euyESDTFTIB5o+nuOYN7
qCgRB0i2gOJOPy/lALjfTPM79t2w4wwu2bnnMVYM7h6RBo6HmUO0TmXjrVRTPWd5x5CfvcrPu/vz
0c+1QiGrtUmniH22HffJPrLgbNFoI08/HwVObyPzeASdkhCfX/jsCdB8rpy/RCUtXGfJEXAYuHjU
n0GXr1EQ7ctF0DCz/E+mo2cOTAfYXgS/SpdMaPxCi3G6n7xwMWu7h3RkdSsxkK6I0NFEgL6DP4OD
q6ZSi5vg+IPrZGDRMXPnsO6AOTNgFmxdwTx6Go4/GmaXLRlDhqAxRqmAvsUVpUi7uenfObWxPTLp
DvLmq0cDRsYnbJ6bW8j81jri19N02R/tIMgt2a5RZwxLGn6ATsBIrCngiWemSA5bzJPP8ZJGN25E
uhO3yvuTL8v6Iv39HBIjXFS1h3nEIWsUVI6Fs4Ej96z52lZKyEzq7kiaJ9iMy7dLI/vFsqZtSCsd
p5eAgS4yF5bvZ2UWHzQNsa+FU7Yyi+x3GwFFHOHRdsXRG/n5suYuMQ17PcTY3YRpUqzamY+ZCNDY
8Apiprs3AFeuworV1Uusco03ztxStQeoFwrkGM+7Hkqg7qx5Y3k0aHviIcK4w/LMFi5L68+gi57c
pgRo6fjrxs4PftF/Sm8iJ67FkZI8hvXppaAUlQZFga2yFOvEIxHmo6fCUqs4QS1XDKFBb6MWHdOb
qepIdtpCPYCkVeN0GglgT+k6NgMXGQE5mgEc/oLSLI6jyz3eL7LiUAF7j4bx1vmMpzwUgXKYzrUV
s1/XCBVe1r5FQb3HrMBB1KxeLSyajOdgpmT5cG6oxyCvx6o9NM62stk0obmXG9n4wDQN/lGe0T2M
ml6Zc29xc/+8PQlPmjSBXuJF2UfHG7HVc/kqTJayDGVwcKt7eodKqm3nYSlRepydES/LXHN75Pad
YQfY3BBOUsVuOgiDR2Nxl4/QMtcdvxU/Q8VgHP8r7dObQUvF31ddPiZEB01Y2SO7k2GkmMsy/8wz
+4dE/y2E5A0Xz4z/icsLP82iL4KSeC4yCv8wkJASNpbCvfYYuAQO+FZ2shypFyUGG/+taRhA10tK
iqQ0QtJ3Sq156TwlGs/fUtD08ytNM/CegAcWoXKKuUfJFiwFgOFzlYNflxUbH51cfLnouEvzvdfC
nuAC3w4ddQzjeJcxe8eCyllOpg5De7MQtHXNHUM461rUGMsRG1YuCwXZomVx63hff8TtEjEOZXs4
Au2hWwCFx/Bkua1wjZDdlUsjV7YVwD9g8TrpwepgshRTjmwk3WPfDZBipuwjdlBhLOOiLUSJJqtO
hXQeowD7EfI9y3Hin9VgJVtm4vCJNRFdSXkvBRDdIYyekrZN90k0c9Pii+f4VfYVQN6synfFwElh
DsejlU7HxnDf6aD6w6mA5EkZnbo4/xriXB8Bm2a4qec/0gROygXsJghrRph/pAMB6ibieFzyTXJ0
M6x6t6H299JGnTOB/a5nNwWYCVZ9ufDQL0ia5+efmUxhZH+QV3ibh+A5LcQdFWg38gZiywaqLWS3
9Ym9k7DJVz/X2OwQO8QBh4cBnGGqG7HF5XprW4eTQJX/MWeetH1ztXlUUrghxSaaiKDhZzoL7H0b
BHtT4g8UBPlGXWwAtqGrGfVxyrEFmwlvXVi1v0mDXBcVN8ovnSLSqOM3U3JTjx7JrqUCItTtoqOx
Cya1ffQiN9lM3M/8hO23ohhzDb707DI15lRiW4fMQSANCe6D4Oe5kswW+gOjNhlr2tfCOtoO6WPu
jZ+N0ieW2E0E3pcD/1LfDJkVxRBXErvEkWMOPOtoLzrjPsa8UaXHSh0aU9AQXmHdGfZxDRqUScFb
6nQ3EyJ2hSJliSympwq7jM+xAyJ3wvvx6nVUofSgpjeD96uxCgYdxfTiQXm1pP+pA+N301WUOliG
gw923in76FlsC9MsRYpy7XXD+aYW2VtNFBfTxPiB4dxYtZCLtV1ccmlxriktDAtLIEh77ZLIO7id
eFZNuQZff2cqigKnlKJL2isKmV7mMPNWUdEcwsaMz6ryvqy+eKeH/SJTfOnhQm7ICq5HfwEzmLji
rdR9t6I53g0tVUeho/ZItmBIZxo0FsS80/WanXBenUfqF05ed0sd9EwwqIdpltNWuPZ3NAsVULOi
qCe2+KdGTPlPPy+xqXoMwv/13z/+ZmAfJ6OtgnOjrGZvG/Fjw7/gZMliWvsOzxA9GtO5hSPAs0Rt
oO4giM6meaINYALmgcn59PPfYYJD2CZZl2NUR120y0vEQBZ0QMmszodegycnSUW8LQcTDyodrZNh
W6cuz8lXsGJap9qNxenno58XIF9MTFm7t0U3idPPS9QXCWdcDDJdktt//9nPJ+YkvaD5j9s4Qyds
KuBtsf0U9zY+400MpEpy5+VLRR+yyKGMmE8imXI0bhdTe0CTz2LwrVi1Vz8UqX9e3JBkv+301HdT
4g2Fuzn9CMH/35TwfzMlMP5iNvM/mxLevtvuf72mTYyx6PP/sCb8/Tf/05rgYyXAkBCEhC5CCzLH
f1kTAvEvz2VYz1TE8QT/A5/6T2uC+a/Fy8D4ycfUEHg+06d/exNs/18YE7xlVBOazFS98P/FmyDc
/z6Ds5FxFw+Eb1nEhazFvvC/6fwgngeck2DcceVRnS2qb6nJf4ulkNIHUjfY5BSKGpsblp7Pjhvo
SBQspyHqTpNHXRoAes1BPSa6MmfrsswjbOqSx9MAn87zP7E53/ejyVLsjRHskZjgP3SWfZElpA/i
6Jp653qavc1kguGdwnUTk/fuRZMz4p3fBmJ9Lt20PQJnPx+CnhGJH9cHGnUpOqhyhRIWbnVnb2YF
CiAY4fE5cHj1hBdclMOnHyeUlAbDLvOWqpZoPOu4oMiVVXpeOrPiRN0zvgJwETJ0IHNJ6fpqKIR1
DJM22ZdReTUqi97aTHtbSzz1CXK6DdB8x6DnWpj2/EDU09jKyXO4/dk+t13WMH1ndFR3dbgdbZrn
XCuReycg/1rFnCuIoTE9EuNT3i8Ud/L+1GCgLsPCF/1nMxUOCno3sVmkpaIQPhUR7LP6cdhSpXrl
iNqTO/SNjaeQaC1jzBanLn5wIhC8T8jh0KfRy5CKRB3vknkaGT4FZDtbRCigyWB02C257RXU4co6
yFo8150m75kYz5awIEK0r14y3FwHPxUMIeXhpWzoVoKoUKVv848AOmEioW6SZnCqRTn+hi8snp8O
03xdT2ABbHow8wkOcRccl8/aBdvPLvExMbQfQ0ZOyi1hk3YypMTIcu66tFnCXZCOYESd7XHEPWmV
SNaJRVOhdxpikstUep7iyi3OgamvYPTe06rNL/Mkgo0YLQqBbKycir1wKgw28FXdYadwrD31Vvjc
Arff0CrT7dn37uhiz1eSrp0tEjozblfSua582obSQr3PrLsgbzvfb7jgYiS1gHqgGjDRmn6RdTWJ
eI8nk6Kl8Td0x2dTyHopFIU2gRVENCz9kWk/MiC65JF7Q/C9r3K6k9Tw4cSFv8Qt31WdNPdNwbKV
zmxabM4eOQ4hNx2JYuDz3RrwatLG8lYjc/BL6wJopOQOD6S1x50785tUp1b/pOTDvT1h7sCcmUAd
NjA6x9FW9v2bKJiQxhFyNaQ/xmA+t9lYM6bhSFM30SVi7KoFbV++au5JaV8j4ORWiyOmYlCNCb1i
y+DTFpEmT3lL6+80hzgX6H/DtXrXOVJdfVrsdNcNL8mzI+pHcvNESBfmQknypp7/yjpJZyREAjdQ
d0zYEMJM7kUHvbQvGkb6mt3nNDfDtkL+fR/chwi4xyEcAWTpubWh/fiHRBNnyt+z7BGRLF31Q73R
TPa2tuXe+Q2V42kMzW56K63xezK0D+zevVPeeCTUAiTSUihvmJ/nHHk0GTUI/AStrXLJNQakx5ue
EdsAxq4I1d6L4ltDoS8N0rdWU9IBb7iBQs2Fd+eXFcn03LPXokajQlrGbj9zKI0pLF6HLmo3wI6D
2X6G0+zCAfscx15uMKltptj8NOflDYrnhN2is/Ojfu+j7lPp1cYHIyDxDOHmdy9MNs00VO6LZj4q
EYpLMXB2Me3ocVRh9JJIOr+LJ5koeJ1p+Tn1ibNBpY2By3r8MFXyXdcmOvpg4yZF4y1s/96OI30a
k+HVJzd6YjwQeRkRUwSKJUCX5klw02y181pLdu3zYjSiFhEiIKGZJHGx4XYXtuffXvYnNbzXYib5
L6ew4+wqvgdYC4M0Sch52D4N1wS/IIGstr/j1B7ubJfRYFWwRdOSUhPhWbTZfDEQguOHJLYJbR5Y
nU0iO2g2Qc2TSVXzfqw0nlcg6jdszD4Hjs5A2KxTjj1Jk8p9xETM65p2pWHNrBxlXnKf7FRu0xPB
yD4J2VYnzgsQoYzUV602bXac5iI9RYj8QVWIrc2sgiYBgyObZe4SLJ6m7fdXJeMXmpWJ1N4PetgT
nSIWl5XxRrNKRk0kbjI0oftw8lC1HCjGM/TGQmFiBtQaIcoGhd1QIpZz/cghL5dgIukoCqbyCTLX
tIYbkQGwDD+80NcH+ScsuvcsWBpJC85ZU81JkZw0kUak3PvChPTgYSMaebx0dc9AfEnZdnawSYHA
0a/H/tir8TuFKqEviS09RUsPjKIJxtpcOykKOF78KDfzvW/E1p1OMLA1LGuDVA82npKHyiLKhe/M
c/yS7lxw4l7C9Hn2wcB1ZY1brasuqVdfWw7hnnHvEE7LEk+T8wF2U2mTWG/4lLaGjesJGJTRm7wU
gzwamXdIMGu7mb+1uv5p9tWLy0E7j7hQ4vyNLrOAYD2jKSLcJ2tUuwGbGulrNTL5tvdwTYlwMUtW
DOIPuj3yXFW7yWhPdJ3dByjatzw415j5beU3d+HAuLCaA1o/ff6/Zg53E3YFzNrTLepVQ6M0sbkJ
RS4dVbDjVvuom+Gx7ybj2MZc/yE5QllzYbLnGA7o1N16nuwTky5BRhJvfUWVFW0SVQ4nvkQFqway
fHSiV67T79RYfat+8taeoj3PYvTcaKfZpe5g0VQBPiefKCVoE1L99nPTB/lOO85jzAYkLZh+9yEt
aksJW9iDWmB0dIwmgrGMH9Y2y1FKGmejTQLflqevPk0sIj1E84icxkEd9P/BJZ1/b9I/vRxoPpTv
t7vUMvKDqVXCrwXyZhUBW5fiI4nS/cCAQ4PSCsN2fPMagFlCyWcr999ckkR84bV3qgbGoXaN7KG6
Uhy8sINWGi/ue4suljH9dI15eOcg+btCM9w3IJtsYZ89NcDOC/iNLUemlS3CFw2LyU8D74LrCqBk
PFiYDCDqx64gYcq+C3LrJxWLHeI4mELFnM/lcLo2DP0opw6SiJ43sIhjcMCE+Wd1nOKwo0ECx/rs
6xcVEtCeM55cLVEnYBkc33yieVcAk+2KOZuovzh+2tTJoNP6HknzdMxO89QdZZrcUqt2z3ntftY6
bba0gN1SgxOsG6+9OX4nZ8cTUX14jYEDqgN6mUQEnmLOlRFFYgeoRNfWQVFKivlWwM6j1DtjKBNY
f6RkhuF4GrvIjG+N7dNCCciOhIe2RZBhnojeMOiHu0ZkO5/3+chupbgE1sgWiWcd4k+zkwA2t10L
nxdbXrVOcz3t1AJqbRpgzD5Nwf5XltcMcAb89TQnFpCIDJoP11pAIsOP+tXG4sMRlXdsjfS+YBU9
WzJ0NnAb1Mq4xz0F3GqYqemdysdIKYo+WjS7PnskNKqq5BY5udx29M7Tu+jQ5YwKvbZmmqzqSj77
A3nT1rlNJd20hLjXkzLtXUM3VTXq8q5j78Og59iE+FPMARXSFcvDPUNKmJdTQ//omrRejFVz8233
EsjuClEb8IUe+0NheCwvEeqYY7Qtq+xMvmTUtHN5Na1a7dz8gm/9xpaXvV2LuwCvlbUmIvLQl2gB
g2Vg5CKWTmBbPecdubJSZ/3VKgAOt7YRcHfz+/aBHRCSfYjDcdw7mlkOyDG25Q3J8gCe1dzJ6ayN
jFZAZsnEAWN8PUtNSSaw+Bp/eMZgm0HK+HD10VekLez+tTHbnQGu/zI7gibHAO4uP/NqWLpbrLoh
RUakDokXMKPbEAnluepbIXszA8w7cxsGXoaf32fIMGyse/WhQM9ChqG/e45m1jUjXjotFRzzaHh1
Un8/ww3EmYD2hH79jkrxWyNAR8TP79tEf/d2S0bJ8dBEpfsACNO5uD1PFMKUowThB9LdAs3Bp7j+
qghgqTekX62tz2bANZpzA5DREF9JcTGky7cyqhRriXqb3OlbqPyxzRh0sWMFvjSKS3sl77svFZAx
C0ZvhYiIJtqQj8UN7JvJV5yTXmEn8iHb5hh4E+veQ5PRqNbXn5yibp6eXgfYICZx+Y0QZ1ko4NED
VIcSUEU6h49Sx3s3wsnLbJouIsZqccEM5dGrw0d3jD+DIOY3TNiHWF+BLxvI8Gdk9MewsfBeWzBZ
SBQ6w1XkxdI6CS1GVxjhg5NZ+MdULpBZypNcZnle6x28KPkKrZdxBnDF6U2P9a+6ZZzshS+OD+tp
MeGEz9EU/mb3+cvXPEOcyFwb9S9BsTkx7gY+dcbSEpiod1H5MHc8/vzoYaaevEzq19TQ29oYUBLb
B4bPmlia/+hm0L8SolOmRQlSksEwHSkgxEXdxvRA8qWyQt5qB2KNZyOSgatiwrJIS+O96yWXemge
wHC8l011yPDdMTs9lRFPaCPaFi6lemV8V7mMcSzMRCueCyO/TS5HsLZEk26VSUJVNYcCWi6LtvuV
a4it1XU2AqZSKn8OHfua1c395BsPmAe3rfeLnuctwtYlJqntt8amZpIy13V6eW/SMttZtvmclOaB
LrEv0zpGlQCGkDn3Y+N8qKp+NltxjVV0R1pBELAMan8xwH4ABmC/p9yvXoYX9r+MY5IRX7nT/x6V
t5vY4uTU2eFZxcQ5shSwEcBgrdjaeVl554t+K9vkd+iOt4K6PivKOPYJ/8ENvI1d6+c0xQUmEQ2W
t6bEeAaicCeRSplSVySPDaGesirON1RkrfyRhKUIcPUb8jRW4kQw85CQ6WKO8hZAo4BjHb0xiQbp
yjMY9b2pnH0YJ89RfdVD/elTCloKclLaw7rq4uKawgeQTa+xJqLX6m0Y4Wcj3Y0M8sK24hX1An9M
x+nZSKKH3NO7OEupjdGO+/RYe0lzBk3Vb8cuR4+X+UM+GunRHthPobhcjdw0L6nbEhae22OneWiQ
C9bDzDmqogw34G0qTO8Y467LvLbmoEzJjh3Qg7QMgmO7u6axeT/2KAAsXMjkNX7fwXhKK7GDxtwc
jMh5KOm32nACxGBZgAjJp+hcxuNlzplYlVArmkp9V0RF2dvotc09NINSum+V/xZKrQ90Y6/wiDAh
7VvY7BmMwdmY7woC8zlkPdETXmZ6+Ums7pbiWIgKktKIuBebYB3KFdu42L4jR9/v/DsvuDaKbUGW
CA7zyZW945ev7S9QPG3DNi4bWC287ofS7VEtRaZ25IiGmSw9EOr/qlMmD9KpqSgKrWFtyWGXhO1D
HSvaUY0KG2cGEIBMYNSaX40xTM9meq8oLFyFEbCyqHPx9Qb4D9SDtjOifKbPzNF49jRxAHt4FS0S
TNWiVpl1uDNSUoAu5JC+mj8s+KiYGhM6cSlQwx564LpEQTapSJeYUoYyv6ZmENylsUW6WJDWqxO6
r9PkZOTFTtN9s64U9VsF1x3+vH6f1OLDrio20TU5agK0I5SArCrco23620yQTCHV/ombDpcUWdDZ
v0Drq+7MOO2eyxQ0K0WtSdJ05wLFc+MSR43nvTmQgU412De/XWzWOZwAuz6XVgS/OcYOXVjDXzJr
sY36BlbhuTkADWG+jdS5lflwoVBxiY4yPHI5clTjE1CKDdutCBJ594ETA5sVG5uhaDaDY0xHJj5L
v1l3nhIEtq6P3mMGU6oxmETn5o6qrXYzNwyErGa4I9tMqYOLOJnOxF6ZwEvNDdr7ipOkq9+9jt7c
angqCmx0cYP7NYWyRricU8lQ+Dapwtnbidq49YWgcDwnfkALSLkiCLAf7S4/CBFxupvxLHgxBuCA
BLbWLacENmdhxmI7LCP43F3at71Tk0BmVtLfOk5koKMgb0hr0o9j/1dlD+NmaKuGlXtArbKvqneC
I1CTYRM67Za2BPYF5BG7GqGyqNu7IWse/JFRE1LsilzPuKXWILfUbzdCCqSc/S94j/4650C3Zif6
G1Lkt4TjshsKvJF94GdnXZtPDVW1plG3G6ePHzozvtmpcRcF4FZpaiSSAUu55pTDXpBSWCvAlZXH
2QOz998pPIpNkJF8qeIrHuddTmUXt6gtN42v4MiSUF7HuXEsxXM0lzQn+nzhxXg8FXeFiXxZZh0B
dPu5x4q1Qrb9KA1hb6RvYmjxATUpL2HUb1wjm52JUe9Sk4pmj3aH1rTzvSs1sIE9DNjXqo3RY2MP
Pw3hcyfXa0fQ7gcFFbIz45u+3SZDE/5lmILpG4qUl8VwflxAPwiqh0jLAyw2EvhpQdFXM5anuEv3
dZzB/bIkKE2fze/YB/DhQmhHRxWRa8Dz0ajf0NIEDYr5sByZbsSExclfXuK2FjhjCnfnWe2DPXbW
Ic2stZFn7C0qzz8NSfvvj5qYcqlhgPQdRoZx4kbhRMhZZ+MGaJ8/LzIpvNNEZOUkJsUF+POHoG2n
taBvd93yzMQ0nfY7G8EKHItQp7i34JlOLjB+2Z7qEpI00oygRxrDkLO82HGckFBfvEMTid4CSw+w
XFQYDhuZdXCmdAJU36tTPevDICWd5XTQnGzt8LJ8NHRsaoLpWNQsYAXenh7+n6XSbNvSdBMNS4n7
z3f/MYHVTrTxoD4C0Q84sf9833/cS0ji//Yx/fNn7EIZRdfi0C4zOC3BGw8h4NyhmeEGwXxZIUOL
U+mJf78kJcdWJitv9uJLGl36vhKJH3T98yHkdtrO1NJUFqRYltKO9Qdi9UWlJp9oHRfobprtufPq
E0lgdUpqwBbWUhRklfwSf16gf5vbQZif//yRcIMTu9x6r0SPpPbPJ/Aa//tv/fxZNi0lbkvZ1D+f
GIgQbmzFZq6qebzFoOQ4Slanf17Cxmb+9/PfadptFaBQqLfcBQH22JUUvbH3e+NUtiALu5ikSiAV
7MxIXquY/bCGVzQOCNhKRmfpl+YxcFIa8jTdhj212aaW9qbpGnBYWI2SnCKHjO1D366rksNKFhr0
A0o6V1gJbrJk4ceRaz4WUXOXktMCPoZ2P4pZsJ7CT/KzeAbWisjrgWbdJtr7noWBLbfUR84E7oWO
8T10D7mtUaWM8UnEcCklu1tUSIp+nABTM92EloGqOKXyZcpaCmomzK1clOfMsX/j0SNn4y5tsFP2
bEVFfTGgzteWn2D8FacpHpdFgHZzF5fhtor6B2Ct7dmck61VTc2uLsvdHJAAqjCDHkBdsar68Wkm
aExLDNCKWROfDXtzXMvcPJTm1EMo1b8wHL6YI63JGXoQZW39IG+cE8FGurV/LKKe41LjQymlhVa1
eyPreanYxIn4i7Nv8VAbVrqj6xI0B9WFpUPYrqz/UqK6b8078qQHZXNUgTxR+Oie0n3NLZqZ8sb+
hlPx1HCoLhRwyGIqjksjpjaAlDlFRg5HvBAYmvCkrWSOXcLpG4Yn0K9iPT63k3/K8mcc/Ogt9nAf
9c5j2NQUeGd3oMI3tapeEeM575cTxLiofJkcnrgzpDvd649Ehg/Lt60Di1EJfFvfq+myTLO/ygrD
PAo+g7jpPVLmVkbEKQ1TPrmO/+YYTHA0omwBa6/sebJWc/PX0NjvHT+hmyGMdNT92r1ofyUTGnYl
npruUvWpR1bBgucxtW/LT7d2kBuuuefBMZi7Tx+uewjB061c/pUJjyH2E7TcZHHAyY1GedN9riP2
PzO3R0G3zx5f3Yvqxj0IPU6Jaf9XO3RsrzjnooCzVopjbTrGue2eRbbYKhd/IWfAo1DpPhW0niQM
ajwlKfJI5XfuOAUTE11tSrKmKXYgeqVYLd0RI3Yzr2xreq5F+NuL3fnc1mhQFmHRdT5BETMmiJnh
MveH1cbpPmlQHPb/wd6ZLMeNZFH2i1CGyR1ALyMCMXMmJYobGCVKmEfH4MDX9wGrujuVWZZp3ete
pMYUGREA3P29d++5YqBN7xvoFTE2j8c2SeV9RRezFhhBTGYZME6rsOxQ3lSrJKpisrd+dAyKnHds
K+HoGG+3ZU2VakcMIbwBRbMkw6aXT9aQkaRRuzc2I7hshEAa2fS8I4uGb9TedBKZ/3o9ujqt9lDz
Akir6saa/a9jZxLRsgpya+fbCDiHWpb33HbjphjnH+jKmo1RhDGBPAcMRRN/3T1LN6eBMEsONs4d
zC0cNFNLzid9YVQt4mrRrDtKrzZRSWTfZzghlq3wnKhfXk4jdEEaNpdgA2NhTFuAUcU2ZxBhchV3
jkaMnThvSOa4PHA/WzdAztI+En/2MZUkKqmInmutkAT1MOVcfrH+VZpC5cxJNrZRFNW+i2SWhzRK
Rx7H+kvnWXfBDP9a5COkKBdgWfuFIivYOszu0esQou5OXXYKAHIjPlr9CuKZibrLTUrzN5g8KjcH
wbzXhk5G4HKqRo7Oabprv5kDEC+BWYv7hEviE//m1V8R3JGaWhY72gikkX1VY3uy3emuB1Oc9pLv
bIPay9PhBLvNIm8gec4S0e59id0v7lY9ouEe4hhpZW+0LJzQW+ucaiuw4aZKGiM2wk3/SDf71Uic
eA941Z0vuWddu06+tRzBMCo77KWkzQKwagP53SeCFsrya+UMP+16eWjae8+uw9mlDQguiY4ffwFe
mUFwG72uN/xKARrSIIQWe3Jc46wVgsBkcB/y3NsZc/auxvgYyHrPS1t2g6QXF0zm/RzRieGwYO/E
rF+SGkRWlhuPZV6A3vtuxFG38dG9Lji45jYj2LmLAZdZDA8FaLPVWyQg+NqNjw/VC9bgn2Mu51v6
VPA95L1T9A/YkDZVJUFkOXef33eGxodzIYcXSdBZ59WPCanqGyTUpM1w5HZRRm9SuUIGTVSFjK73
g1u8eIkOmLrGIDer+acRkHjj2wk7z1ojCppswgaiMjwqeMIYhzzon10FWiF6lBbWs3nqDqX7Dma5
Qa8ufjSsW9PM1LZrX7I2O6gOAVtl3DrBeE4TVkUd3Pt0k5yeRlHcJ6xgrvOuEIcbMx5V3//lF9/N
Grwcs7PnCu2DyjLIY8CO8pqpO6mBLK4QC4C3wG5H5NS90calWPQzysj+ULHQGlX7Tpj6I2KKO2jX
26JxlyP4rmI3lt4Scga5JmZ8NgP3WZjuV1x2W8SU2Oq4G+GlFjuCxt5QeK6GkoKQc2i9jGFgGZBd
6OQh09dzJmTIOPDdHGgZDwWhDKMG8/toiv6HGXPGsfNtD9qp4Dlhoz0QSnZnshlYCSMbVHkY90ho
WehL+o1VbluLaXsH7CmbmYk1mX3AoE6LubZvUEKHZLK/tou5Tq+iCxjxHeF14eDhLYwFsxSCO7y2
+ZYN41eVI9630/TOgWm46XGlTX314ft0kCByvfpFG6pefW9n963Er1ABL98O6Usrx2+uBxcfZMED
Z41qT/3osQGkGjdv/p70zj5gOrGhXYr+uPsuuJ6Rr0nDYKCvayv0Cys/+vNTnBn9Q1ab10bvbLPF
ykpu9V0RWbALWmSj1G0A63mUameXelzRZtAaYVrKnSC6ljll80pDfyUegWpse+aSVg5EGEUA2eII
14jzBlh0Y5bMi5GMu8gJCIkfyVOa7PibMgBCzu2l6jn5uD47JRKSC53Xe7HK+LzklGn3nXAtMHnz
sz9b7zTNsGhO48HAkMV+Wf1Yn++ojjFzAWujxYYd0Mbqpl357JoIuZOR1UcyhZucGdwBkza/I11L
2t7MUjocY68Xd2rIKUBt0NAtX0UYXypWTROb+0aWnFtE535FGnB0K9mFprTmU0LL+PO47/UftqQ/
1cdGB1TYWrfmu2qMVssTSybmCAvjguHyKpRhfVdExQFexh5JMHZWkQYxEtfVAS/xYuuU8++Oxrm1
0hdyLIZ9vLp6hX9v5lmK+Q8SPkL+elmYyOBHKOvoOUjlq5kwF4ixkcx59KU3x4tUPhaeVl2iIUFR
XYH3bwlPsO3loSIWHUz5GkWRX2rKIboKjEJ6v4Vil6Fq8t4dlWI+88QOcjEGAJWF0JCOVWmFLhN+
ojBiuSWf1CbM0JkOtSG+tks6nVpV0qWzmE966dfWXu4GDpEHyGkgROz8gSMQGoXZe0V4c+yWLiCn
KOkw5UMwrB1m3MMcWsTihMVwO9NcHQfYrdqUb5p2RbjUrCtcXBcfYvLYwmYOrYhswCnbyzq+qxP1
ai8Z9jDtLDsDYZIKHDqhXnywHEB4TE/OQYzPh+kNQMDlg2HQpVFUFbUSt3hJvYPj6xduhY7N5N7G
koIto34wPFhwJlEYyHfibVqxkbVRH2Z6qnfIw9odhzWLUzPvnCXqVKEdikh32iq1+vF5VrB45Rzy
PNLQMIwM+4nM6mMTnxZyDRB7V2ezxfo5ToxLrd6d6BPI+2BGGALj8qagb3Vg5mweRit/FA1MrzjP
rqY4BfktdobmYbCWiwYEfWJk1psLl6QvOdmwYZWfxOPYX05ugwuvMcVmaTK0UnTzyE7jHJmYiJD1
S09baMJICz7z2o42vEOz+9IrpOKOeA2aH7JHmWzAccW3lT6W6fJIDICkSDAgDcTTY5Q/EN52WeiJ
eAZtsZruvVw96MVi/OqWhZFSOkmWZR1sa3s8CTH8sgOA0EU0H9zMfHGNtyKXP01AOVNlVxenQjnj
jMiCrZhEl9heo9kc+P7VLbjpL/A4LlGFGtug2ZYtpFughQdtkMg9qQNwfvrbkejInTvbNAfBg0WJ
BYrRFf7Gxi+L7cBkTZyx8TvsIVw1zjbZSQ2oeBOaqDOs56UODlJjA8T/cfD1F9oz9Ail4e39fiRP
irFM2URPk/ZeLVt/oR3xMlRYx9DCdAejhIJdDfSi5w+royNbQOyMOqY2MV6JbTlEOFyN09KYYNB8
ANHWFIsdeyi3aaHuMwmtGfJhhWdv3PeVOLUBvXqwce9LQdU2lK9TgfwpGt4UToeq75jLN1HLgWq6
YSB+M2smB2YbS+T4oedUP2U1wtbG1YTHWcOYpPzED3TE+nrnpz6aswUc+cyWfcTccidil4MWrU7h
7BO0/eNk56h/re/TTAxrXli7MgZqS4z3obZeBricW8bEiE+Ksto7eKgJTrzPRILZzBkfgsp+Gr0P
lZW7IMBqxmn9e9MPrzLbRk1XEjVE5njPfwuSpQ3GkuIQRcvVMck1KG1cvZXtnhl3H/NUhn2w0EtX
5pGqz6DvF04UYsRQkqP+kqZgcEpA0I3bObvABAFAzlE0VL/aCjBqMMQWqBz53Z01KNRyZZen1mPi
mv1JT+ACicp7Hb77tZ0c85ZpEi3GwcOhgIGHdk9PyVU1+ySipM2nF1+0JC/L9OD7krhP6NGifUkj
1RKavDzhFsjPKc8vB74iC3u7cXeDTtS+KwY7RCWDjr9nslaRUdoTSMYAZ4lxH4n4TnR01vF0vkvf
Tk+jPd4pA0JepwfSurBObpNUz7vFJZ25Gr1HQxAGJc1rZjhTmNBeQU6JS6ruyAWEtZtaxZFhThTW
80RohHG08f8SaMgrs7MRhd7IDDduQsfUH5/q4/8v1P5Hobb0YX/9jVA7VT9qLDHV7yLtz3/1H5G2
L/9FMwZttKBF5/1bif0fflxg/8v3LWkHTC9XKJL4g0jb+5fpO7brW/yNDd+Nl/EfkTYAOaTUnhkI
ZCwmNi33/0akbTlIsP8PnQefLPQV4Zi26/DlLOn8SaKNbSdBJpzIC0q8jlCHXiO+ehRW1R1Fq0l1
Rch6KxgKoy6Bxx43ekuzKkw9trGBqfYfPr7/wpizfocF/fvleLbk8G8JVO0W7/uPivGcDwXdYyku
jkB0OzdJs8/ImJi95s6s3jHZkEeIeAOQbXO3Nn//bUn4of9H/LP+L98/+C+fhudKPl3yL33OMr9/
e4wrC9xfz710OvpW++PwJHR0RDVcXdApFVg0kTaPKBVRy6aHf3jv60f9p0vBrcK9IoDPeab7p/cO
PCaJh9xyL3k5CcZkc36QoKDLmeDirEvtZyNjYy4pxbzlbGTZh0SnmddZecmU2x8453WbODGTbTmp
5fgPLw5i4V9enIUfG5CWaQXen6X8U8siahIpcSlQ8IaZar8JOnb7to0sxEMpp21FgRW7MSOAyt8Z
6CeLYaUsjfZTUTNW48DaTtrf//3rcn+HWn3eMDwNVmALafkSuNjvV0zXhSrRRbiXZIzoWLSR3kGj
JT06Cn5Rj8cv5HyjGCvQ3y40Q1UxinOBNOVcEy11yI8qoyfqqHEPJ3y+zBjA9oZJ+vzkxdmdaZ2D
YNy5euienBq05+yRJiXj1LpMUn8wD5fYnr7JVnlHhOBEN3CGTNK4fmPm+2JktvsIFPuehyy/CSwY
3vSXH6SZ7YvYbsAizA/oqH+pyu0oeYyavo7vnJLM+2ZI+6tpV8H17z8t63fw0vppSZPHCrah5UkP
dMbvn1ZmJRiJ4si9pHVNWlCEWkYKq9/lfIykG9JFWjRzNVBodAur7kcN6Bb9wv/bC7EsVh4sKhYP
1J8etDiD05rMs3thzMRcyUxuSkLDH5dBHxq7f5oXhm/NrC5uRCYIgNjeN/Tz338Yf71zJML/lcPp
mcI3xZ8obGnfdIYE9HoZo+SXYR+RplJmog0lGfjeTbM91+iflre/rrZ8T2nD7ORntoQ/3a3mmLke
rlJCx3Ca6w6tt6HsJ4CW93VUGnscGculFNmt3SOEyRfvxoTXhUPN+dIRCfn379/+63ojTcf2LFs6
Lhfiz4Q8H+Q61hTLudA+I410coh+62/8YtmaWRE8mv78Q3hQigFPwVCDnbFfxurGggVzIjQYn0rS
AA/vGc+rWYjzxPghDGTx6OCGP2F4RaPY5RHMlRpKjJr3OQNyRiprotE4/APbzv7ryi1Nl33MXBdP
F5Ld73c2HWfy0WTuXiZ3ri/V0kR33drXExpvjM5wGEWBf20M7Pgo/N1ToQQMqVmiWGjaR7WQIw17
hloqryAQg8txpi7f1U3CTGlyLqOwjdtCxWEE8HtHZBOakIG2uDHH3p45PoMGSedSNJyxQT92x7+/
Vr/DDP/93LouGbNQnXFTfTL2/mCkyotA6jIHAU0SZHvUBmps0+TlTpiAL/Rgh1jX4d9/S2u9/3/f
jiS7Ea4Vy+MYYv/5+dCN39VM2WGxikA/ljSD75u0u7eaFtq16ALsyX5ySArHv3z+4OMxlB9wOMp/
2JSt3/ceNnqogfASA5cTivfXJ7VJ+hrAUmOc+4h0LKT0TwzbioMnmbAniGyR5WTmvlmP78i5nRsq
DXZC1RHXYKNLCYp4F8dd/ISNtfuHTVv8vqKur83zOY05UvJIY1lZH7I/XJkGEaktLS84twh4pYH3
xhJ9ts3HUrBRANccBxgKvLYb0yNVF4n6riFCDu7muItxgiGJ9oD+MF65TIKqXOr0SCAc5uigRXYj
AsYm3MZVJbyjnvww4FS2SWOF9cvmH2azAPODBEpbg7gC9Ipvgqy1bimO2uPc+wFkh+jBjGEoxX4Q
Vkqc+47ZjoIZQmgfjgl/Pffl+M4OZU6kYofaieMRoStLyrw1q0PLGIMjblvzHr26VdeXv7/PuIS/
32kM6tBhOx4PbmA6jDzknzaDytd4q0vHPccxjUol5AtzVGAzKdAoWZV3jo4mNu3B3NHeBDXLa9/W
SKO2nNASnL1dPp2zjH2kNYG0p+SebEjdnM+lM4PrAL//6ZRNYTCSDEPr1S1PCxgG7h3oowkd0vOc
IWsMPPnAGDs9FDkYMxfbwc7SFMmE/J0r2uaHSU63bZxhKonxB9JAUPhc4nnbIaMDNOXmDOZ110Cu
qeZl6wZpg+GA3+uscHaKwO2N2ZGVxyTY99FydFtnaZIT4JUR94tTX2jRI3xLu+A86SMMyfkWwfQe
VmJ5sae42vY2lHyOB9xCE+Hz8NTxDjB4cQImE71jHNCEw62rvgIzGE9LUj2Chn5kXUuO67EINtjb
nOpwLhL1lNhQzMcEk37QGhpKCEFHOar1jVm69z1r6N1k9PVubJloS7Ohf2YRYpgl6loqH022iL0w
hzu58WYVXPuYfncdQEdQwtZnkmOItloKd+vphmMP1o+zA9wka+1Xz4QPksZDQVNIv0O6MhBHvWVV
9uqII7SfFM0A0WLemOqrcicm5ZP5FadOjNVKvA8MJUMEsURProEGNV3Dg/IY3WmP0Kke8dV5X5Pl
i2OCGB0x3qaDQ6ZogB0Gu8+lAiZd9IH3NMVLsKlltG8JMWTmG6F9WeYX8hCmK2iCo4367GSW8mel
If/QmqGRuerVnTpN9y4Tz52XwPUfocxuzCE9OoVK3vJqvnPJs2MaNz566IzU5HCQ74dHCZngGhUQ
6hgZVGGbFR7HeAxteetBQIy6rc/YglCUDrWQ7E+pD5ovrYpfSqr40RijX+AUAAwI5h1jUqB8wxC3
U6JYbqr4S94AQEKDsksHcFp9RPKWvfj+69SQmppVN21GzmWUuHQfFVmbeeSRtF6Mzhom0j0PkPmY
1R8GI0KLqWbsdclB1Im+NSAzOmTMoas1m53ktj4Ra99te7KBQ7+5tVs0VxCPlyP3mrOjUcF5xuLa
OAGNqMQm17zIQT5jtVhjFrjDuwpoWhlxp2LSo6Ud/QrSTl2IYPsIYvbgIFjq+8mvb1nJ7F1DRsUh
ZuIJit+cz8GAr0up7waPxkvkfMsqaJt5CuNv4mThUEkfmoQ89akaCcgu9nRh2yflxIfYnaL7HkNG
NisGwBkSmUD+TCu/D0XZdXuFCXQb5GN9KmPm6QWCAjfLkr1csvhhztp3/PXqCCquOaq4eKeFvmHB
CG7x1rT3vMEao0HnncCavrtBNF/6sv5Fj3q6QSBlIq2EJmByVcmvGdLnWHCHVQjQgXV8caOnzkaM
EA+D9wG9GYLJY70OkRsYlYSiOt2dqnJo1WV5LiBX4fv5FeA3oNOmmNut0REets1h+R6b1XSuhlmF
sF4Igkq719Q8FWQRf0Xy95YCwFRrdBXdNSTWEbKd2Q/ymyiGQTN5zhlxNlEbhFJu+5YlcGlpAEAj
vx2g4RwQx5uhSYLHJgCvsa3of1/r1vjSUQ4fxIRHsWPiy0JQ/yg5UmzW+LTSspr7hqDp0+jnVyAX
0Y2dkFhtL9WTqZNoLwNcYsbylghiPLOWCDrL8IpTO7rrmOqtg/kzlIrWmPK21EZdTO4LnVMYt9fU
t45gTG8y+IsPDm1TxhLMpdDauqLLeOxqFXaqpwyFS/JceccYUNrzYDnjRhRAEmEnXRlsRV9a1/0Z
r6hZf5lzymheCTYi56Fo0NySqgWXD+rErROxImVeMe6qhM47m3V1TD13o+Engq5sv2pOaIjE4w7U
3KCv5Rg8J0BPed7Gg6Mt9w5mCBAf1E/kQpFhV4n5Ob5qc+R07dLA9mLzNq0hsYwMviYrizH7UlOX
WpyUamF79tZ9G7X8c3e4Rkr5N8Zy040Yzz+Ls4rKeE8bko+s6xIgOj681W6ovO1Ej53z4tOicBJp
7bYnhK/pA4nWfV3p0MJxeZnzBVE1huDOBiNHZA8zsUw9S+l7kL58KMk4CaNS1o/lEqDG6jMGMtOE
FdLWztfRRSVFIlKIJ6MMnSVnh7DVz4VpApw1ZzxVUcT0lmqI2Md2CKualDwgrEniztj2c81NYj/E
hqL5KaglAjvCg9zmIsRC5YZNVTx7hi6ujrrOY2ccg7oddijD4/kyLA3VYqPvlY9h0W3ibaIicW1s
4wXzhbuJjBGAYByLgx4ayvgc+mDSeQYzKdYUSatdG6uy3vScO3vCNJ/jZ7PbKXht1fw6FgjOGVEN
BwB33wzc768ADZYtGDIZmjFMQKzg0TFfyFVr1uLCdyf1MWc2rnMvNS95vdB11nSNWrf6VSon2fmG
cK5t4j30SH3ufIVKhiwvvS8H/zqOfffAOZzEsCCIUeaLfdEwvy+Ui/ee0cOZYLsGvOLZwB+FOAsR
0cI0tk6ghVQODWnfQTWY5EATZk116fQ7NzDGQ7rgPdVIOA2NQ8butb6OXUYnO8s6riNYYILdqf7d
dUDe+t219Y2z0Lq5QNUqtt0yTmfWYbOiJA5IiqQex74taxTcViDvupoxM6QmBChu0p9maZkXeyxu
g6FDdubMb2m8HsCYqScEwWrlMhTLhlsVyRS3fB4QkhPcZq1Dow9FPNE1DqnmoCB2NlQLNn9Ma70m
uAVx03pOzv1jVIPIxig5hb6yIQAELphQp4z2pZNmNziOLHvTtoYIP79j1ibDoZEQzXLxrYit6ZpF
gbmlk4dy0UYvBAQJp3HZ2Ve3OJMl4G77ahbkF1d+GA0yJ1mpH3DAqoDnHWF5Vxh7dkaGkwvBO73/
K1lB/Mp338ZKfjRNRrnrmmEVAX61AvM7roKUkqRMdpMx3o9lL/bkSXH/Q2FtOtR4KLqupjPeVpKs
odjtv9lGcCKWknCu5lBazU9XWG9OYPN02WCdI50dLJ2yd7g/asCFoTuWrwP2/+OYA1QzSVxQlnzU
IK+YIglIZ1XyJuVlbYbpxIE2X2tms+KXrhYEfnaJMmf4KlR+8ky5l6kmeKMuYw5xAOumFDDaop40
j2yovAoNfPOm/CY/lNpawrlkUt3q/oTjmLhit9p1M3mDzOhu3LYjQjFTN4ZNCLxZge61CPd5HkFc
bTrtfPH5eba4bFM/v0E8lvs00SDC4NYWop+51vW7Wc7vA9zeYbZ+iHC02ooRX/E0znC5Gx/tjtu4
ZJZ9MQZ8NWWOpAr7CWwF8WHD00ZMRYRnZjEmHIoc0pn5vQYID/sME1Ld2Gg9tLidx6TeTm3fcDDO
0cc1CLCqzOCywDmdZgbzSVw9jPgiVsVEyJQH9rTB/AkctDmnfDyIkroU3b7XXlvt612ONH5FlHS7
qmg5/aITUkON9cVVuymtb+vM7cN+3Hs2QvtO909DgyitaBmnMldLo53pElCpLIQ1AFTu437Eb7Ho
o7XKHpaxofaICWMUDcVOr46znbPJrgPHkXztBlEmZfAUMSAmmtnK0N22OsIsTO44RV/dpxNn2SJZ
Fb49zoK7NocNl38bcvMNZ5K/d6UmwHkwMM9Ud4bXHYbI7IGys6BTqe04I4ImUym4b9faDG36k4oX
KQUI7M6Nqt3YuV/YGPBGJh/uAmR/wjiXxV6z49w57VzDe/CNND3YYEedDtFZtZDpVFlViOK7DXM/
2XNC3+AxOpVAD1hCWeXIKiaT+OcsKDGcGg5X33ztosndBLSShFNyrIwNC/6J/WQmrBZliUhx8eqL
mwHeKJ0clWJ/XrA/ACNj8skLPVSxg8G/lsdgaNIdVgrUwIowmmLwMP/nH34ifk5asGfgX9mrOTvM
2ntOgZaFeZuwEWQwMMrE2ck4vpoWdnCnRx0x+uNqoYkeyia/Tf3pseEQzPrRg10Bqbs6PDdjR5ue
sU+8xwkngXRhLts5o3hyJnfBwBq9oLP6cJoSVMlA47xEFtW16bhr7b0GAQ9mxGKuDTQ8rtl+kMpA
Whm+O9j9ikQjuzPELsfRZsjttFT0d4VT78qRKOm6/l4YYAz7KlbH3P5AkoilsB7FpkAJ6ZHZZc2V
uhKph0fH+jbaolslbdeYgyBT4fFYeQE8SdTIrLQ6+boc+lbd+pEgkGEK4m3hqgfb5msaERoxXshJ
RLwLZWKxHZG6G3y5BVm123S35MFQrXsP1ZionXQESlSrOAv5TXTrrNatNdjwI/5XDN6ZwOU2JsZm
8viMuXV9Pv/8Fpcvji+LctylWYWiBaLqGug8Wt/Tt1rjdHW1fgdrwlaPmqNcYRz+4MC+2+Ij45wv
GMMSIoN9G8VVWsWPrkQg1Kzph9EMGFvF8pp17K6lJQ554aH77+DaH8a4s452hQVcju+deC3s/gNC
GccTnI9sYbaeh12s3Ity0mJLleMc6sW6pqCIt4nZE/Y45Gd3So5eGX+pzOYX7EjoroyzsymgHBbY
F/ziNmaXw2iZbPNA3hv93OydIt8utKePHoP0LTGqj6i3doWqxist0OmJDHILnMq8hHZAl8hZ2i4U
/poLizEESU5xJN2SCISVhkQcxBsdT5OoPgKhGRdEu2QciqMVk2uaj9rcD0aFZ4/A2W3bevPem1Ib
bkb7k8AV60bK+ko8aXa2Ug7aIDf25thJ4J+1hIavs1u+Tnb7+atCV9ltEpf3zpwseI7+158rVDIQ
1mYQ/bJOqahMzJY2z8Xnbz9/oChpyEFc08QbB/Hi4CIw0IpM0rFoiXV1nJxgz3qcz200nfr1z7rP
P5v75INQpORY6y6+nWzjGJvKPHtY/G8/fxD/+1fSwUOr45k09Nh/cSb56hbOeBykpulUqCk4JbFx
ZebDb72pveLj5xYiZDywmBO0qR02aUGY5b5uhgZhWFEeq9U8OGczpkQPxcZg5CRKluYbVbHeeZB+
9kGDZBu1mGnFYVo2H6rKiBLA/b9V0fjgT8cARwi7NUD2BocEAcCcYRKSCme1aqsw+PCWxkrtB0Sz
eETVTUeyfTKCRkeMk7Nwlu7Ok8aHEB3+cKRjeUx/DGc8drGB/If4DqqcecC6vufL3tGUQRS1UM0F
VlBsNkxp832agV7vxvlZtc77nBKaQXnya0B4hByy5QFae4yJw+kfN1GJKS3f0hKlkd553Um5S/JI
SNlV2U5yj4gmh/NzMxGUrUFp3zhKjtd1pZxwRrJzxxxrq8y5gFUEu4o0hJxxqkHMpOWWpgfs7Wbo
r75qoY0O1Z1a0uWWFMP6wCalDyngIXzoqfEoBqxF+DLWoAf7pEwtLkW5fMxOnTwxvbjx7D65+n5r
HLsG0bieIyhTpJ0K1T1gGguOHUcLotMt78kSbCZRbI07Awr4RYnyTgnBZh0X0zEr5/KY53PAio32
3wPXQWAyj2jSom9Nreyk6wy+hO+yQi/IJFWSHjp7rO9NWmWwsGv4p4G6kmsYevb0tUxIn2S8Ia6q
qp4kjATUlfm1Xu3srSdvpgY8k48eBSKa7R/YN6eDbO8rU3lQPXzrQSSPeeG34RSl8ddRlbfIW5Pv
5NMSMUzTTaYeTgzh7AybNHaelm+1URRHAk6WTaFbAykd1Mbae8m8nuV90guWXkgPkK86zT4QD2n3
VGSnwnbri0jqH13bqTtYyphZRx9aEXFsni30WzB6XxbbxhfdWeWFt54cmhIUltYxwA/nzEE1P3S+
K6lQXHnRmGU8itscP/rNNN/bi+PxNE4x9NAo2ASNRAGjiDhhIjitIIP5seF438dDe6nj+qtdlyYS
mUIcPS83rn5bPQVzvg+MelW0s//3fVFe65L+STxS+Ogg/to10Tus5PQsa/9xntzuiuDixSqEdcGj
DjKAHh2uNOMFQWP9aDnOiXLbhw8Cyeaz+LRrsmj6Ud7QKYrvsVckm7LCGp47cXso6R/egFo2bwo3
s26UWdQb5rHBnoA8BM2ff/j5/0yVGG/8p2pZVY1SPSBhSp6miVxNIEj032eOANsp4WSC0/CB9Eky
UzOB500XdQtgyhXXmvTcsJQOVJfSrcYNmkhxdYaJ7gjgPM9/thoDLk1GG2OpZyxXNWw1yp/jNMnn
IHKCY9uVxKygUpe0RQ/N1AbATJiB89KZa9kTSScZ5XMRgT0VmCq5jx/Bn76a+jWbooGEzxS4MVGr
yjRHrgF59uiOjS1S+2TnVBw9WbBM6tCw60go5Gnk1bLI2eUuhjyBACw9TpnELlknHylWce6kne1W
q0EfCXEqqn1J5s/QEao0SJyoc0F6SZ78cGRihYthzOcsxVeVyOCIx9w+uzbiWjP+gkCKtOb1B56j
R6LEf7iGz0rq65Zll1YLOFXm8BM9+s9fQXKhh48AXIUk9tI77WPYBRT9EKQi5KuenDmXCz6Vwqel
mSxARMcC8Zq0zoul0ss4rkM56v6px85aAxjzrY2YRgB3scYaMpLm4TT0T3znKiueDZOl2YwNvQ8S
61Q6ibfpiSfAPE4RYs/yaZ7kDxVj28nk5/pqPU+tFgfihR6mDn+7ZrkOtdB3aUYWCo69JCK1rHOg
JuJyqtYQ926nnInqf8jOiQMp13N6vKrDT6Ae+uS56gJgh1kVR/WdBFec53Sj27j+JbrcuLD6H+nC
NXio3PmY+4e0oeSbJUrhauiKs98ELw0Yp4cUa4NPkvLgtkB9Zl6xFkYWjj2rIyUZzPAuvrEkkfK4
y5ttZoAxbCrcr6ienSNVbFx46aZl5YSUHs1EAGii4bvihkZTHpIRy+GQVgQei+CLMxr2Bdz8k179
ahIHrYExN/Bo7vtxHzMnC+7MnAZVUHRvI7XkifzZw2QhuASdi6p5BnU8uOGgwVIvimTpoSj5vNE9
zhPQR1o9+3K25zNlJyr3bLl3YP1OZL3Q5T9AqX9sGGltxTK0oTEgLCF8RfQYVYYMRTzwk+RQGswx
BFLBjDOJOROyYXlEMESG8y21bPNgFODG3K48FdraMbwllL0pDowUMACDhwpt/YPWHJQ7SqdOcgyl
v0i6hUujsv0waRKVhUcLt11bPhrCcgLsIbeT20Q/LDjdjktu3lsxvBqUM+DmK2z85H2cEETCwjEG
HFjTsK3rbkUbZGGDwSqkGTJuqrTcJYtZX0Y58N5WdppXsd808mfrliAPgvzBoc6m8Mm2xUooYGPY
x7jwfMs9RiL6BrpsClsr+J/sndluG8m2pl+lce5zI+cB6NNAi/NMipIs+SYhW66c5zmfvr8Muoq2
dp1dL9BAVSCmTFImmRGx1j90yEAhwZNESOii1YdiCqKz8PDn/cC5mpuRTImQPDby7NJGrrtUctD0
CE6ZDnrHvoNJlfkIvz+e16r7UZrSD8NDLbSF3/3Axu9rAJ7nQXLYXOsxqbTC4hwU+BYI7Fxf8oB4
9pXkKqu2t/BM961LzHEetna6xL8D2w00iogodfqqTMnT1Im1Rmxz4aTai+t5b/BhEd3QhnyW4rE2
H4ZAmWdOwFOB06qP4U0cuSRTNXcOOwqWbNoDaefcXlWaerSG8KVGpWPRReVjWDbfx77mq/hHF7Bb
KEg74SuZg3nOLZ4USzskKBKgMiS/jiWGk2kAdzeOoOPmwMYRQwwWEuZXlge+nwO82XffnXwKcZCR
Rq8gmoUlvtwSwp/zOJiZobwiI8yKF/eAs5RhrxCiWAIjezb6NIb+H78YZgnBg53VA+x0sip5geFQ
gn17FJuXUdK/olmP/7Ruq1sIe4vB1AHcqhrY/qrqcNHSeVho09db+sMIB3lelkW8MAdQrASnCXko
u0J3EVbTBp7xQ/EBRIyfh119yG6lzvsaTfo6xBBcbbD7UggCdZzH4VxjvdMSyJDtZdFh15JkF2e0
V46EN3ZVd/K2yDGdyUH8npGDC6eNJMEvxA6CgBwpUW0ScYi7rDwlvPYc4Xdg+jWwc/OBrfdWQ7j7
ITcdeEFKHM55rBozCdORrREgEakX4xuWqPUz3lzGyfTbU9M63kWt3LVjdNFTPLNJrJZ4M+y7mGcC
SgHhSsU1atnJbOITfWh3HXs7tFSz5YTGV8x8D34Y34nn1LbfTaRCoedY6yKqrVOOirpDnH45BmW4
lGMOFgl2o45SxadgbDEK0fprQsrwIU7rp9GT3J2vp/ZexyN2wa8etTp3NTa6s8otNkp5UoWEnDTO
wSqnI+RW+S5iz1OZpPMHpAjJG/D9a5TnGMeCBSzveRrlW6nVvasxBj8aSSOUk43pAW+uo9HY3WpQ
tWIh58n3FG73miBetUbG6h3IFpSEXJNfVA/7uTqAk5FG1TrHY7GJ7IKEe39O2XBt/ZTIi+58yaZk
h4tUnNZnX5KuVB5IrnlrdqXf1Yy/JoP9O7OThJQRRk2rOrSQ8q1rfMdM5Sx7ubxCF6GfswOs10Eu
LRV8//wIk5fJwsn24MykuTNzCDXBtsxkUsFkiVpe6Mnw0o/Mar7rBZI9tascjMxEwyVo1xFokk1p
I/OCbeMs9jNthYMq3gIGKzQ5JHte+bnFbgL6AfT0yUMW79y08ZDakO2KmFWjrMDFfCMfXc9ID15s
nsUQTuIQY98C9ZiqBH+YIvMeQhtMYtTBIsQAFiXRy8DIyXD1+gX/sZWpcRJNigjwQjk3Ap5uDXY7
UHyx3CG1CLDfgbieD5jXBM5jUxry1vWgP3twAhYAU2dVkRxSo8NNZ4i2YHW8RStZ8FPThrQk+XB0
gSGZeyy6rj9YSy1Q39yWT84HHBGrPbzmPtrIPDlneKMqcwK6kYGYyDhZjrhYfPUlUUj20EQEEbes
1m4h+VsNRVuWc/KZOJD4L3kzcVXYimRkbmYyuNRFO0bEC6x2YKkxtQ1CvMpSlYGxI7cakGw38x1s
L9ii9SZty9fSStJVO+UGdRnVBsMN/0AXAgWDTvvWG7DjG3vc6vHACb3wvHldDSsIQ/G+jBDlsnvd
Qq7Y9zaSFElXt1jZkTEvA6x9CUcnJxOJ3Vn6A/7kzOtzfZ/VvTkHoqI/pNJkdWCo6zxbpnxKJ8wT
54pWsniDnpnpPnJDjRWQPYPd5mPbix7MA4oqxcw3c76hPpxTwqDwytAecHt08oHmpIvKRM8ww2sM
zinxNI5FnkpKXAKnNCM2zgEBt9dlkHD49Cx9gRS1s7UJGJ8BUaFKhbJfFmChgBQN9BR2cKFauCul
UBbmq9pD2iI+M0lOY2vZh2+csm1WV0dGNtT4A/dIZYHOJzCUYJ0EiUcGJJiWjQoktdNtWUCPLf5x
OsfSk1GhHyop1V4tS5QZTA8IbZPvW7M8tJCillo27PQ2i3GDxPaoGhWLyIFE3hAsOUZDfTs32x6W
mYfM4CgPytxti2dr4KdiS/EzdJiJYNERL5er3Vhhi5WBy5gbrTEeG/7lwNPUW93ipfMKXvXo2CM2
Dx5JNWig4GLWnlqvNadQOeFKWECxlSP1wNkVcTccECA388W2nO2EmkewjAzKABUvVBAUHvCUO3eG
zKbTreyF3RR7UAv1ItXHM0p/1ULjFDZT1Rxgg1Vj0lbpybHMlWHVDvjQlaoF2ySsOYJqmBtF7Us4
MysZ6aQMAb7eRXEPYa4ryqDWQ9MUGu6chN2HnkxO3pIzsZP20QMqeE0cdReV/LsVSuhuXRnJ7r5Z
YE/4BZuFdiZD3odHVc5Dz9l1vfOMihBOCf6afSFiEEH4ayH62t8HRJ8Uy+isalr/YMuRtNBzktFV
nW0DT822oWWguSKqolMUhWWHs6oyOzw20nKVAdF0i6rchmpYbqVRQQdbtO+d1mTmVLB2YXw7VcXM
yuV75iN2OE8si/N3x9PiwYWyT/aeuyXpuHMzlslIzngP4pV98XZEVU7SZAP3gAUElZd7UbQT6ffe
xh2wWQRm+F0KEUsp+PO28LYfS1jOSx15BvwKJxUMxu4T5MKFx6MiqluRkrm9W7hnFbp4058oCn+q
WU27b9GSYVtv1ttE7Smmf/aOn3+Mxt0ac99sS1oV/y4tWRpTy4nA7pkmodCpJbo6W8uWladf9QRp
oMjwcAmLogwys0MmeGJnrTIMMtatS5oV7d93czQ+xOXR9CHluo0kdvpU6RrRk57NseQAeRAou/9P
4Xka8h///V/vH5PpTVDVZfC9/pWMo8gTtPx/ZvD83/i9in7zWLhd8ZO9o6jOvxxLtU0HOV9Zh1/w
p8UCS8S/gKUqMswDFLInr4Q/HRYs5V+azrdCt7DB0QxlwoT+JO8YDBmQW2xN0wC9q/B6/s///o2d
Un1q/6+0Sc7ss+vqv/8LnOnvGF3eD4L5iEjCfeAPtT+zd2zWWDJdsv5jrOo/yh6zGR+fniNrBDR6
bMAwSEBNS6nDjyJFb4ZwiXZBDDzcKJbVrrIyw2a36y+ej1RP05BWdwwju5ZlW13IqOI9G+dXUXhN
jS95nGBV6w351eOQdWhgMluWEuYILaGDUkXyxErnCk+yOTvrPVBNtDLh2MfERIMWCS8CtFWcIQL/
Z2HlbXaw/Zqk1RCwUaoQLpnfh0VNzBG1FuYt8JfbTUR3qrov7B+ape7BwgbDpLzGlnI0irL5oeBk
OyhN84aHG2lJRBWOsYcdZSRryQqBt+CqI1GExgORSWsEm4dGbXlIVDRLdIx5wRm4z/cu0S+Ke1+B
nU1VGA7PDi6S0BjZd81F0gAWzmDH9Lt0KirC7jvR5JuGM2aZ/Fu/DZcVU7E8hro4zRbFrY3NJmPi
RiQTN2XcNWtLzDduV6Vpv0kN8lXEP1rE2avqQujUQ1cNP8gk1pOd1DYGQFcwyTv8iIiXfK4iapLs
9FyKN7BnrWhRprBPzTTpD6IGvg5su11V4W4aFQN1kXmr1KjtpRxCEy2jsngLRhevprYFO+B49mse
zTxiPW/YenkkjRRks5qeCAXwxA5C15uiBM4sLYlA2WGjvyiITlldXrz1qol1rFZiBzRN6wL5kqFT
8WiF4G/vlxceApOS5hFbthq0LVGmDLZE9c+3phtE+hFra0QNXLNdmaksqWgSnCBgufxAwAOxfZEA
VDn2CVNT52RMhWMqbIPgYN37Gx8TLUv1LqJLFM04OsS9USkNku7nPXwAjOSf+2RJHqfbN1PRygYC
FEkbL6R+cif+fUBMufdVQYKyj0+GOrdCi7zhZEBbFV9Eqxl1uOyi+rkN/oehJq4tZJsSJO8aXZvf
Z2IuqqLz1qrW7t6J/cfCLVio2jqoH0UhszEEG2Udk7SpEe9QatCawaVInPADlOtxkP3kXcOqD8Ej
x3seKjS9gsxSTyowzRUWgMkOM9t8ZwVeD3zUaXaejM7ss4+CIhgXNZGOSKIQ5i4GxOfbIcDfbiri
NNqnsbL9pWvql+zCwNLbA+f+19ygdYLzh9r3/s9rpxGkH90FKhL6LCQP8FDUhQ3kw3lq+YMeRaGr
fM6N6euLe18ALdmBaHtImr5+LPW4wUVXul3kEkvdWAEafiiA6HunGdM9xtCiQdSJIOsvVX+o9P3g
5PbCI+p6G+mmy0JVwh9P910A15piPZSV7B9tdrhQUfQDaiHZoZlylfXUb3AclHnccqBJh0hf3eY1
o/tzPKnkDy1RtmBV6pVU6/IjaO7hERWcqX4rOjVfeQhxkamNlFvfaPF0JJ4LWJOuHoGCfW1Fr/eL
ar9Erv33m4LcnmZnXnvCXF7jY/TTsx3X7PLV5uAC9T3fuqKmWoad1SKgSB9qhSlaB2pyn3vvN8AU
LBOU1meIxVrbBPrQw6i37qEjwAz+zEi+29lckuLxmww2juR4Eh3gEzHB+Lkq/PMEI4SvY3j/wCzC
yOvTIuvIjkbExuZ/Q9fUz4ssgRQlq3EC+4GbQrOu+Rffs9lX9ioyLObSig1zVST1swTNr3lAzDXC
NGPMVvBklMfGluYDmnQn8BPyo9IaGdHglAPUNCj6fE/hPNOnPuiUwDgoSYggbInCWhqG33DSw9BV
Llf56L1HKt/QuC36Sz6kSGHSEkXXbmKzSX42UECW/TE4134nPRk1uSLIrs1ezMzBBc3StCw3oikT
kKjMjMgyRranODakrTYO0iKPZaQl4uKMu1H4ocjBaxQRPsrMQFui02otB8XeJz5KJznEm3MAqW1V
xhrGF1UL8AvF94XpyumzgjjXg19hmzfEwIXCRo22KtG+B79tYUY2FFCPCHOhT70ZIIHQBDmYjN5e
tMQ0uwJDFee89FBZ+uNtGlwA9JR8VWPvZFc68mOhBCYosJ4h+50QdGq/uV6ksOF3xjMIiHHXAFBD
trDPvrnHzkLDWEkqVLXinO1PHZnHXzaRf8MjVj/z0fgqWI5iWOhQGHConM98WSvksJ6hDvPRWbIy
j9syemw9Zbxo3iIK1Zb4SAv0Z6yLs2kPyXJwqxptrz55IuxW7y3CTfhXhf1OK0BqSSPKQzxPpB17
UUIzCfCzImtdUjd/Doia6BPzRPNT3/3aTwN/N/nexw4TSZMe9UFUE8A56MYh19FcVQycdcnPt+dE
wnnP1yX9dbCaqwOG6Y8SvX7C1N53HK0UFO49zdiDTQVnjorvtitlOCSiDSbEmXwU6L1VRa9ZoyKt
Ym13mz5dKPodFcNFZMviPfnCcF2ocrXJ3SQ/OZiXzpNIc17trD4NSubiIpqulLbIN4ljJgQQOvkY
qw0yqGGLOlmb0KyTEUPSqdrHxSnMzWgr5omuwQW7BjyIZS6yEpYG41sPEnpfa/zWxizxF1XWaji4
y9HFw/vkIue1TB+7glLPSJMgSHexdeiHEfJwM9En5iF6La0TJMg4Jv55bQcaYduEw+u9S+/b5GBB
utf4J5+rZaeumT6FsSPtOSrRRepBdYoC3wFgQrGC2s20dbgPiJroA69H8vXvhpsSieJe9aX5p+tq
FQ4dNqoaUiVduTcd74dOuurY243xYsXOzNO84EkZve6KJf0iCQ3pMZelbJ/jlDFTal/5Rs577Xq2
+sUaEwNoihdvOijqMF7b72ICovg/csOoro4RFBt90OHxSZr0pWzslZ53yjc08UiZqk53MiM737P6
jHMxEKPQH628EbusFHEDvARG74D9iX8YTDWr5oavbrpK9Y5sjf0rEa0zns3yoSA7d1UyyVmHVuvP
xKAoWqk8D+DODqJ1n1FoWFOJq/66h5hBjMK93aMOPeSR1QQDZtwnJ1Md1waLNFXDTLG3GO/+Xu3P
YzdMkqoaridGI724rY9+nawba823pRdYcmiu26wGYtQELSxZtnT1o1R67JJmBU5eemnBf/wDm1H9
nYmnWzILnQG/GZIl2G3Otb+zGV0/whUritMfkeq0Z/R98ocudKtveeTvWmI7/kN0xHUGbkbrtXti
ZOqzDQhhW4fS3sdaNpmBwoHygtjSUqxudhRr2wozrG3QIsy7hKVHVssiy25GafcPlFXtdzImb9/Q
TPiqBoIAYPaNz6xySfEkK4ON+92DTmmWCGySTI7adZQQhr21ncD3z1WBkBo6MNn61mkXdn7ox3Jh
1UOESR8o6fMoT7aBA09acUkdgT8psxEX1bILT+QvIYOU6jDXJDM8iT5RmFB1V1UgkzGfBoypsErs
3Fp7dJGY/c/rjOBo/0LS5QPT+Dt1B5a+zTJjf6JOkucsiKf37gfJqAOkquylR86/iW3ttdLyZpN2
ng20UtNfQ5kzetsWHKEIETwVGSRIN9dfEQIP1gEcpYVouk32EWtVedZsSbpYhne9XZ2n1lKvAfKI
exdOdqnkgx4027T7GvRjtfWSHP1b/kUIeE/VWxu1qVsN3nJOCG3i9NdZIyFik7aEhLOwPflOA6jC
N+H7EJF19WYT2QYx4R6w/y6ILetWhH3VlfgY0e5Cu5iPObjQNpHgjUzrve6CoiMc+aoroDV7Nes3
TpaXV54aH2JCyfPsAZag/TiOOG+4wKqWFQjRtxispR440XtV+dEy6nmoG2OtPo+OjNx7lWsLEqK/
NvUBeYRQk66JpXsHkYoUNVH4OQds27ab5aeBYPT+iRltTnoBnz5+TvnYeRqQkGEgf9ITUDRvkJ0+
ND/aChW8o4FskjdF8PtEPlVBMDzC6KeAWo0sBRL+xtQUA7GE7plqDrdpXtW5QBxROcOg9sFRYI49
SLVqX0Jgi5eo9J2d3CQvbWa7F33s3MugQAEwPGDqbZxZQGih+gBmDGG/T1eIiaPnfWGJMnbiCtFv
wnfhrqIj9XRb3FW0xBXironiq+BD/ryLP5QYyhiQqcS8AOHqwiMLpxXGFim+SJ/dqlNb1ETRAd7e
diYnngdRbTA4gXxrrJsIgv9//hFinfdvHwOhPl1xNJ0IjkbA8PfHpgpTM8oDQ/1ANb+cgRCPTkkZ
P+JgFG8tRN5OomgHBaedQJt06+18KfrEXFEra0tbdIrTzj4N9EVXb1p/eP3UP/RldMy766fuaHp1
1Qv3dTb4u/v9xbRKCsnZxpp0e3XRdyu0NlpUDdq9v/RN77zCF2et4kH58GkAMfDo4HGiu/ffX0xS
8hXJKGknBkV/oNdIpdtlvEpSDLJH8ifbsY4Amt7an6tiAmZBTPhc/eUyH1kWkPCfbza1aynHwzSX
JuBYbx1MObYPogbHUcXW+GCEzTXovavmlfa+yKriwe6abGn49dCivu2TLp5GTAKve9EciMgtsYBH
6zckAedIfvdcqcqXEWrEIzG3/mhlcPJxn5ffYoCdM6WNlP3o2elTHqs70U/4ANRAbefrxA+UN9V8
HFRyoCZxOSjWmB+JWX9zVyUtxvl//uKq5icNFJYPbO9UFGGQIiGELY6+v6gXhFmmRB0UoA/CPHzC
pttDlWlUpLA7/FUh1u9EKwtVHz1uNYkXxJjrmej8ZaQL1/DcioPoqgc5QK8PV2I23Uju3Cf3o+fc
5lR5lOwHLFdqBGlWMhYAqPk1qwC+/RFotH1xTJsdn2UBDEmdi+hK67TakmrDpQtMxQUctX3JRxPv
shBLXtEn5kW13cxQtmhWog89TBRIB3+Dcq6BbUhn7ETtXog+E77Xkkc0GeVpnqUWGGl8mnNv/jJs
RN2wRr10CwBI/3z///Hl7rcqKpbEwQQ38+/vzKlrCxVr30WPsZf2mZVKe1ELguqljcCHfervp2n3
Po3U7oOT6dNmjMj5/fpP8zrkHWYlmJj5p4EsK4DKiRtWwAjmNu8W2NhfneKOJkHBtUPk0G8MfedG
nb4jKBfuRmfnwcDCoKymXwzaPcTkB3h6xm3e/QrijRcX9dDVvet+mbinr68C90o8W97bvBeM/+ru
pVaNN20K9kek9WsiK+9mG4I1M/xi5RKrPfdevChNnPXsgQxzPJScqbBe3PsViqiI25tvDqEpEegw
YxL80sQv62GDrjEYqddpCG0vLtyTipJrblv5Cw5x3imP67fEzYoXTD7yfUPWkigzzQYE2iaJShXF
j2lu0sB7xLp6EU2jXbmRrH2C8cbMT5sOy44QOU0Z0fnckIJrh24qJ7TY+pCdt9DukSoooDK6EiKd
djHicxzaaDBH2rSiN+NjrlsWNiNwYkWfEVbjeQhwVZkuEF2kNxoAaxBmPS8cH8UACJKLg+jyQcxo
+4w/kKDewnOLbmY6AH1bMunl/PbEA1raPlguca9BKQhe8DwUhRi9PxnvAxFri6ESib93waHiJvcH
6v2V7n1itvLX7d21shHrNqIArOO1g92bWNdv7WlxHxSDLI7iHu5d9+UfMta/7QbEvPvm4NPt7tfy
T4BCrGjrSuf/w2ZB+7cj1qQ1ZU7/qdh02eKR/MsjV4MpXzphVH3XS2+D6mS+j3NXXTZF+ANo4igv
jaLK97eq53ypc8lCnsSVv4MDewLqYb4oPqhPtzecXeVY1YENLi6LJQScElrazoIg/6DCrDiMveY8
mYkKr1K2XyHYpesW8TswmL7zWuvNe+5W5jnOvPjiOd4bYf3Lf15fphzo79tTw1YMB4UcNkfoXn2O
nCIWYau9KqffTXSfcSHuTfRlISZiw3EWLVm2VVzQEd2FlFaApDMzkFEcxsRo0pklOCVMETAK0pcR
8iOIV4yI3QyFizgOtRyzCXQvCURNLTKeZvkgqqIwBnhl4yDj7m24JCVMd1tIbbmr0eletQDNTihw
suQShXiCK4Ipq5PrD8AifJjkNgLQrhF4ew9Pyj2RVGknaqJv1NVw01guaGAGP00Tc5uoRdZdDEvl
dK8gaI/eEBTPbMKMJU4xOISEiCjUA+iJWHerrWjqmvJFkhzjJFqyimLAWL84vQyjshgv7MfCfxCX
Uj6nkTk3O3wh2R7I7G1V5XOw0pUUuc9LQ/oWSAZCIKn0VYvb9CIK14B8j/LpmbcJv4/Tv4wvWAol
10wvgRGml7LxErRjsKeWCmSVa9czz9Dz2qAN0Elv3o1Ock/iXoiOpITEJrSrXh7vr4Hw0a632XCJ
+4l+KSifPSTzcFsZLygBN3z8rrNrXAgaWViPy9g11cc4BFCFMln3DlkRIkumo2APND027Xe1MzFB
MRzvOoRjvWyV1N3B7sFjtyztOdSy4z0dpI+QOhtNiX5NEZXmI+qZ2l6kiAYnbQ4xJgF/d1HQ1HI8
C7jAmi4QUyS7bw7Tq9R+jKpRPqAWdn8FrMjOAbLUM5xR6sckKZpDGWB3E8n1o+jiRwFNw0fwXjSV
1smWhFGAis+LwTL3OGH8AMaJWooWOBeQSteOX9VraVbjsulZ/VKoEq9w3w9t64CIxd7pVHY2lOep
v03AYuuAtVBnwCc5jOJgTuQO0OYQI6TRSYd74cvmz2ZZ989u1BJjRz6o1SAH/Fmorq7t4sZAIcSF
9LjB/hWfEPrElKFOtJ1f+coqkjk5l2HWfFG/l1arfZHrYjgkhUziempKEmoIuNPAQy8D7UvJAvnQ
tZhH/rwGXXj9UfF8c4VYZnG0NYxJY/6M75V5GOVc/hoAK+9MCVxP2WRXc+CwL4fp1wL3UBCWkr61
unp4BvywRjUy/QoAU1lAfk42sCWC1xAYgpif+IrFrzPX2WBxuYNqOxe/pTCU1wRymxs65zdgx69A
DgWI/+fYFb86yxBRK8dW7VsW6pd1wfBQ60GbPvsGv02BJGKbJ2UqEGDqZ3WCaKTo6xowfxgxqOvS
Zp24z/PtvNu5sbsvOq3e2YRCkDzulZU3NM6X1usWId4076GTwEGXbW+vIzC61YZ040lqeU4NkwUp
NTeAE6uz6Kr10Fm1RoV76V99YsAYTX7AcXtwXa4sShy9yiRTlgaK4mTbNWAXpAu6neLbmLG24EhE
0/PyEEP4cuh2t6roNc0K2OgvE0Q1x009DsN+I1r1dLfb7OlqsNPjQ+hG5q7FAAhStZtf9d4P1lVk
E+sbUvnRQ5nmIQXdhyo9tNWwyvy9KFwm7oc8haEdoFZw7xM1exr9H/u0CNUt13y6zxJTyZENGDK1
0CDzSiYF2VgLSSrkEGICtjCN6apAYDmsuNNRxszrZeUqQFSmLuwuspOUjLCkaImuqk3jLYkJcHuq
G55Vq2PZ51imZdXwVpSo7eseVPMmN4c3P/B3KtupJzeOdNJ+GrTeaRofDCa+dhQcu9TVHmHkP4p+
0DAY0AwWdirTNJUTDn7Wb0aIhOMESg8zRHAMdLrbwfef6qmYvBNB91xvPT5IbQ9qwdY3S+MUpUm+
8416p04CqUIlVdL5bGK/w/daMctr5XuQi0NEssQoUhugG+Qh30hsHOZD6AVHYCrltoLOtqrTqHlU
Rxk6pW2635BkmAW17v4wzeILKenyS1dhqSlPFxW+VCGCYE5KqohePYCi5aAkqlbKmelWQEpGgWxq
a7LrrvKw7EGu+oU2Vw3dJgvlrJHbiORV7qFOa0vJWuR2UuglpA+8YSUSP0AVuw0AmK0NKucLm4gY
1pUTH1zfHq8ENI8wQpQ3z02NRVRL/VwfYUQbELPOvl47e8WAAj+1ijzDB3aq2XI2cyBJH+04ICth
90uEJFw4h9OD1w7gvNdq8CaeuwY6tj8HRDtBCX0ccnX36fkcGNpjB58Jo4AgZ41K8EVzsu5iZWE2
96DVPMcOid46Svw3PTM/rEjOv/fZsG3tZHIT7S5SNLag+GkgpOQeRWEXZoJcCnI3VosTluiTJMM9
ZqnyGowayWwxIDWOesyLFrEmR967w0hhJ8peNO06HgGgT+2yMqt1YeXn27yp6zYq2vw85NslYh5f
sbO4VT/xIso4mys+ih9jKLdXUeAs5wD7esQxoru6IYppnRmVKzHmwS445Er7LFqNm7bXogy/GfCd
Z4pGCDC3DfckCqcIqzmmA6y0f/Uh+yKdOtdZekll7u/9VgSrWbLaH7ySdMJhhRMYz/JkhuKOshSd
YrKMAfimxBA4srJ6AxAkfh0gWtZGQu6LEOu5acJvojsMdCyFE1zvRbPliw6u3g9OJqJWT04tQTzm
6tq2sFCMg2iOZkj8GvUolg1R0C1txePYZ2bK1wwHBSKLPAjSfnDOeZoAKVOc8h2nVkx+8b+5gH0C
tqB1Lu8XPypoKwGAZqneiSJCKBZr7b/avTQCmu8Kb95OfYkY9sK82UWmWu+UHLUuXEulRRFK6dly
cDitcEn9wK3FgubznRxvj9BG0JyysDLJrDasYUgovCBNcxEzA1V+Qe7AfjaUYVhKsRtvHV/+dC/P
huUUmfnZ6kZ0l2PFKtAhoKr3kQYAfar2Ol6aeeNtZCTVd2b7vbH4ZCrHxCndM4vnIkHk2Iw7QLik
eZ5lF5fDjhVkyba1fM4GhLRsH+KkGHUSeGGja8jIZjBq2WW0qcwUv6ypWSU80nSll9AToum3crpv
WvYpopnygVkYej16Y+ETqGr9H44DOsvtEHORXUIXtm19Dd0Upr1ip+hyVdLCcBWX3wa24JLt43mh
zFSMUOPIOhYooC86J1Of9LRWHmorH96rWt41JXZskaoj2aN5T2bl2+cRRSgyZPhNZ1L05ppVclDB
RD9lctAujEb3JrPFdEMKdthlqIDCXd+LQiHfd6uJZqNYyb6bivsUyTXRCjMgF4+1NyzxCF/IwDt3
oiAOXO90H6ryQ22bpHcSW1pJSGogNNH5J1FkToIBQlq/37tEbZRKlB+CTFlLSVLPAx29qESFjW/o
0RMqWsVO9HtTfyhD0YiGa9+W2q4DsoPROpoKPvzsI+HV7ChqslVmR8zjfo4OU1P0iVEnBgrTIbj0
qkPywb9GNo6a2VeHkgQQFiRV8Q2NMaiKZvI2eA3SgGqCx0leqNdc894x9+ufgYuufacuj0gcl0dR
U4l+zTlkm9g/cBB5kGyGxYhthiS3PKPkcUzffUBcPFQQUDVrSFdiQPTd7mCowdVii7bS1WrvsIyB
0A1OYZeTsy5s7CCnJmo13a0J0QKCuZTvO4Trt5ggIkIIj5v4iBWdxxy9Ll2Veesclx9M/CfPVW1B
GlOwb8yDUIOkZhRE6NCsLX9vSqWJ7exAkCt5d21McAGwa0+ymgVvrabj6pGCKNbr2Fz2Ra3vsliu
ds7kvxnbcn4BroFEaWESDg58fIStIj7BYX/B+FzeaFNLdCG7Ep9iq4FngZDiMjVIhfPPwnDiR8XC
Rvh91pfFwcaB/BGzKDRnEARaAmlu3nw08JPRbJ6UoLX2OUT7mZoU7VttxdJD3wT9IVDN8Vqr+gG9
4uZNTbNk2Qcq4JHpcvA7yCal4aWQQphDJO4JUNhbkbcXheWnzq0pBjKR1r/PgRTvz1MD1Ryp0a+q
Hi7buK0xlyIBnQC3mrmIon0JIWAvO1+yb6N8dgqKDp21F6Nyio+wlthPOrZZ57QA1wev8pDJLszc
OHPPJCnDQ2aSzZ1aoksUafqG57N20gEKnkfJyTfIEJ7lCG3uQk2yDUSM6kVNUAjGRggF0KkJ7eu9
HjrjKFqpq65luQgfRcuWFp7VN1cUqwK0Wou5hizsvoIsuZ8yVu1DMVVFWxRBh70dEhDx4j5RDHxq
NlamgQ3Lf7nf/Saf5v7dPeuCjKDcNT77kNg4NaoXrLUS8aqAwEq0QOnLngUIPS3k6MtgNuZH3fKz
0jW0ywimnYoglt4qBwGLUdO8x276tradjNp/nBOHzjplqQxyBIeLqG+Pje4OZS1APDxFvnpGeCo9
KX8S/YGPBJPoT5X4ZLBPelTb9zoJ/HPRE3bL8778VhvF0Qp778VwKzbrKWewCguol5L4g5ggmVh0
BYoOaX8Ilb05Njm/D6/6lmLl0oNN+4oVq74oQ/v/MXZeS47ryrb9IkbQm1dJpZJXSeX7hdGW3oP2
688g1Ku1dt99TtwXBJFIkFIVRQKZM+csdlqY9ld7QAlQTnVRfQj0rHwegsbYmq2Trhvu8c+p6JbS
wahhcR3EVJKaMx3IcQBV5/On6lNzExZRvyDRFy+UGCy4RIHLRuK/JVRcHt0H/vL7qyudqyhERs8e
AoR9Oen9BH+d734NnQU9yLyJKmSb2nurGIdNU43i063XFIQmXxoI6x/dlH9TrLnJF4I8SMY6I7FQ
YwLRUFHcOrtlhTh4BFFefDuNIF1S1EUkxno/9E69j9Sk2d+73WxLXAV2Hjks+zfHP1PutrKgSLlI
an/135xDqlA2tRUBKivQbEgM7gLd017aJv4ellZ+NOdePbrWMukhxxUK6uJKxCsLaTRKzRGNAnPM
n8eC7CXy/xVycodoX0V2eAsyuR6Rt7iJ3m8RpPuEWz9Wgn0zO6vQ81LRbIXU9FKHlQZtyN4R7jp5
NNsUM65+mejSAwnwDgZ03AeiEd5Bdu9NEQB8F9rPu+Uvr8kcrOUkKJadt4tlXTRXpDizlxEsEXA+
0e5kVxOKyeIy8VZen+cvdu3CQWwqnzFSV4vKmGDpK1LtqGiJCkOrl3+mVb0LE9/+AcHam2EH/Vse
2NaDWTf6Pkas/dhGlYp2xwgossyUnQ5p1tbx4UPKDVs522b3uxlM01307FoebS0NnuSAUHpxVtu1
7Iyx6VMvOtb9mqDdDmJoeMACWEkCNfmpiV0ZeumvLgp/RqpL/kZJ2BWE03QMSU3t6qnPHie3L69A
E8PlxAv6W0rpv5zEGulJlJ79oTZmvPJgeD23aMBvjcGEjqumGNJrVqEyiW+wS0jEc1TBsjVkVXSy
Z1SfRlnOCHfZxVRQuoX+RP8mJuUcisR/1URkPlqqyfo10epX0/WvTW6XXwbHep3UrLiiLpZfVQeF
Qra3UOPPXTmg1A181F13kiaqg8llkxYTxju7ZVAAWvlDS5r3OvMpdnEa6j69YNipUzKd2RoOyzga
8u/Q/bhTUv3IqAyFoERLLqmvVFs+Ovy8pI9fQrQuoabApRntR0No/SelHPYqgJYBAV3dPfS87lZo
WIpPq8s28roExLlRWaNeS6u2H5rc70+DPf1ukN9V9xCtU07xj91zByppuxiEf8W2aXl3vvuMPemC
YtT8RZtYl8hH/UWWKbPUU1clYhCbW9dtXGq/+RKyO2kxxLZ+Ou1kFwplePwa1dsTTAvfLEG2v9KS
+ihHI+F/EJB2TjxKoze2wadycNqn24lIOwdZkFzlRM2wF34vskuL6vXtvZ0BOusTqArlS1va2j4m
h1jbx7tJ2gHJ9RXRZGEHWzZ8sbhS/xk+Atf8ihg18NFqTKttkU7fAQ5Pm1ZtsjNkrCrQYINU5Igc
IprE3o+RlKs+QunJb685tUSSv0Q57JjqVLVX3583gnBGHmy/z/dQLsSPpZaLC1F1FZGJBDKxCV44
2x9BtlRgrUvPiq+y8dp0q4ILOt16UUOc1la29pQmNwf4bqdHI4aX2UF9Pmh1OGyT4SgbXxewx8vD
0fvopng9NYH/VvhOuO8bisrMZPLeIn301nruhGt97nq976Beq3lbOVob6Y8yN92TnGohtN3CnfhC
4KO8Gql1c7LdUj+URjIt5BzkLtFRy/IAUhnkPEyWJtNM/9QXo6etkaqET4enE4yDjauxK4yagxoX
VKXJoQJ2vYX0N+S/IBtL+FvSTKcWHy4srXVRpzWyi+wVViDO/2lX9X60WPvhq6cpsgX4GqHe3NzA
rP7rHNIuTUM09gdCVa+Fmj3IzRBZLP2ha8koO3oWvQ8TKtly86QOOgp6Rb2FLzZ6/09/ae/qonip
A7YckN7t264FRT4fQTKo7PWUWh0lIVg+jMq0KaqJB9OfRaeFjAxk69VemlzUzp7kLVv7O0GGb1uV
lVKTXunf/9flnRzQhfUTtc6QddF/rCfvS8E26TVizwiQN/YHQZP+kwg4VJBW7D04czeM+jPxURZC
aawfg4ZUj7TDTcONXU+822CcfOlY50NHCl2a8aqgcUGRG2zKSqYqn4mufKn9zoI/3ICn00N8XNpt
JNsg0M5LAlpe96AXnb3rVc/fcesR6P5Tt9FoDuwRySg2EujKekN58uGVlT1Z+1HGar2GwHhYSVvm
WDBzxG3zoFXdA9AM/akeausZLYByZXl19cif13omaK7uK9ugiLhUzGfp8mfCALiRrXIMYNFTs5cB
oqpJh30JrmTqP2qeiUUWv8RKPy2axtl1VBqjHSIG/5Q5mU+ZUfY0WNQck/Xf5Wkq9h3kzKwfxHGc
wWmy0eeNF1IQH37fNVtpiucNWjg3NkGtJfjHhAQNKTxl8iHUV4LRQ8K91XawZB1vXRkrNJPyGJW2
vpO9etJ5oLpI05InfGQR5D/LBoDjuzHYFWUFnv88JdBQsHh3YJOl2/qsWMxS+WJCnQIFHfR6rK7G
J+lbRJ63hH5JuZ3NiOa4sxNb1JJWyrOhd/rz9H3oVbteohaBcpcZdTvYeGYGZs/emjG6wBQrqD61
Kp4lPgI4P1YOLM52hDKWHmdsr6NEkMQw7RNESc2lnrW6tLC9mfK8Yz8+e4hBOCc5KN1mk+trO2o7
yg07QABllAO7Bwe67noVadGzWqvFhgUNlFb6DHuQwzfPSpum1WAYcKrdZ0onKwh+JD3MvIi6RNe6
MS6ZaY4fk8pWn/ARrFVzl3qBLykPryeEf29emiCm5gpg5xEbxblhTcPNOHXAaP/Y8iBH8yIhZ1EE
wlTg+JjQHAfpOqBWXPXQm/mDHe5lVzZTEeSkleC2q4qSpbA0aqkShmt5mIBIsZfyUM4Ua/Kb5UYg
IL9Jw665BtDoUg3ndD8ACnGgd9/UVAUMUBvNWSDzsAs0Xk8+wiuvTad8ITXR/YBNg026dslSVd1l
QdYGj21nkUKPyPa7eR0eidWxoOpaeLt6yKj0OjdeOyoYstRSn6xcNV4Hesnck2M9FTdyTJ0957Gy
TrTb2P87T45pMyL4zzzTS8FWh6i/N0nZLI0hJ6M2+u0WzDWSylZQPhcGXLTFDO6xERo3iQnGtnho
s8j81oMSWoxtpj8pU13sYSBDdAcE+5eKtVk5QTQTzP9ylVhG10XJCdClvpQDmoF2usZWqO750dRN
aOwia6aRh3xlIc+dxv15CJToLUTrC50krdhoAo5EID0Ji17T2sWzGF4zy+LJo8EuNr4CLy00fDMM
Zna5j8qj+zQkRVCDgOn8xHIdvVzD/ggcfXwsE1SSBy/1P4ZMW4S5mX3lNSUedC1LdjaP5xf+TE82
Dz4EC1HwruKpe0FUF6hW0qprD413xA6Tgch5ky/laKc21CMSjjByRCqJgTXLvjWSq0V57Qt18gSC
kRze38/UOKC3i/nE+EPabtT72k/aQ4by40wDqSxL2W0c/vlz07k2vL3y8OY4GxMlftO4kx6l/d5U
U3ABe0apfVm/8dhvftVzzIHKhh8seSFhjLz0pbSdADgprCrNgCAApL0xNK3DKamd4dI52XgZUig3
LIAC0iQba+YmDJv2LHtEsIfLbVROCGtWCB103Pdz1B6P77QadvdzRKY7QrFTv0lTxqPkpJU9IKG5
FBi4trOHBsbZi7m5dzMleI9UVBEDWVEsB0C5q2JtztXDsi+bJvETipUqWMY4wd9n/Vc/joJrpZsu
BelWttGA1EK9o6hvSJ6KB1to3aMfCO0NXvcK6M1g7eCaSbfjHFwPdJBKYR4V6zQPIXNzvOkxbRGA
Ce08RacHYlfkFxEd6dX0Fd7zED5Fo17cuiFVSrpXvMpepYBl9apaLCcvqfZ1bFR7eXRvlMglRSL7
Mbks9+bZzPyisYDHKSpb+HeU9sX3IKnOAtG/RvAh7erBhbRy7sa2le6Ru7YWlZoNr0UIFYNvQist
R51BQeBhgNkkta3+tUei6gilxPd87uWEO05xPL7JMVGlxtmLyic5MQl842kMUIGYPVMzsi6Vo6zl
WFGWztUPYBqYx7ycN57If8qhwQyTV42nURBH4zJOIO3OzBfpl4/tAkbB6Vle2+lhKIwH1DjaBo6G
1s5f/X6EHphUJdj54nUKxbtaeM1JjrkxoFg9HpKDHORnni0zr453clRxomKFKkGxkd2iI06QD5BI
wyNK3r9097lfRkc0XP/djEikqb12kOaprUsi1Ob02yPWqJ+CwmHVBpHerKSPGs+65JOYpk2q15ff
XTlRjsvZMVSMSIWbGfpe8DOUdq/uWA4Qc+KVDaTHSlE7bN0BjlKjWglYUPlXzcYe2QJQmNIJUqyV
qU4EF5FROd6baQjUox4jFwHCb6vNPTko7dABtyN14B6Mk5AuI6jJcK5Rxb64OxE/jx6aup0XNMqv
rgTdRsoX3GqvITo42OlBNmEATLq7VSvJ1m0FRLbzeFbl1wiaTfg4/vjIQ0WJs4PDH7twxuGcODBz
6VFQwp0TN29Rxdt98KyAeAzdWq+uMEXGT7JntulqMrrxmdULW43ikATo2Pd1Vax8nQR5NCnG/MQy
L2GVjOsRgqlV7MUh7GE+SC2jKwp43bnnlplDpj1QyZvd+lrtnVEWmBDG0M2LPI9b8gLPDfjqOR/q
IeJkjT4AbC4hTZQfTbsxEb+k6WafUjhLQtgN5YeQts4tKOvtgvYh7KAp1rweTYh5F5VMQXMOJqpF
ISM8innDVc+NtCtQUISaahylKzTWEKDyl7rZ7m5y1h9fac/csYJnnfsezYDxiz+rLmiF+jFEjtgM
rSdQMelv9sC3pw+3nsTGUqt27ZnwLLJQCQ8melxLUVXmY5t13XV0sv4aapvQFeZFWlih6BvinMrC
mTw/XcY5On2KazVbJXC6K/om5pPG/v82CiCIUpwo9JZycpglPzuAtSu7HZO3dqi2Q57pFwMFDAoL
bco4eFBoWeS+hl+lsYnc9rnuHJIvTMgHwhWFLdAdYILNev/sKeO7HAsI1x51vckXrYj0q9tZb8FU
/9D9onuJkah/Lm20tIQnlpzuVfF85YhCPK/nFD4jNynERrp2rjE9QlbS8LBgNJt87/DnPPrYyPPE
CevVPqJ0uNH0szHvjKp5t1TmxrMW98ZR9gJVEAuCUhKSTDZLaGfUp9lfDkL7bj3DqPa3P/Hb/kEO
+sZUw9dpnp0sBLSUQiE6uYO7s0sovsu+NK+8pExkj3iux6NXbEUdWtdc04PzWMJUOg9Kt1AbzBU8
ven6PsvqnwtKty5yjl4a7eOUjBZiCv9MGrT66vp6DI8lV/KVwoVOlwubs8dfF5bdII4PSR292nan
nWurblZqEvpv0KX8grF0+hkaL4VipFReU3msufr0KeB0B61iAD7iNbOuamtCl8gnsKawCSpASELc
O4pl77jWm19mmwCi1qoasudmbuqgpwJDASGTF2n27LksJPTIOsie9HCqxlkgcC62cpbXZfGhHr1v
julYEFc7BVvmpGpBajn9lmpgWHaTMDl17qBvM6c7g4iAdbGWbeRD/62pn9LjZqIQEY2HeUZFlglk
nLrXZpO02xObkzyuhpVatN25MNDni9Ok+pwao15VqjbuIGT132GDdDO9/JyQ8N70nWgfrCipiEGm
lIgk0E7C7a8uK68sr8XcmL5QF+EUlltpMzSNgC/boNYNkHP2i6tPEBZ0R9Et5Jj0KiF6oEyhOlp9
Z5yNubHg9l72qIGupa3REuMMmYRxdkLnwsZF391NFfzKp0i76A3rgoWcXgIV5wcP9X2WUGDyY7IT
6yAbxfUIdcnDoqs4LFChhHy/aZZ3p2aABlx2yffCKP+ni8j4diAzuzX9+DvPjZ/QoZPxHKbpoPlQ
EzYIXz5T8AsVtav6X3PbeUSRAbLXzlsrgVp9G2eJt0xk1vMYot80KQ4SGUaj7SL4lGZYdXCBcmEX
WwE4LWuFdp7zGaYIy2ixNSBdRFcheQdLkvXuGr6zjTsUEIqEJHsRQkmRTjBCW6livENd+UrBnfWk
Ix/xAn/3WpqbBPZIJcyHpewGhu+tsi4z/89JRpnkUDbD9joQnJ558e3QQmMQtlF+DWNwDnLIzoVR
frCv/ESUbXrqTMu6Ql97kOZao5J4rOvmoY3S6iNP7AH9oN4mwTxEb2RibrMHXSeM6GTtU+qiLUYy
5pNQDAwe4IRQ9BqDTyQwnvweTJ7CY/RMGB/C39kO2w2qQoM+BzeD8LOa1n1slR9hrtksNKZ4FRZw
fsJ6BMF3VhxUnwBKx47x2Gl6tFTm7HY9MwKPnREfQc4mL7xe9jLNXUch6s2usB5lcpxqr2VPludN
gHrfj2UdIBJFNtygFoYqsDo/mzB5XMbR+pCnrQqk3aBAAso0X6WFU9GvPpsUPirHFvGDzKxDLPpJ
Zrsn9tk0PFFhQZcnnUq4li3QAdtm/GZ1ajwuNGN8jpPQ2JTkJovHUHfDTU4F0GGyyCMkrfAeVRGa
lDWITpxERwnDEPd7gquaxp0nbUV0FLAkF3PPMrtuzXo42Sr2qOzrsoBHq8+8l6galbPlpQfZSwxz
epk5T+Yht+vbfVFkM41pTG0NBWsoLZCnj+Dyv/qaqXJ3FeFH5nrfy85Sfvh+syRZEYWIjRRrt6/H
79QdI9Md9dYb3DHRDDCqgOYOyLlGQ/08Kehs1ZTt3boddbpPnhquRk0ThLcN0Jo5BQsPoeH7p1J3
u+cAaBUP8ms09HT6DE5mA5IDOaaE5XAMzYqSRQbDJsEj0X4kKB0cEkoK1lyXpFZiwBjbsb+Yqsw8
l62q3UBgEAv+ytUxgz+ApJrDAhchD8BhWjesczb971rdlBvDtMC8DYb9WReEXJvmK7/iAc5diqt5
tP5Cmw+WTLeC+REBHAROUR3IY9RyFW1wdrKhfANApjzEkcNiRKmkmpu/x//lep9viLb7PV8a5fTb
cC2IF1S5fnFb4kYDIrdfHRVYiAPF5CI5uRXcEgC1w3PkKeFXPcjRgetM76WuqH8GCaOeM5VsvEf9
KAxsNcz3cRMuDNVOd3Vm+Rcop7rH0AtZMQ/Cv0hb3+bKknvZWHe5SmA47bgPU/h38nKqHlsgzx9j
bX91YVh6qilheM4z4zHkAcFuFamfZLJBIvPcs2GbJ0gEigEBR73p3eNYAmPwwn5ljSQgc7AfVwFI
YqOGerEBd6Ncw57fUMm66dVIUArTjCYjt+bX71OJnIduW8nRmruKpywqt4heofwBYto5V2kW+eBt
kxLhOZ+1wjvveB9QPrI2ctT1rF8UqXonOShNsiuKfm9S//46DP208frEfTD7VvskInZsO9961nMt
ODph85IMrrMo0LSfQQ5cXEcLp0Vz6UGfu2DsUMP0US+VoxQmKDvFJxMOwVX0akRlcNJC4vqK9ZkX
4btqjdZL0+T6GqxY8dDwB3gx/BlJ69ThsmsU68UlOXEyy/g17dHi00U/rJXaOLSW0z4jf9Y95xDU
APCNk/04g0Rhkwq2U6omoAcYlX6xiJY1C8CL7PWjDjsCDMyoP3kXQMIlqnfCfgqBAnDfNsN3ra3Y
XuTZF9+MwwfW9ixvdFc9taWlL6VHCaucUsTfBVGrZeOSj/cnUB1O7eiryYO2qWkhelemk11FB79u
8g8n1kLQYkm7sww/++hNF2ZbdlwtUlKnvgzJIfCH+OhSy39gJao/GvVYL8KA+AikX8Fi0oC4FF34
kELH/DXSIaZwTEM5xSA7d0PJa4bfv/WiB+hUGFVZXsw0jDeZoShHqR0rGzWtrhacHIhO/GMXIC9T
c0DDMe91KhCG4VOZinMLxvmXnyWr2lbT7wgEzJt5wE7UICbrrmWfqA5qv7dnmUlVz+yrKHV/oUPc
8s0p9XWsW+MvI/B3I9GYL41e1Et1DLyDZcXBQknqFkmHvn6LUP7ZQc0zLmW3Dm37EcwKWbp5VE/g
pwgzNDHBp9VvJG6LlYNW/GacR22dgJFtVgR35lEWQ1TxCv4TCsEJhGg0+M/K5CLPVEJXbRdN/wJM
Z3xBEmhGvHEBQ883flnY5xa9MABd7S/f3ZqqaH6SDM4WQ6KVr0hwwN87IkySaQT3rRDe6pE470UF
LrkcQ6v4mrj1hho98SurrG1PoOUL6jAQUEf1dEn0iBJnJUMgrAzHo6kmBXQXrf5qzKlal9LNnwjd
sP4Tv3gE/IABXn0TaeoAJvAK7jgqxNHz9R8HeAyeLARDlnrsrK2GvyMw/m6n5C+ARrVoWzmi3sNW
g2zHNDoxKRKkT/eykUP3rq1HgKpceMv+NSdPqarQKk/Z8PooTvXcNGBOVlrddyuYKosT8SUgbHJY
a9zkXyMRezpW7PjIUapaXj12EmLYFi7v4ltjFQGro16sqx7dYGnrKx9gRt7onxBm+dtWdpEpdWEh
BLA6z1UtFB+IPXYkX7RoT0a8RlhgPhwDbT6c8uax8LvTbaTq/AhBFr8K1/LwX/6hex6Jolw8E50d
oiPvk2rkR3KKQMrmbiQQxzMMHg6a3wXvaotGBEGTaSNHeVMjG1KgsCNHSarD3KWoz9ZYVc/zKQeh
KW/ylFE7iYXsylP2ZL9WshuwvLmdUnbhSni0zMrZ8BtUd1LuIKAcC5IyNVrcbfKod/xpZ/X1kN1G
pPEvn/9mY8GyaTxxJMNjUlr/KhBieRqMzn1qA8d9cqnlSu1iOtzt5jDoiywFMyE92N+6T+mMShRE
YslQ/TMV9RA4Imz0zqQf+u8GSVmez8ljH7busZ6PNDf+fSRtbJV+j/7l999GASW4t/MVaXD0YXNN
Et3ZiYF6QpiIqJB1PdM0l/LQNBEHu1lvDtKXZJ6+CN2uuU2VtlrOl4f/mkS6xNmVcPuvxtDJKBRQ
aoR1AOpmSNg8TVkQULOhsaysgelUuUfy8c/AmDjBiWLypXS7270EjlmeF8DtCVW7CzksTP0Iqrjf
3/2UGEWqJho/BstytgKh2rWDftlOT7xh11kQ2i9kf3JTNI3Uwjcf7uNmmTMuXaXx5n/r62aggwsE
BArr0yJWz7mbT1+Dwq4fVFQmdmEU9c+6Jj6k3a/LhTWOQ4PgU84yL9WD4JIhV/yUuzCocbOLVd3Y
iNJVodFsSD2qsNUNkM5OlbD3oCxv3nIKi0vvnJQvskPuj1m9paw9UlxHaZONAWP6AggvTxU19Bed
28zB07lKdtE3uUmQJ/H4ZeXKrusTSlODEQl4JLFKVa+Q607ezLIcP2AQgJ1wXYWl+ipea9/pXtHS
MzjWk657lVjn38e2AfEkeu9nyrRd5JUKfd0bSKsGHbRJQJZ+1kbrHPQoHV4QbSx5YbN7imJ/eGGp
G2xaVuArOao0RXpsJu+bHEwrQ2OJtAeXkKJaNtVrzQjOxtiBaDQr7yibrCXJvbD8EQ1DxYsRcJ/7
93F55FTtRjVTfdei0Ng+CgWBmTInuurFZbe3OmIVC99X2r3sO7NRHv1lc1Md8isikyzEDAg1dBO8
j2tEB9E5CAC6/e/GcqALHuKpWv81QMEArE+VO4tj/DOD+F5wRm0sPnK/LP+yy3P6YfGMACNP8vkK
g633h9onkDzXBslqn0nriy0an9Rq/VP2I+0WmzRK0e6FRPhsDfzuptuRS/XQ/XTSJs/5x1ea/jq7
HgZ7za6ajTlM6DNoEdQVlt9uvCSLSyoR2pE0XV8Us2j9fEhfHuUwpS7QOTvoYcnTx/GNE4RW5snU
pwBGnXGldUp5skcfImItyrVVrMQ5oPt51GT90HceGgrcKGCVZ/WXMXofUYvZ5Ig3P8hu7ltItMYg
0sANx8iMxj/1GdokBxPryq/EecXHfyLB+FRpSvQOltHb2R10htIpGKqaxxUSsbLLzxplG9Nt9tJ5
CP1jTTr64to2+TTuCWluMquGltaObh9KN9nLKV9u0Icy/6wSO3mSkAbWKM0FCxU86dMd6QAG/S9L
oX3GSZc8ARZubniJ//08t+s01sf9HP1AsRjlyrs2H8EUEGgO97XqjyjZhgrQsLmhslGs8inlOZGX
LeWKShsfMgpWD/JISOM02WzOkXpk5zY7yfGo0cVv/5uXnJBkZNQh/gKa+9dJ5PBtUuyEyQFNBnZE
+8Rrm8eu9V4I8Cqo8yCCdZSHUZ8HVFhhHPlB8tCgqAG0n4O6qkKhI/dB5BMNiX1lHxEdQarlNHg/
hOvHqzmMiHbonHSUmcj/npSUQwACqr30VAzUkvs635neAF0IBaqVPqNJa/bnR8lHduv/GW7UXulP
f7pDBCf1QjKVabABNas0GZZ9ZSX7AeXo4FGeQjYCyT55gdgiy3L6072dAT6fAfKYDIEoNkkX7dO2
LOMiG+TL2mNshsDtQ55eaP0q28ipM/53rXHJm9S8JFVAxYiCBNTd5vEMXjWJQ+J1PpUcKJzaX4w6
Gca7TVXtDy+ZxF6eSdp5rq4a8OOUETHT0Ir4SXHq2/WkCenJnPRse5VzYoeC207oW1RkBor3y+Fg
CJ5Xne91rFCreJFD2NFy4T6mVWuLZNfsMPrBCiWoYRfME0vpJA/9gMSjFrvNw30hVs8ru3v3/2PB
9n+7NEmDxiDwl/XQsfGZwDeg31qffeDMsA3Pjd0/BaM17Fpe8xbANGxV4bwRgTW3suckdX3ODa06
O171Y0B6fXs3SQ+UoFKQJOixjBZUxElXKkdYVhGVCrvxPZ0opxxaX1wHBNYe0lLxj57oUF9Fy2qn
Q+B8aNwpeDQKUT8pptWvYmRpXqepYtPcWe5b2g7dXmmRD1qQIHGBadIE2ZAdymqv5ZF30P2AQaiC
fw9KD10f44OphwuVjbGaWvFTMScW4yh2Tq7dPciebBSeArvUED+6MUhiYKhR/1h6FUKBtm+vGjs1
d01AsXkQhcqjOU7uS6fUbFpzfS+Q+HVIaT950cmxrAQyRJqEt/FFQN2buY44y97NHng79oLKgQQE
usxF3nzx7cjaSQ81TdOLC/nygtS1tTGdQA2WFGgASWjq8PF+djWDCLTPSZzfbUWTKg+TkWYreRp5
wrZqx0fS6nyj+UNZczPkidiWIeKbt4/gqQZrA1t7MZtpDJY2zBTHUHSP98/c2giGF4RP//Pboa8J
gUwGaH7+2NIdHvbbt7ub/nzD+yeITZeUSBzYm9slc7YbAFVYPtyvGTtoexo5Gbj7VbtI8R8ohfv9
DeUJ6yj//Q1vf60odKH6nb/d7dy6FbDe4dtJb3l++Q0baMTuH7Kfv2Embv+/25+lLykCT4bf307O
Vh1rpwQuqKj5DyFnIxb7JdZra3c/vUPacTHUaAABw6uewR3N9a5qeSzt1r2SKntudMf7pPgGxjmU
YHe55lfvhZYvS1vJToXumQ/ehJSAcIozDybrOZeC25PPUyZKyHqmpn5QNOOrHJRNBRjDsLzx5l93
FM0LAqBrmQ/t47A9uGXy4+7vacQPeeez4HTVVWsorPWqmaY9G2YFL1e7hkGhXyGIOriDUI7x3Bsr
p9+FMX9aOSjdbB/KelbbIayQuPgihI7ChfJ4PodsdFEOD1nnlP+y+ejWerbTnG9XGeOGmL+vL+Rl
5CxhRqiC2GW2k91BG5sT4OZbT84aBHRGlV1Bzvnn84Z6D/pAc5+kKYbwYQOZRLG8f144w38Vatrs
pUeKwCAqz83tk0oT3O7EQYckJNvHF5I24zMJuvb2JwHsXz6qcQaM3/gyeEfDz/NTo2gUsI5BdJZH
VppROoVa7EZ2HSuFyb3SQSBEJqLbf3l7iTpsa6od7yeQHrLhCn4+/r7C3WwnZUwx/j9XuA+kVfv7
KgVFKLMAl71UOziS1RDJIV0htM2iY61bikFJfZBsWc5DZj15w56ss0u6va5OnodUwqCG4mKALliR
z7FflNANlp2RDx9W04cLbTDGb3EhjrXb+b88tIq1PBxYEyLlCVU6rOSpq7M+UcPvjqn9FE6gfISZ
58KX1eavOnU9yEF55oXSJbamhqGe+LjaI5KKzt5ROnfr5W69HRTuXKNwpAwLKy/N/86PazwA1Srb
RSNbjSW/MLpsK0cGw5srjnJyyQu9y8bDzeoY3mLgRfAAogLBvZXgv5yjFS2I9ytaum41lifLKp/T
2doFrULzWsE/9Bg15TaqtYiYqRecVQ88CPhiBTrGLl0meiaOU2Or11htXqXdDRKUx6Za7Hi6a9RU
Giv0O5VP8Kza2tN9m0Qy04f+WOgtFLS9GW75aWgP0swOcY9sr/oSX6wpdCkDs1MBFapHneWaZSJB
SDK+KSJgZrpvmlJQozwfTjqsFa6l7XotKIgvhqvI7cqHCS3oV88mfdYOiCO4jo3emoKsgl2A75Dd
rqXkKi7UX7I3KcI9e7F3lDPhfLGusKQvYQrmXTw3br4BWYLW5Nzpk/IR5nZxkXOzeHo1g0g9yR7f
BF5eP4wP0jXtAQG2hOq3hA+Ul4z955afQqkuzLKJiNXTGIMWLVUnN1CljH7bpox6LhiuG4DCFmE/
6RgP+j/Ds6PdTuXOHwvwxn/spTUHGjo14UE6vSWorQCrrtL3Thl16P9588suCsvo2MRmsAsAab2z
BnhTrSp+olx9emutlXTSci89G2XHfcwZXD2mnsnWWAnMU1LXIp2v+KAE5tFR4+HYO5N7lKMT+W9w
SMHrCLrqYhniVCMw/m5qbrSfRFQTjmdS0U0F4sS9vZaTrBJBxrGN2DygsLKHvd9fB3PFpGxiqcvj
zTo86SzZ8z+sndeS20q2pp8IEfDmlt6bsirdIEpSCd57PP35kNQW1TV79+memRsEMnNlEsUiCeRa
vxGdGlhCsqNIwYxeWT6GpLWGqFGvTaSVaA8H0TLjHV6JwW6w3TNlx1tLdJVN583TeOArNE13KGnv
ldqg4tXnFCCRBX2WGi9km8BKJIKdbQi5AATzT8WovqHsAOwnmGjiupVfIr0w1qY7Tpy5HhFAiVu2
05jVxKx2Zkh75++VBX1KmcroSoNZFNCl76Zb5LMoyeTn3DcpteiqSiJbdzYdClFbRxonPEkeLFFW
zZ6rmK0ZH8ruO/m1xW2lIo22edfq73g9YkrbyPpjU5P1quMgOWpyRuUu6r1NgInl2be0bGErUfIa
mNIPXOmMj7i/3tbB9OoqYbXy1hhdDfiqla4Oqg8Ldxxxaerj5xFbq6cAP4intsIJKrLgz01dYaWP
M1gbIKunwaJJilVGOn0pRvltjA6t3gERnUZz1IWf6v19LepxU1Yrqg9i3HKSZNlYfMikt9Rp2qeh
TRYFcsaveGkpwC9wVBVNLTeslek3BULWdfXKTgwrp6iHPjEFa4m7ovDRPipuUj5Arbp192bi79Ns
QkdPUXHGdw76SL8e5MbYdxL2fbohdcdJn2IhV343182xP4o+cQCK0B/j6TCGtbnA0omQaUaHkC2u
9dOIaKsygqX3YdEnRpGDAz2Vmnu5wg216Ub3VJmedawzC/dLbbTfScHtvN4dX/IRA4fMxSUXTmbw
xdNHvCVi+12C0LxI1VE/BK0SXlLKN9B6Ves9DYdXBfMJTOFxEHHTDlxjF1zuB6t2jxUPOnvIjIU9
i2wn2o6SicfgFBcH1q9gL0CDWJfTY4QvrzszSdXNCqOu+P6LNruLVZHw9mA8P1wqBM12YweUR7AD
8Cf8Xo4oKwnmQE0LSI+PmhOsgsEJvstmE5wEO2Aaq6fI/4t5YhXd6Le2UgZneYQqIFUU4l0jch58
o3Me7Ar4iG1eRc8gk/RBJqdeiDHRZ9r1qnfq8SxasRFFm6pDuczHBC6dm251QbS2P4bTYpmr2qsR
F6lANcwHH48VRO8TNiZabT6o2WhfYwuYC2OipzINaenCZ1/EWYVqYxiFSw0CyFEBlW2XZTgPw6h8
UTLc7sWZ6INm1TwOPd7vJJu/Ot1PzczKL1ZuplsLgttSdLtesHesRqfYy68V1jFIGSRd8DUc5e9Q
9turHzXZadAGaybiq1RDKiKzupOjycnVVfUP0W84uctzQGEiW8P3zLGLg+jnt7VGOzPBntVIvC+h
TnF+uhypk+J1jATbWjS5OuP31XWd3S+z6SpQmNkXjfXr6loepead6q4qpFTCoss+Cks5k5HNvoxh
ZizMqJePbu0U+wKDv1XXBdHz2AJRII2SfcAGn0d1r58bTU0Wja65SF16mIBMZ/dD0kjD2myjg2M2
f/aLWF3WXzzd9p/bVt8rsal+cfsCHbI08o+F0kCPl91sqSau9dqr8dkNbOVHqGUPoOKSV83jz+rK
TNqH2tgdUaeAOar71RtY+a3Hs/cPxc2/Ys2lP8ullK7snOS7FtTyqfPGYBLNdL9GEvbqUyhySDg6
OXn1lMH+XrV64+HEHphn1KP6uaoMfIkHvUWKe3BBtY26tdVCZ8MGIxJiQa9jWtb4oQ/xVyMPvuFp
7X4jk3DKEOj4KNRxKfOz78+c9ojoSRbOGhP5GxgjM6gfKz1Lyg/Hly+YqTXftDb4GFvf2Eim061k
nEceXcB7Wf6IXET22JYFG9DBVVairx318gxxbJNmXXaLQK7QmzuxThoDh7khCx78NHTOeWCAYp7O
YOJXiybOgmVtIyey9FEY4z/g7EuVojS3V/aNRhE93EZrF15SiJfvMrIQL6Lc3bDOX1Nufbyrtyli
fV/J8PHtg3oV2600CyXMiV27U/d4j2Mf5GXlexu+gD+2vsVl486R3laO/BfMo47s8LycBprhewIP
+T00u3DplewDzAGISi53yKtFofVt1HMYGY3/Je+idhXYobyVckN+sEPsWkVE35pPGhzM5yDV8ewu
DRvwnlk+N4nyKAKQJEpmiPoBOauqEkP0QOUtoF4EFBN4XfXFApO9keIkX5UYwVhN5L+gf69uY93p
lnYvG19NDNoDKx1e3bLXN7aKb4joL+VvdR/Ebw12busG+NFacQLza5wkxlfNJqPQx7K1Lpoufhvi
b2IsguO8YlutbbBsGV8HrVqIfsVgoxpWiUrOq/dfSChvxEuQ37EWASbQmhlL89LwsTpjL7EXZ/nU
vPeJARyh/4+QTnd0+BSNvvg0twdpv0PVHUdLJP7EoQzBKRdBrv3RlyZdduYiwjWVAryIfgfH0wBq
/Taq08aPT/1qDeXW9+rjp37Xy9JjA+K/jcxhXsFanndd95oaVXktJuaijYbP/ncXrPfqijnNrYsq
W0kSCVasxLbW17F0znHUu3qZoS1rvUfwpHWcVa7p+dFhp7eBFdvv5Zr/J2Vxd+uZTr5PMr/dVKh8
Hg0XRZ06yqlgSLj4RWghX/ywQhPALb3HRGlRiA15GA1V+QQMIDuXpiavTKV1Z2lquGysb++FPGzQ
SGBnaprpWfSJMzd2jB3MoJNoaU7oIWWU+MWxoiAVxF16vvWFZYKFYCLHC38Y5EfI4N6uHksArK4+
FOz1/DkA6O4qRo24LhZWgD2oaGqR3R3yIfuWlYn8WOllc0Js8RB7Lqq9ahhQ0TWijWjqutLN0jx0
b6NBN651J3IfqJ56T7XaLESUPfL8Uuo8x8uwFQF+oTUzGCN1ws4ND36p1y+BXs6jQUOO2SJTOOpt
sxTNpo5+wI0fLthLR9eUvadRx4BEHVyDc7Oo0b1kUoJbVUbFZCNn+LtaplE9lDZZYD0Ojo2MIWJU
G8Gx5eYvxsTB6+py2ah+uTRNZYwBQjcX3TDltQeCZJviXH8WB0UvooVcmBjaaVl66wvqMYGt5Pm4
gJrAGadg0SfOYHCWG7mhwHnvcyXfXaD2osxAHubjso17aiOTBk/iNMkuhNS0jmlfmIecXds0/EA5
z46quT+DeMcNw/4IC/en2vTyS1JKI7Ckyj/XWWVv0EcP0Fo09VOnwN/Ntbx4UcI8oL5RtB9geQ1N
c35qZfgUPqWlrHOHGszboU4sFOra5FpEGZam/9rfToOf+sht4D/SzGLD/1kYXqWeHPDMUDLkcakD
LDhmo6aAjQw/sCQaUHUZhr04ux8sQ0nWStTAosbFzZkOPs8hsB6n01Arn1qVCvHd6E30qxI8fdF3
C/4dJ0bvwX2pFMtY1t2NBBttjdnqANrIDF5VRZLQDpSNbVh5wasfJe+B6VRnbtzBqz5VwePqxXOt
ntRw8iimjEWl7igZdnMRFLODBfkF24MsLPeUgdvG2MEsMnpLezZDXVkk0VCdY0WNN4pcJOAXNPNQ
hHG88steebAgic076CRv3Wg9kGSfgPw8flG0mrkw2QOXxxBf18o5dMf6Qa+4gySFIh8UtGp3qS15
m7GQx3Pup8NiwMj0pevYJedf+M1JDrqRUwIIq25GgkuOFsBb44M30aScBirkTLTFAUheCMKhGfFo
jP4aEWuIcBFzmyPaqoRia9e+DZWeXP1J+lrpu+zQpwVSbHSFUxcIBOMYdvVadIlDp6vNmVzBTMy5
94szddLEvvURcQv9vT7SYOvbgnJCni6JqrPtp9lBxMtjIK1cY6wAYmnO2iCxtR+LsNjVWeeQgm/8
o11p2gp8W3TBycpesHEZHrPBqCkYa8V0z82xKtK8hd3AO9MjXdmj2IKIQTKphShlHa1EZ6ikNn7r
07jtodDskk0b9vKgAkFT2E9nXlM9tl0MElx3SVYncrKWmw5hxD7Xt0NSFtt0ykyGKDKuRqeML7kk
Utmq96TLWTI35ar4go+wj04oqcUWYVLYnCmPysPanTZRM4CFy7YrkBpzM2tt2cPMmAAfbSEFOzbg
+L1NTctv3Bl8CekQxkn78jussUAX2j2MmczXfoW5leliWkaYw2qiX6xmTmHgWv4M4ynEBCcwxoeo
rsu1FNsU96NBfQxMs7z6/IKbtW8Uc1eFFNCiSLArnVh9tMxU3WSeAZN/CraxenlMofZMoXqeZHMF
rNtGhCpyHe8aCbi2aOpWjeGlU6ibzqIkhGyQ/Jj4KGsajhG95B67nmZUzS91yMMw/37lPRqRkvBr
5YeUtjxzxQhtk6uY2aS5wplXrtlmYLoKnmZZRUlxlaRKn1cNVPMybNFoahJShxQB3iGRHzO/IW8R
2huvzOyf1Oee3T4s3vLEyOeWVOgPGii5VY2O6tEMI23bDIm2wTStPYkVkfpJEeVyUc1ue/+9zHg6
5d415Y5vKxYJ6J1pRb118vkwiRTqwKK2Yo/zd7ugT31UxIqdn5DaHo2ND0kxzPQ+xW9mSJYJ+kOo
dEtanlyDOs+ei6Z4zjpNPQ1umz5zlRngRoOMzDQ4ShlSd7ZW7sSo1VQh+p1GuxGjVD0K1J1cE39O
5pKGNVYVue6+ak5gaArw71r8ZgfywZg8SEyL7YnnOl9S3ZzkRoPm5IQVwMxWcdme1xDCoqKdVZpV
f4wr15PyjzKOewAiSGLJefcGtcM5uFL561A31bCMs1ibfRr41DTLit0W5EjRPwYZ2iEOFoLJqDsH
vyYNjfg6m9bQYIdfBP0PnsgQZO67nygfvmAo7n9xEnSC4RV15zDujU0FLweui52fEwrCC2S2zbWp
D86c2xtv+3RoIBjsTcVGR67XsBcXnRmuqBhLDxGVacPl/jUGs0D39ENXVe6T63XTF0WtMWakmbRO
uSwbA8uLKRiXAHM9ajpyG1PTbxx0nDFDvi1l5U5z8qXmWUwd2RU/IHg0t6ZQs266OY8+wSpmPwEv
0hujRR6z8cw0qddem4Sfn2rBvqH3Z0CSe5wfAkQHjEUeDd2HnCuPKVXGd7c1q5lqmc4Lfl7DHM/d
5FFu5GCJ8PTeSSx0Av0BzdZwzLY9SByUTxQpm9dlu+NRwwbPzqhi6fFaMux4kUVu+phMh4HKApWG
q+iRXe/gWONWZujo+6ZzVJXMGPHthj4tm26yACLUyQsxXg5khLMWveKqcY8hefl5off2LPXlp8iC
fWUiybAeKD+tTDct50JZSAgHhRMBts7yyToeWKs8VjgixuqLpfPn2ZF6Fi2ZFDrI6yc8VauLgubw
rszScuGllvE2tNkPKzGSa+5U0gl5aIreRsf3CJ+HKRt5pZpcfUv85ofBe/bGzaXB+xJYQKg1wRzF
5gtu890pg8S0DGwbJLFjYZmpdNW29KBbu+hNDnjnYLcjjwe+LV+VkR9IfEDwf6tbb2U6ICzRewt+
OPxjtFJSNpESShsSgN+GEmHzREeAvEAP/ReXBYXIVM2tV33Q3TVWJ+naLPLm6pv5MXYHFVMuja1/
mXyXa5RdSDr7Fyssrp3kh9u+D8w9It4oQk4HIz57+XtW+LU38zr4olnQ/uzUlazJ6z4onC9+5nbL
WpPLvc0G4uxxifOw4SFLQ8Fhheu2fi7Hxpt35CJhCxUhStGOH83qJrKgfcpnTWnGd2WyWEU8JZ25
Vp7ziRpWmWy/+mjtfrPtAGWVDsIZN5RwbZYoo7iy0b06JnCtUvfb754xrEuvoHDXaE9tqjuw9KSr
Z6abWkdsYbAQHRkidV7XmEx3iW+vIzTJ91lf9RvTlnbumKVLZXD2Y1y1M5mkB4mYpl+1gWauMrf5
4ltpjcO7HcyqdAi+oct0sY3C+sj58iDljAcsMugrR6rrHdKvOwd+84mAycwchsIpHcClR8BAes8P
r+KAQJmylyJU6aeuSJKQFUtsY0ltRzl21qAc5S7/0tv5pTBTsvFZ+QR9PD4j7Cw/Z5LygkqhdVLD
vDoORnnpQqA8eRKG+8D5COUmPciITjhhP2w9C3UV4P2ZfpBObgNT0TeTtw5UxhpsOtJMU1MazPOU
2Xow1bY7NWYNcV0C1KZLYbAo5cbfq05zVOrGRrN+QhxOwETf4YxHhB9R7oORGpAvEP3iABkLPL0I
EW3Hr77y0J+ioj0893gLnYs4fK6VrDqRaOWbNHZU+LqqfZHtNJxBskjWZdD+sKmEXLEJ1o59b0Ft
1P1gztNGduDsKgYRje+u+CIAVx6jb6T1iegUY9g6QZTPbu1AtfrZUKkxoLq0Xea9XbwUWtgsMYXM
16Jpaia3H0dBX9Yb4b85+TDvamigZNm0dH87tdi17l0dpt98AlXsI09/oBQszf0OE0Lf2aXVcCmG
0DjbCajWrl7qjvaDfV0xk8P6W6cb7WWsE8pOGTKfZfA2lnwPQ0mdD01Y/ez0x862UPmJfOdQUGaa
oULVLvoI8kwTYkUeSI27wSiOhBNf50uCkuclnc4oQ18SNS4gcdIlBtsMolTX8VspmrKqJydJKb9F
oHoyfL+eykhuuQchCyWaVuCNx8EmWcZ97gnMZ/eQNNkcGoT5lGdyMguACVA47//0VhunZhxp3HV9
8/3vrNVEhBhwuD1stYFX/+3gZqGUPQTxz8LN7V1foP1oN/jbwLpJNoEOwwp+JszkEm0yttzDSsu1
4jzapQXZUm7I4XgXpy6yTcaj+j61qcv5fP033EMozmVIKSB4OJ4RZc6WbhDID80YWbgMdfJTHl/L
kgfQya732rZhuGl1HOFDz6nPQzAVX5y4fFPd9CgXfNOjuMdtHTgTWS5tblpYrmuNoW8ad5Q3YKVx
Ms/UeKkYVrFVTFYD3D3dMrqCyjTPpbCWl6pcmh92njwqAzZBVSbL2NZIy84I85/s8k4+v4VvXssV
dn6UIdEUNJtyqE82X6V1pNrdujfs4SJbtrdAA1p9lSlQqmYS/kzNI5UsoON8mS9mX1tvlo/OadEq
1QMFpmZVxHUG1qUEG00ai2eu6pJVejNPKyv6VmT93M/K+EP2S0wQ0iB+NoEGrlqkT/bjqKHSYoDl
9Z1OoaY/HNVat59sx1H4yV6R5SreA9+A3mnLxc7VOws8YfeheBE/lLYFFN+oTIDwTbhHijhckrkZ
Tolj5rPWML6FSu49QUUcNgrCqWtET51n9uhIRabed2QsABCmyfAwJHoH7aeUV2XaNq/oou5ERGDW
IMYL8nNqV2Xrpq82suXFWzQhzK1C/eHA/zKi9FebZ6QnnEWAkP+y6Um6D2owHFLSvrM+cNwnQ9dJ
B5X9bsKedBoKwUUPWrCv42MAUA9GTVkvSwObao/3cmHif7nl5iK9NOHoz+zWpvw9jVaNjeOMoT/J
MuKjFB54KKq5kZZAKjS97bZNQ/Z6tJX0zYmtjw6k6aVwQv2Saf4PzNpTCNDOLAdHPYfHh8KCI5tb
TKSGdd9G6YOnTpnrrKm+m4hnJUGjfLDL+SjkwHoukH5aKkr0Zg9lvqDu6VyS6QBmGSVVakcb15RU
CX2PSlmMJZgl3y2diwh0HBNofkgR+96XS71J9pcflmkVERaTV7rYt7Vvi8Um5jrNuW87ks2S5y/t
LE+PkldhQDDGCD+1WnwAdfHVAjB5DDRjmfnVIxLUwVwd1cNYOXs9IY9rObZyzDF1n4+DryyMuu43
TlypW3xIhnM+HYJNOpByAWUQbHLPCRa62aiv5oCeftn3PyHDjX7Hjh1Zq+eSfPusqp1s2SGQxM9l
7I07KghzX5cMjKJybSMPgNjiwlTI1XjWxo2kdM5Hnu+rEn/xHRUZGBsTGE3Oh8MIWXWeaJSjQ1Pr
F50RkaGXBwtKXdO0s6huHhELSjai736AFfZXSGWr3bKzOm3G08hRp1TwalcdaRhLD14mNcpFmxja
JXJ8Z+VDznYTY01FajxAMEo3noHjTacWKP4E9bErteQRRQWeq3HZA3ul91vRpyRAX1CXBQ4q2Re2
AtaHopKGGic7MvvB03hKxm3iXZakYefr2bgDj82741LBCCD1HxqwRzwIRl+kirJDBwl32SLAvEmK
3r7K2HvKltqy6cFpHt4rudKAPY4fNPPYS4IDmOF0G4wkLGxgHovCGtWF5jsu4i7dg0c23DFMSvhj
KJnHGoSiC1/tKmVeduVZemI7Yxsxmjw1eaB3n02MALAj93nIi+vyGZcvkuiR/sTnxwSjM0fhPb3Y
zeQr3DxbkJEvZD6T26GgLr0oUAhbDlOUGAiLyj3V+XfRwOhUXlIwjRaWVY4XFKacmabUPVUWbbzc
+mTDXKuxrYN/JUQMsFvQzwYQyakn78JoLhsYuNdSUx56xyoOTRP/OouRWkChGxlGRK8BKYuY2ym/
RHyuYrldxdwJj6WBu68kG/k6URwXViUHPgbOtqkt8vfpeDRKkxtAEl7rQor4+vOzyBOshSMsCt0Y
m0AhKQ3rKvpqOyPRWCFbGtoq26TKpUhHVhfU33qU03SRFcOpQQ7oIqNsMNdc37v6XPWa1FxMtbBD
Nd8bLzZgogNfuqpTFugK6tymXX3v5GqyrkP9rfXb6Oi3P0iCl6e4GfKVY7uoxQQ4EFUuopviDE1l
ZHLE6f1QW6e+6AdSp9iP9KZsYjRhoVctxW8uGidfDewtZoYu1S/83ivzOnS9x8IucWoLS/dsynwo
ggjRniDamw3evGpjcGuZmuLQIeoBC9LJ+mwmhtSevHXaLaQuVi9a9RAIcSbZjLHn4Q2+aTfJpOO2
sMIoX4yQStj1qlOqDwM3IbAkDoWv8Fjgm81K8WTtJuBU1g1mpL2KvtAk4STiOnyt0Is2D1GGjkAe
evGisRR9Vwfw9R3AXE+Kb1YPbKdncp9kTyg/LoFJStfpQd1tKuVVi53iUCaBe2saeZLMw6ELVwi4
4LGStr20xLxUWsfAdB8qPfsOdQKMWNp1O75rwayjUnU1sgi8nBOPa8NxAVyV0ouPt9VDNyRzvSmr
J28YyqcssS85YsKn3JPKJ0frjHk7DA2/sDRtW3HXlCjChVu7JyPLu2ObD+4pxWwdfc7w1UvCchvI
fg5xw4tezYjcJHnIYCNGI3jUYOQplYlRV8K4Ko2kR9nW5QfuHxvR3Vtteoj9DGQTG00AkqOPeAMV
TEOr4gV8CPPZiCMEvFW0w2FUmc9JRe4boJm8sKemMcjKOs+4vUuRZTwnsJSAhCrxUsxVndZbo/Dd
LG9zG5DD3O01FH4J5gmvWmWj66GTxlJR2weItsP/Ek0Vk8olyvzySgSnHZh0HdnR26jsRSmpGz9f
3+b2vbtA8Edei2ANMsWi9G33NhqbVbOwoNlvRLAcdICe2qkMK1539KW5XtfRGtzoxrCc9tx6g7VK
gjE/2NE+I0P3hNtXq8jd08SkeUrK/oX6nHPMUBbYoPCAur7Wd+emjrdQ2p29pUmosYi+WnkvRphZ
t65W66KTDlLBlXM1QLo01fdUR3Z2h9u0iE/LIF6wfw6wL8fdxEo7HvEC6sRyGGNbR+0iUfrvaW60
73nuq7jaasYZXnq4CdCNqimHXRojem5krMJMJ1V35Mzbeej03mtJ6niloXOwEqNKhe1HXcS4i0yj
mQ6kr8raixfY2kvzXhWJt1H9DNHyjrRdmJjlopKKcg1ymfuW7Y3DzsGmwliGhvXXaTyd6kpSqPM/
Av441RMlX0UT28szHtyh815M/jxIy8NCQgboRePTdnVjjIimlmR0+jn0hgfRCsc0OxWg80QLjJVx
0HDomQV94b+MJSJPdt+jdz6tikGntprUtRahKWnnwZV/HXRpa0kQAu/dPPDnu9gFTDkF3ftjHc1F
fwjM+aeBzAvlWeEmw/oeLELIR7DXMdGa//1ybsuG0SgV5RljghX87uHNHk13MdZOdxiUVD7KKumu
RgU4GLJH9gfEJoLJUUgcislWSJzFmjHpYGAMO1o4Cok+5fdZnE1F5hZ72k8DIliMotqL6ce0spiG
56+HjgJCFssREPVt1YrcMrAnilLNDCTzIhrGdJdVwa8D3MB0R+Y73Ymz+8A97j7wKe4/CLkvD9wM
wXux/n2eaN5j7q/0H4R8Wuo+9x+v8h9f7X4F95BPy1ee9Nfl/+Mr3Ze5h3xa5h7y370f/7jMv38l
MU28H0o74O/oBw+i634Z9+Y/vsQ/htwHPr3l//1S9z/j01J/d6WfQv7u1T71/X+80n9c6t9fqe35
JU+HWoZp78CjXTB9DcXh37T/GIoqn1kpNcLbrFu70aPsz/Ztwh/T/vYVRKdY6rbK/xZ/f9X7Vcsd
LjTL+8ifK/1v6/1vr89mhq13p4c8nd9f8bbq5/fhz97/19e9veKff4l49XoYL0bRtav7X3u/qk99
9+bnC/3HKWLgj0u/LyFG4ulf/qlPDPwHff9ByH+/lO2USOeW2vsgGcG+kdpJIRGw2T7+fRAj0TAU
O1W7iG7RI84qMeEea7pluBfDJQWkrRNjy6Z13kOmNfrcqwy4VbUhXbMgRkCt7p/YBSNkO7XiHCZh
C75lGhdzxkA3d1Tff4px0e8iG7UaSxSxRJ84VD1qGaYOCKxGbP+AXPQZUY/4XNhSvO1sB8PnDp6v
bUa3AwqV8TFPUSCdorQowklOjAaWBJzNkw+3PjGsRvpHC4CKzFmDtIxYKvd7eM65Ki9vgS6qkovK
CGx0kg34JdmIxQ47e3CYmKmu/AgvVxu9GwP+fFecdZIG1O1D2D1Tcwis4lwocXFWlEZbe3oBdF3M
brVq2LgFyIY/Zlu9AzA5bd4QF2RFMbEyc2yJjPp6X0ss7XdaRVLT29/WC5KiOYRpjCzvXy8pwtK+
648qDxa3MH1ki2apG0cue0jM+AV5k4H9zaweeWQo6n8Y1zcy/Ktx6NYG/7c9oFzv4FeTl70wvBed
Yvp9uAAn4kiOvku6BlSFnReQTlOUPjJrmxeWf2s4SuCAhpn6c+C4CFyRvLrNEJ33aZI1RnOKHvXy
jzm3yGool12cpPvPE0dl8LdNKF0/rSWaRmYeyXQbW6Uy8KqPMVob5c47BU3incQZYC8P39bSW7tA
ZqlrM3ofEHGdM0bHEWbpFHqfeVtIax9sO4rJmwb6ThxGUmc7nJH1nTjDMG3YJlIyE4PJ7zDRdHXd
SyGcMCODHI3ZrDRrHRl4GW5jPsJjTaGeWklSTqK3xUxuCaZWm4uB2+gULs66USblrXoHEXuPoOJk
rqQcSQ/wGr9i76OR4j9iMqSSsP2XQW3M9I2u2u/3fhM8oYqeVppR5XHltRi5v5iDhyGoug4Jk+mq
f1/XrZlC1YNqaC/FRRiWp/KOlAkKW7a7Ewcjy3Csvx3vvV1k0pvBCSFbOMUmIFswvh5wvhvjTvpj
Ab3ISRjEXSzdFrxN+mPBskfrVUKhYaGijL7Xp0MY5s1eNMXZ/fCpD54esrFsxOb3gf9qgfu022uo
vbPKkLZL2fiU/SFhi4gDsppcfNlPL6GRsrsKMZQQA+TbIjyoManN0EhHl9beQQUY05logz391WkZ
/hNGC/JK9IMec3b3GffYUhhbimXE3HvMp2bu9bAxnHo7ytGb1KRUMnIDJTc9jB4DAGpb2yJpIPMJ
ey1abSMiIHA57Lkd/2JNMPY0g12Xm3EJpMpCwn+Ck7QTnKQZAPXkY25SepxORWc9jYize4yYUvUr
q8e+6R4quv+uGQiIyn2lWB5PblsP19ExLnqddE8FG+5drqvlcijj9N3TDUpKAKxInQ2IvE0lKDly
vxQGwNWoQH4trGt3JtXDVoCNBQpZHOrKdueG4STLe5+ALaew6pYJ+K25GLjBk13HDdeazUf/D9Cz
V7fRFuXFb7fABhZ3FaCYi8GVu3MKx9mxc9XTmTgVB7TYDSAEFZ72t94SmnZfqMZKu0cidupiwznF
UDfCJnY6iOl2UQcALEkL5GbVoxiaIqguj16NbU5Qncoc3WdxJg75kMC2TXVQHW71ayD6fRZ7gBxQ
ctbXIljWNOygIx9N1Nqqzn0av4SuYyE+HAM5lWLcsH73hZSyzmLAn87+qT/p05f49xpR+0TaMj/U
Th4d0f6Pjk1pLSqH1CeiXr+6xOBYdCN4kkrJt4jQHuTRHrqZiKk6ENTUPXGGT50IfuC0VtLWVbAW
p3FjfNiBmq3/6BMvFf7M0QU/iHOJlGnfawlCd7qzS6ZDbyooUt7b4gyfYHxJzGrzuV9qnd3f9fWG
7+4kTJ/wdJ9ibquKXtEWc8ShHaCezMVIUQzyhqpya5jKRdf9/KUm3+zLANnN2NefyXrUZpO/eF4q
46DegeuXsxcFC/mz0ZmPYkaY2/GxzHlozHWytWbDD40O5Xrvp767F2dJl38dPNtciVY3FO7eq4Ak
c3P/KyT8fXbv64CZ4obj4j4xjd4HbpPFOmLFTy9Xw9ZZpHUyaeL/y7x78K+5gYwLhRWsZD/I1sWo
e1dJLlGhL5z4C9m7N6PXlZ+YazuGTunX9sLH2IrqN6eNKOmErf/ghza/mUYo7c3ajPef1mkQ/fof
0s5j2W1dS8NPxCrmMFXOOwd7wrJ9bOac+fT9AbKtbd9zuwftAYpYWIBkbYlE+MMxHGr0bvgSnzS1
cfaDUrL/hOzAosU85xRhLzGdO1QBN30M9BIsgl2/xYnirVPUuhYOG+UcmGbJGt2x7tSJgsO6j8Ut
JlM0VVsntavsb3HZ4VaVaTKWl4a9mxMPr7Y/hrTK+eMr3PobMccRbZbd+5YFESrF3MFBlXwrq6la
ZhcvSy8AbJNy2eW4WQQhbluh0aLzNeLApRnRuEBUa+Dg/I+iwK8Xv1cLbe+FbIoHDR1reVkGGS6w
FdtqH4J+VdhrY4hBuXlNt4m0RBOUg/BJFp2JgARe9w+yFlQI4NwyBpE2kBE5868MZk3gHzXsvbUq
b1YcOwbnWookVW3KtN0vxrUMIp0ZnicpiJSKJBn87zm3PrecRsguyYY4NoKdClYPBaHSeEErJPG1
8qVvcKL7VfnVUimVsslhR0GGEfc9IyjWMVIOS3kbvN0Viwll3FA03GLX+6hoMCefjXRxW5XFbahb
w63bbahbcoFhE/u1Wc59vZ2f4PqPC5cT98Oc4BejZ07AWSuUotTxu2rZoFUSdvrjKBoRxnCXnQYy
W+aOim0do0b43RZGX3GsEh3dWo/uZGtU8hfJM2TMZdXhZP5iBqMwElKf6mndw49pQNIBWRB2525h
rPzODvc5RhenzEGFizVRmazkJcLiU7NwC5Cd0FDrTTvlY7OoDPVn6rX91lVeDZHQYJhYq8gqu+yw
mUZAeIlSPLqwjS9+a2jPE4eeSyNxzD2oKe05rB0XtfvAx3G6RCpMNYelLU5fLSxf95ZRfatm1WW5
KmJgGgNAYF29n8U5rCzMQDP3Udt+k7VOnNnK3Ajqzr/mijFv3eWVHFcrlHqPSld6HJOhgr/OfErj
c7gzawAzMtZrsDVbz/e2c1UolxKe7npqe9zmxqBcjk2mHWZZpA0Ap0LYCS5k4EOTaC/Q+jgEWf/z
SqZ8yDaS6D0v1HoHeqc+6CrCkr/dBqXloKwWUXHkWCQ8ylArXQmbjKMzW82FBP8vf0KZXNsw55RR
B3qMZeGHHqNWHi3bCY7XAWTLbZQ5R+569fttTH3DQfkcpEsrKr9zlFo+cQJVPSlK+pmz/v5kipqm
WuMOyCRWViKjrPTqqYi6FdLn873M16oZI+IRipRsVCy7edBbtu5Fd9nJ91MNwBFe39cXcNPsnOUW
3H6jLJcDWyULO/GKo0wGRTDv9QmmkHx9HCLU/eRyLIlwtdMbb11TG2dHAR4rq06AqPLcwsqR1cpz
moVqJs45DxT17WefvteMs5KhM+5XnvF268MkNr7Xddz+QjQtIyf9moHBuStEwRGmdhfqmbUehXvp
LSYbMrPAJyHB5UdWZSFTQjN6GkEnHm4heQVndLTZnLmNw9mhe/BzJH9/v9w1U4dr7o8eWFfxFmQx
OiYK6nm4HXylPVqsPUvUBvT2qI/1zh6CaedqbYs8LaFUtw1YK7IuL2X02kd2txsOEYHiVs06nME/
d23xLx0KFc5nEik7rWMJIYu0D3xQV6LeqIp+DUJ3+dl8S/wrNosend15PzvLZtNI9a0GLv/voa3U
czO8Pf8YtoT6sjMm9BvRBUlXCY4z71rnDTxpTUw67aB419wXRJGdV4TO6nMTYxnojGn+nvtTuXYD
6OUssRF6rtWFU6jayhPIfKyg86MlkJvySsZmgOjAikWLLIrfV7KKTBrNnpUiyzOIB28x7FXmzCd0
qbt7Lcz6e12z/NUw4Hhzi9lqFZyb0t/K0ADpEpVZIelqTO64l0FZxAhDbG0AHULnuru/FfZT3PrF
PehMh6WiBYmzaGoPwD0vWMW2es4s0GxQTFcx8pq7ktPq167hE2piC8th4cQM/xd2td+1R1NUhxYE
Kwxh/yRbbTf8MkzedJFdQcDeZbVe3cs21yy3nWmnj7ItUtoFCJz0WfM072XAfhiFF89WniOU8u4B
bDbHwgeRKmoZ0gbXq85LMSHQ+mYvG0YrqO+92u12KGkxHxHJt4YuVPaqZnYYXpAmc8GxBZsuAJhy
y5WjYyJXJWF47X1tC2vgGIqhrZUg8DfeEKJDkAbFnSxUC2uoucVAV1YxNP7Z0JQN0jSqGmxuyblo
xXJiWIVJifTc71GSUSvuglD31kNXYhD0u0H2sAZ27WLFQYzJVDY2Stt7Xsfe5xquMUKcUhVWe9hy
4RUsZS1v9VszxoUIXsr61LbVrjEhL4fJvC04/0flKejvfUPn+yaujOQc4wF4x5nyz0jsF4PY9eEP
JBNEQ1+2NQwGwKTsFq99JYWnH3voBCJAux+81rmfRAErFxfgmt2xVIuc+zCznHtL851tOybO4hYz
NUU7wXA6ypDsKnORsVm0uR6CUWQ02agFQXR9mVvs9jJeD+O4R5vm6IVOv4eYDTk9Lec3myn3KjM7
9iNF1UWNCtq++TD2SvOUmM42UPUZrEkfHFMQpstIVk0nWadd0Oxka1SNX2JfHNWDznmp+PbKLLRV
EL5nQYhpBUNXjZZvkOWItrI6xxUoSi30zrKq1SA+lfwtN8LuwpMqvXbCnwXlYZQa1jKrNCxlUdfg
+WU1dxDs1DHcNiu+tnZZ4LSAHNC+KZ18y03XeOKwgTs5QgL/RDby2wjif0UjcFw6WH3f/ZVrohOA
Fwu5eYrLO9PHFeRdb9Wqs3HsRSGvZBFhRXV0qtCv0ECnRQFuteiNpEVwk2pSN4+G18ZvQ9J68XOZ
d+1bqXbftS7auE5VPZSDqj9DSwceWTfMFKPQeB5Be6wCa/C3sjUyWe/jWmIAwCB5wvn7mPjApBKR
XLOHeA8F/CAbZf+4+pa6rIZkJCzjT0GtoHAtspUSYf8ZYXnVstRVyk/tURaQr1QrfBysvnyEzDmz
l6Qidjn7Sbp0U5aruWkijPo7v+2LrRFa1kV39O9+hiHZOGjp3VBwp2Q6iTo+aMS7ThSyYcxzex+M
2UtrV79CokOeu+W5tuPlNb+zg0MczudOSpS2WCXKq1vR/ktsyqz/K+/WLY75/hdKO67MNEjASvso
7kwmjGHBKdWbUEcxiEJe9SXnJAtZ/6sZLGi0CyP/JOPXEWSXv/JusQ85JVodG34P3zW10plk8MIf
XunWRV79/W5yk72hkWnd4r8myhFvY8s8I1SsdcVdBaVuPAKWg4uqNN/apNxYQlta1pE2iQAPA2i8
xYbRwMPoQ1107GRQ9rkVtevEh7IclAeAg9ZT3+TflMIaTrLGlqu+YW1mrXq+N08Yh+yipBhPeedq
uOTA1JjsWMffNNfvZEwWfW4hcunqxVpWS2UGu1v18549W77/XR2+goaOYKhpHV6BRb4xvak7J0nj
wVOJgoMilF8ZlI1rAELhXAdg0IPwTl5ZOk+bQutQR/6zAZcxdo99603G7TmLkaEQKVr6oxk4SJJj
ZIUbIg4x6tzmFBsHWbih14Flbj1xYOB/SzEmOWZtWhydMX6ITCvbxr9DMl7ZdVgu/r4cYbQT5YO+
9pbtH5J+jyZj/33I0vd+jd6WwRaQk7vWBi8/N2nUI7QA06CEY7KI7D78ngPzhET0g7/Mu4E21tus
Fe3K19z0rihQEkTcT99NdqXd2czRVnbflUuo+x6HD+18Ck3g2Zs6hErkNM64+hCUl7IwAgDqfWv4
wLXAbIPt1ufTrXlC4r5bdD4fE77JX24NEfKwOLHhealmxSNPW27HyJHKGkwJ89gU8ydZk8VQmuJL
M9RrvZmKRxlTI4Rg6tnlx03IxzSbo9poLdtMEUL+RN/OitEtb7Esa93F1ANWvw00Jl99De/y66jQ
wQ7Q5OKFHEPGcg9tWT8d442MMTmKlpUetTt0Ru6KcsLiA5ulx96zxzO6medY1KDJV48TKvwbRNPm
lazKgj387wDlY3YnSUsby7vzOfGWnWSohW29RdmgX9YIQ8MTHieQZD7WjGOp36Wg481yji6tqMm4
HtrmkbnDQdZcdTZBKepTtXWw3FrI4LVoVP3O17EKMzqU5mQsHFTjYk7xosnqeG17SnWJSovTWaR5
d6mjGRf+3y6AZ0d76W0OUNTeDP+ZSm2ZIYYCmbs3D7kZFV/CCuKqiyoVYkeKsk7myjmZKJQcvEY1
tw6bIvc9fMgVEizqm1VEXznhqn848RZzjWDDfabeOrDn7jtPt5dFFRCzu85bFMzNT13rHWSrrSQo
3qcTX3G8Ru2dChZyn2JxszL02j5Bm/+OpEIIgULD0luEbsUtZqPRvivUDr45GTKujFPZo2X9qxvc
zf/PcP/2qjIm3iHrLn0dgJSvxfFlK4pOnLzKArLRKgbwe7qFZEagT9qm01X+oCJXxmR/WYUI+gje
3drL2m1cWDI5WiDbArrUoQNWLmyWs+eqTyGLOp+RsvfuGk7YpiavdoWuRpd8aGH/Wob9wG4QzlOe
j7gSPqQLbDGsz6PVPQ0J32BlbJbWwBknq/zjVV/1g9SqvJy8TF/XlQlVRiir6oZFIa9EIVNmoc7a
iV3raM5+zHo53XFHQ+Z6DPuvkFUOFbTKtwBxoy388n5XRX6MjY361eI7tstdB/mdwileRwhIW8+d
p7WsNmPbrzFqyrey6s9DvFItI97LqqcL8SuMLo4Tt8rXACUr6EZIb1WqqpzxfwbXnCO/Vqmu/jJq
+c9qLfZbZdVLPB8psv5nq6xm96W5ngL1ez/PHsqvtorrUGqC9W3zBHT0wArG1nAs4T+zypRePcua
LLIwE0IW+vd4MPJsPTp73Wajn20DAzqMalyvxGQdYkw1cAgE0Uw2mFg5XFv5qZlQlER2Wlv6utQH
tGd/N3uVZZQrOeJ1WJi1iyn3lXWLVcyyT/viYCUZPoHYxa5m8OdfVQsRBt37rMyDtZ61MDp0tZs/
GYnxFRPPbFsGATidLijOsnD9sT0N7p2sTE1Vdatbo6EE2tKqsVgau2rYIWj46ucVZEKv1hee7iiX
Vth5cBoQ3OUpakuWZnyIl1UemIvBRXwyajv2DUiTvVCg7fdzj9Mlxxfxp05Ho9K23C/tEPCgS0p0
4nt4Gd3Q9mhGFN4XZIK+aGVfP5nGlByYKmlrJJ6HLwnT49Twvpjs1HFSW6pgYXXt0Zzd77If6wAe
39BOHkYYj5xHdCbP3ci6SpKp45Op2dpnGKV4dwIR2culoywylkKhU/KYEqtJWUQVtE+1rTAIzx0X
peFyds6lZ6/kItSNhV1bHiw1v1XvmiRW74rG/1RHgbaXNVnIxjjxFwPcuPMtbui6eepKY66wqlQb
79Wejfls+9G06FVMBWdE5taePrpbWc0U6wVX5yVurHhiCNkaU4tDPjU9PMmrZA6zZiEvg8BNmsWt
SXVbFi21BjKcLh8Sf15i+7cwW9tDzXEeT7EoAnZh8lVtDO9OYXdb2YD7lo/1SVS82WYO47Csw4a/
9QB6SF6GQnYnFqYW4oFzuhZCyedavyZ1HLlpeH0hiCUw0xIV3aDnprH8DB08RtGlVtgqxs911net
8O5pgMvzVI+NXZvp+ova+z9bkb6LD9OAMxzzBHcBly74OjvJto5N8wcK+/sm7tjkQ6SB5aO/txun
uJcb+alezQs1yMOjrAZaGK4rFWkyN3FemnHGHymZP9u+W27SdmTz0XPqdxEvKn36DGUWWVa+whzv
LCsQUodCHaN3000QM/aa525CBTKL+u8y7GZDuC2NcWFlO5s12gHlbpSaxZX5Z3VSxkHYF9J8vbym
h8CtzIoH563PX+NcszXsBfLFbczAcx4ceBDbOneGkxIUA4b3WFlZg3bX4WVuYuZLTLYm6jicZFHU
+bMyBs42aWLbP8sY0iBgaPSyXsgegEwitqfFqFU+JzuN858S81e8vuEklemwSX6TufgDOvNCtlpR
/Klo1G43t5oOq0H0iMKWk6DSjmDp/U6ULDAkfeyT1X5hGZskSFv2TGhKJiF1yyHGVqkTe1OiZ4ba
ta6pqyBof5QlW/lKWuETCO8FZsUvs3f+r9i+d8PPBmkAf40JhYy/Gtzcgfx6G0ZmS5f4q3H8n+P/
2zC32NU+/neP3EJZhd8u7yYS7yYS9tAy+/ZerVB/DMzcWGhKU63YYyjucRjL7x1xBb4AApN9JyOy
mENc5OrBdj6kemk7sR7aXbv8HmGspozbmN+tZU85tOmq/WViL0uGzKwPcbywTLaRozDezLEVeAuN
5+q5dIe1JquyX1amBceZqrlRA2jj0Pz67hSBCL29M/nq8H0dbvhzv701eG3XHxs2Ha9vw1SFCZiy
wsjZecjYduo8Nkp1q3If0sYzz+BeDrJNFaFicBDqMCZmR6IqG9qyG9a15nkrPWYevmQF5y8a2oUb
tHPN4Y96ZyPec5KjcFfoHnCzubWD/Wv3qLqcHTfZuVFnXVqrSHm+ZhyBao0KRAdlg0s8m9ZFXrlB
beyDtn265skuwZD+k/v5vMv4Z7DxTQ+Hn8SubYxoYYtRZd5tKIELnZyyOFxfUkMrI4KVtRrEaePQ
dwEUvLLcySpe5xgBW1CRZNXNkPqouycMA9wj/hLOtfirKhtkrPfiaFNOYYzyINg/Ix7SBf429QMe
c/VDFHPmZZY6jK9hqvmYKeCZfIzJZJ6C7SodUOuQVZkn+7Yxcw+TDeZr37/Ga5qw3ZYNXGwN1/Oj
WfQ/C69zjgOTBijwKC1BpvrVICzLK4wQkOO04qaoN2iXozmBzGClVcFKjvDhUg4rs2WLj4IIPzSs
kWYV8yjMN7HELDM84dvYO0GZZpNtsHBLL4dMXV3rsFDd0zVr8gIULOzw64cWS3YqRH9Uz1l+wxNk
Gp4yXzFrXznOsAqZX1FYSalgw8ypH4I+unZIxjI6RfBcUZ83DnGWbgL2OHexA61qLivrwJmtvQvM
4VExBljWqCIvjLlvNyygps8JuwjwT6d3PUATgW9Iu6nT/hrP7Xq+xodM/xCX+TNwkmu+mXbKGVdF
JFlG5JOGqrrUwl03TVget+UUHWbhvTs4WAtoGOhtGmG2a7Bw2fGLCleyNUCa9eTbCQ8o0bfKJ/te
VaJdJ3KxPnAPbuC/ImE6PzR2byyaGtUetOAWKHYbXwytwx4j6CPkzE0ornqjL9LYSy59VKZPOC7d
VaiJfwJmlW/soFEQWPPKTx5MZvaPSsh+eLRz4I9rYnaGolmfka7GQKjCBGhw62sosEMEijjJr89a
rbCXlgHPlskyRzbIqixKBx67H+DIE4RC8+WWKK8UIelcDN9uw8uwHOQWG8Loc+d8Ssdi3tRGE2ib
arYhLSos11YYkVZL7qMN0yjRZMVJdRo7g7t45sXphg2kbPEfvcBSxQfDM1bXQeR41yQz6d80xah3
sRFHl1thF6Coh2l5iyCPFF3QscQrYY6sZ7Ykg72M3VLkVVO689LXNGV1a9Aml27smgZbq8/gHYoX
uwblZVGD7EC9aWWk5sd3YThsxXVl98Wtk+EQ+FN/8FTnZyFjsiobbtUPKXGlpIsP9d/DKLNvLn1s
tZay9db5v47liBdW2jLc4dm8R9pj3kajEy5qIaHVouyPFIBbrkrFM4556CG9JaW2EkSjzgnnO8vJ
itjs9etJxeWSPmrBH2Wa9aNMQX4gQlkJA6YgKK3dmDoOs8da+TQM2h7mHGrcajhy+CW0y0W8mqvv
RoJSRxSH+qVszUMTdptB6Q9xYxVfw8xteEoayksUm9VqbJTh3lataOugrXF0sZ5YdulUYm2nI37f
tl+yxolfjFJx7guIxDlyby8+5zHPRXCQTbJA+gFIs9rgG0g284qHpjEXeO5+q/AKfk4wt8W5QlnK
moWZ0bMz8iNzk241MddeOcbCVqLkKQi7/ikZs3jlZn67TTO7f1KLIj5zB3yVjbIYA/+zy2zxJGvI
cTjbxoS7GatsCy0ZzBWDeU74c7C5SbstG8HnqWs58JsL5jBCxKdHIRvMiaiifLJ2Wn1bpagBRZEy
8BD+5cQjjXG0tEHY2QJfemuomvILNi8OEsvsAihZyCnTmNxLpBUow7uqzZJ7CcISbY2oybYgju8a
NVUXU8usw7HakuPCRF2A1S8fncIsHplLQ5bI53wrq7LBKOAJx7FzkaHG6uuT3jrP13zRKVCEXWrA
oied+jhdDmb7NfaC7ihTOMlw79rZXt46aGq7VLlJnhrNXCQOk+CkjHoLqeDU33uZchfXgcJiCeDn
Bcuy/pINDef/agppxUfKc2s4cBbwKKq3vq8ZfIh+s6yskCMy8TBN9QRt4xjbH1GThWwsRMYt7X+P
TT0ufGMDuTdR1oXtok7ImtpFbmQ9xZl7HMewusOjpFri0pp9+78zMsYY/xyj0yo8SYwi2FVJ2j41
k/Lu8x5PhajVeRfu5mHUlopiNk9GMbZPSfqum2nyKCMWHiM4GVrDRrZFk+dczBGdpKBpH9JYB9Zc
mRfWpjhzZ33/deCRHVpK/N46nrFpPCPaF4lqXzpuBvbg+seax1wNXZfLcfaUtVsCgMT13UUOc8Zs
aW71lwnppWtV7239pet950P11iqT/61vzt7fDs3bbNbbkyw8FeUDHroFUo6/YvJK7VC8YCvY5xQk
FwDPKcNWV0VZcnUNdgJNGnfOLrON+TCXqGNLUfYOBySeSc5zr83Kbuo7oPq5Hn1SK2OJ6Gf4FeAk
cLDIfdGdGIvEEgxO0iPsakQXa1D0S4KCDOQmfianLCjX10Y7bp29HahvIZQGjnr816LhFuHZc7ft
MbBZFd5sPFeh2Rw5/ugXsqojDn4fNQkmPbXSLQ3jTdPL7km21QgsJEoVXmRNK6dy6V7miFv5PRo4
7nFKlGQJAAB7kcmezn01G0vslsKvjuFsmClZb31boiqio5BlT0r4WgpDMJEgeybCmKQeUXSSPZla
R1/nytrkk2O9DcNQbvtkHQZIf88ghut/ogqfw6nVlFe7H77WVp3cyZqqvzZdq74AqeseOFw7p2mB
83fnc5Kpp8FSVvV8yLZAge01OL33DH78vqrtfAZlr8y7EtS1nrI1pIrCCkc0p35fjRlKGSwGho1s
kIVWpvY1z0Hw44ho2PLWP204RMH+qGtQgPDDjZPjojW6HSvjekouXqfq3DFT7RGl5mGZlI3Lhz4H
i8apTeS4jHFZukFxtLuqcq+XmV8WR8212IJ2ShQZlW+dgTo3G24FVkMjMPCJp1RhDNjidO3wpPvC
Mzwz42+p7y/Zeux+ZHF/byJG9Wme+MGYRlXet15S7vrBZo9Qy/SLEVfqKtQ4sEez+4vsNLn7EhWi
7441ZItQzeuXvMdovXb8flEHOIBzPtijKMpvrpnMetcmdvfMnoTwGgPbLlvrIgw45DG/yUanCLwn
PhjZJAvszl/x7/bOsmbYjbs03AHEmRga6eJ/HUs2Vsrs/jlWhOGJaWje2RSd5Vix/hykmbmS2269
1aW4G0Xtz/26D/V+VNxl1qE41Ii5dauj/TGjB7NDK8J6TrXY2VR9nqxbMdfu4xrpW4U7cC+q6mjM
F3atOfelpmil/jQmD7KjHMyxyj0OHgPPPNoxCKpga2XeUY6lGuO/v1LwUgYRjx4j8K9FoLcW0NEw
iTZd33QL2eL11c9mWb3mqFmj7cF57G+d45KVRYB+0EKbDG6jNRi3o27jbQaMlbPAlPurCPlC9lwN
tSnClonLa3YWAa5VtPgwI5GnutonSw2BGbedvxmCYvpszGhP/Qp3FUq7Mqw6/xr+I1sOkos9vT+y
ZTiM43+8Am3jUXX7HSsna5ugRv9sTsG33q6nb4iEPCoIEL2aemxBrrJUmJs1y59unhcyA5nFzdB7
sDn9sATQ3r0ZsTYuDU7gz8wmUV5VlbY4y3oHbnwQulDe8I2pNbZdhfkjD8oLvjLup0GvcTuq2NV2
2E/d1ujsHJymU0597+nruRiaZ4TNB3TlmvFbURvixmP+YGNoi+rwosu9+bkH2II+iQrGS3xqVg3c
41/ieKidW7NUnwMXLdjBsn7mRxhF3fJvcZHfi3zfIV+OLz/QP/Nvrxswzl/58v38mf8v48v3X4v3
70zFeuQA5dnwrO+h0Q3fOlSg5yTFH8ZdwKSLEPy38h1bBvo3/NP/GWPTOSBy2zPhtKwd6kHxxnf9
6TN6bUix1cqbo6N5XIk45sXTZxR5lubveA7R7hoX+bNr9jt2T9pFhuHKsTGTul6kmWIfq8FwMPDo
9ZVskYVsuFXlVd0YdPmruYi7QxeO4+4Wn7TBYqcsVJ+wdUaXKUv0T2XfvLicqv5AbzdTHPTGunnY
jXjULEdkWDZp6dVI+1Hgp1WfZFVeyUIZOC4PzLZBCYVHkgJFq5zbsyyS0mvPkShk1bdGa4nES7u6
xWqzYx9b1gNljjeGGcwL2U92kQ1TiaosnM4aeX9H/dTPBlZvdfBSuFZ06gdHu8anGImTMbWx01Rx
JGFtYF76AfmXJM0OldPhop6C5tp6OcbdaLcrJzZ64c05UJFnQ+jf5fPTGLG88QqWW870hDvI/OTi
XQCltMd8UcSg3UwYuzLhiGxofrZ+D7ltempHDwlcYBkoH3t1tQxGF0ZBql9kqx0JnhUosbVmhPNT
hxCXWA0zmWyXhmp473E4vWnoEv5Ik3sHJcNgYdvgI2bBE0RWf92lzFv0AthBr3afdRhuwxbnufCC
BJRYYhoDVr4ocY071QlBBmgIu6lVeZC1ka2RO3lV3TV9NV6vFZ6xK0tP+cxGgEBw+GENZQHU8wpm
4rnOy7HY1v3ElBlBvSWHk+PZgraVowWF0o/Rf/WbYjmWk4nebamsAzWLDok2zI+NFSM5i7DcblQt
b+22YbNxRxxjNSUYX9tECD62ebjX4258ndxYW7AAzPFhoHWuEp4oGOCZWTTiUlLxxPhdYAL5s8r6
KD4oXoUePVpAF2hQ/UvjdEvmIpyaxBq3jSTAE0dU4dkjetfnq3g0+C8ZjlDXLMASswW/tstGfy8V
4SHeJN4dB2710QRdgjeU0sOXDMMNg7eLqoUdkbuu/iALJvd3hqohZRigXXaNIztgKuV9A3L7oUgh
pkT6jOz2ry5mVA3sG4bvt9CMSOdONdjQvg3DOSnGNjwZr10bhCmX6dzlK83HCLkGjHNOZt14Q4q/
CtT2rbD04OIi5rmQYTXRcdAw7XcNVUvO+90NFuzgphI2FFeKLuDKar6vk9pTVl1cs0YqcnMz91p2
5yZBfi0yrE4whkYC2waKcilAVm5VAx82q+mmuyzobdg3mvMZieZNaQbF92Jo34taG19NRx3Wih43
JxzehlPRFtVq0Lv2ua8yf8URebRrtGh+ZX8BGE1QQ74YtOk1dLvPClgTaILU1MBifpMNT2bems8q
2Cn+vPNrjjPPfTh7jzKpEl8ZOA/awolQWtbzbquoY7KpTPT74L6ML0bvnRSeu19sFx1MYwScE0W4
TkLJRJduHNov1QSFrnBS92FEWew4aOAAJpDaXyo23wzPKd9Q3k93gRNE26a12k/iyEgm4NKLBu6U
94e61/UnPapeO/ZdtwF7AbtaCL+2nqY9C8TRJqmd6IDpLyRIxKyWmH3pX0flR6Ur0z8ASrn7wRd/
DD0n2hllZOzcxlcf2gBtb4TH5n/ADyGgpXyrAzcFd9Po94GDbXXTO1jOAnXIiyY+ekJBWhb+NKsn
sD/ZZhLQilvseuUiMu22fKGuLZZIDDU+YscwCTq/x+GzsTFCxV6tKvPxEMwOW4t/X8q6LHTTHA8q
NJL/TFJbReXYORjGgxVXjAKAMQQjhFSCCsjMiLT+EtSR9VDWY38fe19i08BWPc3C/BRM/qNsc7zW
egjLXt3VOZjUAUpBvEys0Fz3ha1xhiXqASqzS27NBbJvpHsmGo+lu80qVP6mUtd2c82RNGR2h3mw
xolPM4P/xsCy7+6bJgL2rw4XWUPwtrsvbZcd5jzR1zImC6GngFeBdsHIhKFkrPX190xT2sM1w3rX
s+DADsWMlmgPd6sAa4F3jMA/VrrzwOl9fJeqHiYzofuQGZXzkGdWe8BTO1rIauCM+h1uimzh9e78
pdGGw6iDdFG8ZN61imlumHSonwAgIn+q7JtReWDnqX8YnSo5uJbuLQI/+GGWiZjyCQ9r68mumJu0
nJstRhSUX/QkTleNXzW8fooRACjBs9MwYXEcKOtqVrvHLlQbTmyL/s4XdgVIxE5PXQdKcDKV7D0I
sG12HITqbBt1AXjeD6XfJF9x8QsWfWZi7DEgqZa4jY4ZRAw0w+mzZ+Ri8cLqYuehY+NvPY3AD6GN
a5u2amBjADzY2bluHHsmvfug52N0VXGPUO12Z85Dcob+za3IHpM7rBZ5LLIKeJiEmUkVlPMT9mYq
2yMYso2Oa6G9Mmrv+CckMA75UTsI2bahU/1jqtO+zIUIv2/BGO5mLA6ycFrYvea8zDb2uFFXs6gO
ahjSerLymqB+B4GEM4RRID5sOPV7mS5YCwXvk2oXJ6RE0qXMSh0430bqYjsiOiH5snLTHFlUvekv
VuPX/KbtGivUSnl1Qw9SpMfuRKH3T1agLNXpFFqXPi0jPGvG/KBjofTNKPN/LNWKP6ka8MUodvGV
1WzOXdN0BihrI3WRBfVF2vXoiPY7tluVxkIdmv7OFTQyyaSVjFuwmD1y+P2jK+i4MjQkAeosaa8f
PDctn2a4i4f/Iey8ltxG0jZ9K3/M8SIWSPiNnT2gd0WyfJVOEFKrGt57XP0+SPaoJM1ETx+gkQ5U
EUQi8/teg8l0tyiruNsNYOI22COpl7gJQ/QrtLMsgZQFmDIfUC5stjH6xLwhfSNal3ovFkqRWg/I
sYjFOFjel64tL7hAOP6CV601C9ryqXdhFsMcKbNwk+k5b8pejxXAUQmeriKyIWY09h1hKn1a+RCu
WCe2p1ux7DyxaUwEmRzS0tyGKNo4saaqBzWu8dlCZnSRCK+8k4d0Tt5UfPPDrTLOdqjXGCfZqKYG
6iPEyNaliZlH4oAKaQw/Oid6urEUpO9HcGA8xrlxjTpXvwZ5V54hGKLq+q+qej5rUJj0htE+ftYP
sWIsrborNloY++hEY9i5u12OGRHszmjeLiUvjOVoe6qr/k+tntDWH4L8Iz3XvdN8KLHZLgynHB+d
anL5S43+wM7WXfVN/o0VgIWLBinkTs0CMmFQ7GTxs+FWJHkVu3V291v9YLTqKkJXeyW7fR7ynBCG
kV1ljeGkhbMaRq1dCsPN1oN3UIXfPchD4PDVeqJT97KIUrmG4i9KPEPdPSj8Ch+Qucy2vuPgLj+P
knWoacJe1yL3IPv1DcSXePI2twFzt1wE2aaevHElR/WV0T1UlfqCJWl+klWDg9dsV0dnOQjsXo7b
SLAryFCctZ5A3KjhXKlXPcFYZPmZPcW74qf+xrB0/0BYWXvQJuRdZY/Brr8R3VIfa9Wp9pVZ9xuv
wStYzaN9nRemjsmL8M5lA9+/dc0TqiRIuOIlsDKNWaQKa8IVMrDVnril82bxcgkL23gJQi069WDQ
loVnOW96UDMVqlXELjs3X0wP+5PUCZZNDmJe05x4X6e6dgKfFm6jKOovedMUa9RG1Qei9dbSqOvo
pSxDDX2ZFF16a/yiYAjxR91F+yLWdd5tzrgNvcmDV8KhDZic3WwU7G6IxlsewvrJ+O6ZibNsJnc6
lnFnP4eJtQ6KiXr0V7bahG6qmenDeyaISnfIunpEInAh10mBzMPHHFhYUAzFpS2m6t4L+q9yeOEI
a5WayLILstdxmN4RbNb3rgvUvC2G7qzbdrYOcNt9MkvNhMKahV9rC/doueWp+n3Y9dafiBw8m1ac
v4d5Xi7VWhMP2TD6G3nFnq3H7Yo2uq1nJe0xnxqs/KkcBhNovxZ+NYPuTsSCTRRXzEBVfNfIeI1/
zN4zugicdyvUuR+9pZ/0NDAegx4YRp/Y770OlEVBfWBvoCL9qPoJu0gECqZCzTD0ym4oOj8z2iMz
R7uUKDpQre1yzL55ThliQOU5y0qrxM53KfZdglhS3+OaTLwGDHVjbEMFi3DZOsTs0AIg2UvZqpeQ
2m2ohXj7mUfFFc4KzWL/WxKseflr38pWazDtStWTGdbJZVSMbKaqDU8zwqzIxb6qrfGZvX5x8EUU
rCWw7Nf6cK6XQLRf6wvWC/+pXvZXhqIiI5maOzWJ/E3qagEW9Hr0HHS6sm1j9A9sL4qfe6EUB0tg
filbcy1R2HeMvJHmVtcVuKkPyd2kzUmcpv4m4R6G0iWHvkem4BP9IevId5KO/4H+UAYjOcg6CRCR
DbVJXqAGHGrrCB27OLTdOZNOGlmJxHvpMLPXwsLypHhvcLx+qWYBfYKAKJzNXZMPM960OahGGSkw
xtY4yzMxnyHofxmUKTnIqs/6PLOabf9jlGwgIf7XUK8xfxolgul7NdXGTmhadGnT2F7l0H1WZoHK
uqyTBx9qw04ULq5WkHguddW1LHDh/sHzMpbdFHf8hT+G4A62dcvWOd76yWt5HqTJZiau/FSpqJ61
sifwDq1Zh8qqM/JqVyF0u0jcOsBwc/6EmE+Q15bXuY2eP8EoOnuVehpxJ711761Jg2mnDdV3V/8o
8mj4ZhaZvuRrSC+kls1DgEHYRmC3ewm02MQjrbbXSuqys9S67MVSO9g5pWh3w1zMzArp5dipDrIV
MYcOKFPQn0Y1zF7MNv3iRr11htOdvRgRW3meqkMT8LNREz61ntTiHQwf8kaBEZ0jxU0fYQ5dZL3p
5DkIDUjDE45K73ZfrEbXyl6wfTeORR/+NdxLkRgLUVE/61byH4f7gFrerSm/DUeE3Tj6tiuWdqqD
xtBDbxm7RHtifWQv4LTRa92+uYgaPTdVrVz9hER66kSvrR44B0I8DZ42Rfw6sGvdqHYNWop7snAV
q96K0cNhTq+C89Dgzj6gD72rRyySFH/sVk1QmC9TaP1ZJLhTlMk91GSW2DMJA77GIrLys6Mbw0k6
7Uo/3rmK3zt2HOa/LHp/VFUlnoV9GnlAWKt2XyXlQ4Q6tbqFE9D8VMQ7pt1jFfVQtmp+DuIKhqHn
pivdMFBAnA9p2n5JkEvZj12JceDYROlFQ3F8Gdl2u5FF2U+dG9JRkESs9Ox2gWqoVq6egMLr9PFp
8IgiRHr9hgNhSYZ8NFegkeaAAoLbaHIndwMvtRezSRaxGTdvhm6pB29wlKUc5fuiXaYmNtGyVX0b
kfd7I9ASntIEJzU43g2r9yhdjbVXHOpQtVaENYNNl/AGR2Ogs+AxsgOzjdtpjlB3DSD3BH6IKElH
9j8O6nSvzzI5K9bezqLpK97vaJQtiT5Gz04Tg8zCK/UjrUHqedb3CBgCYWN7etQzbGiHwfCPhgmf
DamIcK3YcO7NKsevaCLcTDYdfUTzW88sTGrQR9oS24Tt4BX2Hu62da5Dt1y5YyLeKmFe5AcZYbCL
4UJiDceLtFAnoAa5F13kmVWX3xUlsEkE/lJfVo2LgT3u4imhz92gsOHsVLM7dVbdn+RZm0V/ndm9
qRzVEKg4HT6rf+uKO3p/a227WVfFKghMxqTN4jZIdy5WVre0Wc8NuitF9CYbixkukoeLMXGSJ5n8
shXjK0ul7E424R+QrQT+FlvZyBIkuV2rDF3lkA6kk4NY+FdM7MwVRk1Am0LY7LLOm8+Iu68VVZAu
xqXwVl96ot51ZG8XssfngCREWsq1hxKU5r8uEqb8U5wQkZ/5Y2S9HBV3jrFyY+zIZcNPV+cDjUsY
qcU9W4n2uc6cu3DsQILMJUdLnxU1dM+yZNf5dy+dNTnGtHu2cXTHa7KYTuZcLMAzL0rD6YFOMFJF
tGYpfLc7tPXUPcddMC5TfPL2ciwRb6wlI2PaybGDyoQ99oGxvf0bNBRGvA7XBDnWIcm1aXU12cjW
PvZMoI+zv16JBWeVWlgodn3x4lnRblKF/cUyFGuVAH6APBQUT/AHr7d6VDlWMfv5kzpkzYNjiK+y
Xl4nHGvUOd1muloZ3OuumZwvQ2tozLZNdQnC2D1bwrQIQ2hoCDbpsKoHbCVLJ+ivsDD7qzLT8yte
k5PqAjn7UW8KM1iRuDRZodFDNvimhllFhgLLXOUXquIi7DpeMsxKjrIuNeJowYxprsp9EwH+1ljF
r0tXjPuYxOZTn0/3TdXjE9QQCxztunuybMiIOASc+rl0qwpQM6nQnJWlCL4aXuZJf5TF0YuytZ8E
48aLwSA6bWttMsncUQOvXRTzKebxG6PqgnkJQ107s3s0cL3FqokCQDgzDleb4m3qToessJX3hinV
TFmRs7XeITLKrwtE5HuTujtM1PJnXhL1EYXY2WGXejSC/hhxvVG1R7PP8mA1XoOy1I4hy+yjDk/G
aYmQCybthdkP1UOmZO4uGKNhO0TJ+JSK4Q9C/9YfkcU8gl7Ca14YycYBeXEgmB5ekcBFTsaKrT+c
7MFSh/ZbI7D4tT0rObsaoIC6BvWq2KlxRBuhXnise5jmKMqDF/fGcQ7MAPefK386dWWt3pbphvww
mo9ze2Nq8dKdt5os75cYEngn4teGs+ptNVyFimKv2rSxzzh4t+x5Ip6WoCh3na7b4Gto8M0awGhn
DpAUmax3spKMlnNrNoMAsolrdYsBpa5Vq6F3ourW9IB3rrmdjaWw8BqblNl4+MDcpcKmIZoefJcN
JyIrZ1mSA8geqqth3qqqStGmLGzbZZnU1VV28XiH7adcsxY6asAP5nzwBeIbfha7e1nUOz85B+oO
xvMVyj1h/erFRH3BX0Ccf1D5J78HfhxjlxTmjyrclbWaYjFQoMqyt70p2LNb8s+JG+KHROzlMfBL
ZcGD33zpyuSvKwpyIP+6Yo1u1tadMnWNVajYGVqMpkVVeW8IMX9Ull5dA5gE2D26L7J61FXCK+nk
bp25V2HrW1OE2hO77QnTd2Fyr6nv0MddDWC5DzhT1W9ZupL/D5NTP1g6W17odHZewMVOhp+LuFsq
C5JQ1jIdJ4yWeqM6RQqE0804n3azFZA81Fpp4x1CnwIBlGYhKz/76Cj3bs0iVZdhRthROgNrYtxl
DYmqiGdyYYLRfB7tRJAHmuAB+7m/7qvGeWms+ReUv2Is5p79PvzzVgK0uatZ7a0Co81fxzJtmFq9
bO97SrhyPK/bKCW4a+Hi1JV2vKm8vtvyk83fMkRP2jlwa0CBWcVFjP0nQrT3pm/HC6zNpq8tSFLe
YGlyL+I4IX3qw1b8IdUoz6Tg4k2V8dbCRptVrrf57NdFfboMrVRfZnjz9W3WX8f5kJQOcXS/+GhT
NEBkSdbrfgiLtBxZi6K/fOvmJlV5Kcw32euzuhlZ4JgiT3efDWVBACuyATDKq8nPq9VOA++qZ/HX
ovfXBlPDOakHfK7aMXzIwPIshQUKdawAMPRBXn7RtOYF08vwI9PJhoqWWdfVtlmrFWwBDf8gnBpT
KcX80MdAf3PLMSCCkw5Poo+HVVaUxrVDAmYj6qi+awWMEtEbM6Gz71afePkuGNqlU7hQ9EiYkWHp
g/pONtfwQXGG6T9qNojbknAwUjx5jE1cfj+1Fj46GjCuTCmIvccC8zeMJrnbYXNoweO9wcyT3SPi
LPu4q4NlVff5jlkK2cU6MlbBPOHKQ9NERXArx2aVVQu9hkn+j//53//v//4x/B//I78SSvHz7H+y
Nr3mYdbU//yH5fzjf4pb9f77P/9h2BqrTfLDrq66wjY1Q6X9j68PIaDDf/5D+18OK+Pew9H2W6Kx
uhky5id5MB2kFYVS7/28Gu4UUzf6lZZrw52WR+fazZr9Z19ZrxbimR8qsXvH476YpQrxbLCf8ERJ
diSQk5UstpopjhXmO3zltIJM8C66F51kqa89+wnaO3ijW6vOyhLJy4tsyMUAtarM0TVzEOoyumTd
Nnrx5juhs3empFnJIlqD2bJy0ug0GEXx1q5AVKdvsU4yKJm0ZCk7qXHXrVxCoXsjC58zJztPzVBd
NcMrdq6fdwtNz6GPy8qsdKCrBd5JlgipVtdKU8Z1VrvxyinT6prb3de/vy/ye//9vjjIfDqOoQnH
tsWv92UsUEMhNNt8a1DOAVOX3xdj1d33Sv4sTeH1DExRNpnWRlrMR536Inuxm0jYTLMj8LXso5g5
M/JgdlqLp0/8ATSvuueWUx/F7eFHL3OOlPyoUn3LQJVXbZeFHw0vCboVk0e6QJbABkNGCV+CJmkf
ssmBzEsfX/Hqc2QaREWu/+XL0H//keq6UDXD1VTd0ODhGb9+GUPlpY3f2+bXwfPW+qyGrc0H9k8t
izfOTCSKPBAG/6osnSFYVSQ5fqqTvVty/Mc4Vww44/NoWZZnwYA4sDqlhBAnHYGopt0Qw0hYCFjx
uQqS5HbohixC9VxWQI5VVeQU6CXLfuWCDfe7oxwj629dSAQ/o0rio4tQa+oiNzNYCTp2pX//PVn2
798TezVHCFd3NKE5ujo/7D89zAJw6NSxpf42VXWz0Yw23RisofeEe5PnqM8vjhGpXzMnJRHVmiFx
/yC6BG6iLGRD4RjPaBB7j9Cyo0OXuuM6HkrsCKvmEZNWrD2nJHjomijZ34rBnGKReRaVwPW2VSIM
eoKkhav6o0XmYkZ07+MeS7fPzIw8E4pu332OlaM+L/pTZ8bLz5U9Puu9AdgvEovMC0BejkU2+kcb
Rn5+Kwc6dp98W1vZas1dPvshJBjcRrhyxGdzEqWZtex14f+X2VaIeTr99bF2dVvTTWHPQQZHt369
Q7Wq1ei+Q4LvlLDc9Knq4rKETpLjQjwlHMP+HQu5c+RV3aloXMQMurx5s2sRHvWky+5DM8rutQSX
1KR3jb2sux06GDJ+UGDcOveTdYgAp8R4unYri+1oZfd9IRyCzUmzGeWHe15B8jsvuzXUGQ+5EOjc
saFnzWKoFPSr9ZjTEuYBoWSnXsa2VpzcpIAv9NNpgzDzLpq8q6fWsAKijG+8T8wdc5h1moYy3g69
Hl7yKBFr4LX9fcTMscKwMn7yO0J5RDO8F6XooeINk/KeBME3RQWkrwjnhC739ARn7aEytGY3ASAj
HNzGV0FM+CrP4BR95wIoWP6oyhvEIKMmfTHcaXBuA4rSh8Gagp/9HN900C89wpWhwqyVz8J4k5WX
8VfCTxC4bcSofLW0l4bZ44csTOjR81lsT0jay9N6Ct1bpSwCyDcOzZ9mTI7cX4Jpj+ewabJ2mwCo
tzz48c5wRmVPEjhG6Vup9aXmBFglIDZwwirAOyVK0x2JyyMUQEnWW37FXuOnU8Dfa1Trp8Nnn9xl
cbuSZUtY3yLDr7de3uxDtQieA7UtViY5ilM+Gc7ZJY++1OekQJvOxpuJ+carON+QZTX2GJeTR/Za
8rqVNd7oDJLBMHg+VoYOlNeZ8DB2LvHoGliWbASkHF36Cl0E05uKpVGl42JUI2zC5s5645KOzsIv
tm43p8nt1TOo0r8OWYZRDzEBe8t+fhKLukvVc6QBX0TefiP7WdqHOjbBxW5i527MsLAfPCv44vaw
Y+LRZFvW1ebVHtC7c3M9/FJ1OQQtz0nAERnKI+m4s9F53jOxq27hRgdyaeNZ8SrVX3d4bJL+BW7n
lsVFV+BXIN2LxXg6lUdZl4F5RRNUKy5EdJ77Ao2Nip26v2YrTAAMDOxuRMzZXxcmi1slAz8ix8kh
8swNIghHCX/N57UmB+H8hIdlnQQJX2wEBm9tTF6wstlWrLVGsMJBXf8MGyQ/ml5lXWpbWJcxAnX4
928OuZz4ZV7SLVt3HdNyXE0Yjlwm/vTmMMsId2PFKr4qRpQtbaJC27ws8BYFyPTemSjYoWv3kjtO
eySejH7BXO9EKCWqhTldkknxrr5pfO8La8Snlv0Ly4n6YIpBfY3KYiHrA08Pd0RDi40sahkWoSA4
noja6ScjGKrbZUutYEHeqOl5MoN0kwitx3ghCTfC8R3mlNh+7ZE3imdQ7G/1qb80ijb/4o+xs+4x
Bton6C6+hmp+AxhHaJXe6nEzb18T4skS6Ptb/4x6CRh2QyVCx+EYVk7+OOclV0UWGhtZVMYmv8BK
3cXEuwqElwUM76DL91GbF48YZJNhaeqPcVS09d/fLeff3vO8Q2wSYSb3yxSkMX59i1RlrTtkMYOv
XdDiBK3lr5NVe/dRWtrnPq/6RWO2/fvQBuAHfNeCrexoz2jkbLDE7t/Nbki2TivCrWmkzboOQLro
4EuO2nxwyKwdZVGeybrAFORqbPsQiTi78h5H0kVlwVXihXxFLBC72IGHpi/V4uRpY38qMMt4bkbz
ElTRdEGUKH92hflBvqO5k6VgDlI2RVAfZTFtw35ZuXa/r+aRpc9WzZ90eytbQ3Djaz2t6o3vivQQ
zJAzMJDtqZv5RNasHd8um7qvT6D2gFrKGtn22avsBTLiDruFrEZpqo3670xm1pzfS4VFfozY5gPz
c7GLo5pgSqISwohVuupxN3etG39ne5Aza3e072yk3KaFaeT2XV4Z5yo3x305N8hWWa81lv1fbry8
sT8/poIYpamptq4abNa03xd4PVLUXe/6+pdR+NUqtwoQtabS3w4xP3jUSNyXvIqsDVuK6M4qHes+
nRDetRFYlCXy4MnF7AzgoGyBZ1Opbp17RrjIanA1Y4+UmTygFZWdHZs5zW8MhUUWnuMOqlOEWoZz
x1Jv//c/auP3Rb4wdZWfs67ChNV1XfttaRQbZunoWqR9sTXvtYbUfNcwy/x0GHrU+eA7aixQJnuR
Ii59B2qkXxmZ517LVOSbmO09RkpokJpZ7h1KJ7QOKhCaXZdM053XDdWmwJr5Cv2sX/T62ByLUCMW
bxT1DtA1KKFkWjte6u0N8HsHeVaoUXc7y36c/afWz7rPfiTW4v8yVf/bwy9M1xKOZji66c6b9982
QyxMJvbsY/UlStOPLLsQnvfuhiiyzuGM5ZH4HFOk8QrFI3P1WSfP4tYRJw2DrduAEo2ahTyNphlE
rJfjRl5AdpYNKNnM0Q/vOJK0Hv+CencoDJTBGKC14vR3N/i3PFWHepZqGpN1TwwU3AGEUQGgB26Y
qC+21DGZ6+yw1e5uXUB93Yr63MVHc2WB1uyIDGydXas6fRKOaRyk2RBOxNnVV81mZyKiCwGLojzI
vnka3/qm4P2dhVkG7c5Xhk0fiRq6r9Nqi3Yo70DKO18CNcGe3gGMR4TEZhNrvhmN736xertZwlxA
XUTrnWuVIMYq5gbEhggH50F2AVnjX4rJQ3RzbshG1i6NN2IGbgb5XTuoc3iIhmgqXg0AkX//mNjy
OfhlDrDYDbsAW23bAYSo/x4ZQLIy0dCy/WINIMfLOiT4hbvAOlJ6+6U0vH5l1rW1C+ai0oPhVvUm
u5OtvLpx7yUqPBam+ZSxdJLVowV2ipfbN9RA7ZdWA//h5Ia6lI2uwIbF41HhMLc6+X3Q90+4E5Vn
szTtO9MPxbJFWfkbMHcYVfr4NtUFqD9cU/ZZ6BdPlVK9yg6dktULqx2be+Qe42PgT8k68QblaxMu
ZIdcZO6qcIPx6BWZi0+8x6t/vjR+ek+sb60nVjH6btAV3Mgk8dJJLcJ+fs/9ReZoq2pRfT/OB+g/
f9VVmVHdywNSKT/Xyc6fY5Woq2/9PutEhFISa4pfrvX79UsbVBDbJEH2/NG21XMAJ+Q90bEXissh
2+e1Yr/1Ebrxtf3eNXDokk6tUGvyrHe7xA4cyiIL0w5cCQYjiJxRD70SakKdWdcuG9C8TqCGum65
7woSfwiFJDwmuo9dNHT/CPpcNfZHFh598OLmzaMjwL6IvH5xIQjcTUbjPAJn09e9i7hbiBvx4+hX
HTZ3+B5FSFcsWbiAMB/ai+w7TDh4JZXiwVqlr6+RDKvyKVnI1tshb5aGG033CRuikzlo+lb8EEqR
eie/yZ98iqxgpD1tsWK+flbJAb+N/6342+VaGH2r0hTWQo6VMiuf10uxHDuoBZZGud2suz7Xr2ah
NSQ4+Fh9PhvmOtmqFq64nf19vxzN8I2rkmPzZoy7JeHu8tTPvWe9tYxbA7Fp7eRKhLxsdebe8qwY
fMAp9IvJEU06JIiJtRgoajW6l4fcaxAz8MJ0OaNpbnWNaUx7O5vhwnO/dj6oTQu/JRaXz6GR3Spn
MbXLPhrFGnWjZ8Nxx3tbneql1nf1VhblYci0dtF3TrrvmmK6l3VaCjxYgfQkS7K+GN197hTj3WdV
a0bo57fRNdPN5mpmH55GqrhOcDQi1Dq+Yev1Qb7Rv7qKZjwMWnBuRnt4M0tLB02DehMOKT/36mNm
GqiV5zEtwOXDGFxGo56Wy8Q/e0ibPbiqMjzWfsQumpTh1u+m4VGUo36a+YeO22Ul8Uk8oMC5gBSk
b5crDmQUXk5a/Ch4R6DLP96zDSwe1SFt15bWi7Usjm4c3mdjuZSlW4+x1JaGL5QtjGVCZz57ZIS9
7Gqje4Z+DEXH6q/PdthE2jvTsPp6LxvkIemBfW5cU5+1rPpqIXvLlsZW74KkKB80F/HssjH7u9h2
tLPXAkgCRFp+SxAgS5F1fM3TNNtm6CnuTDUvnrH+upcdvoTCtw+BXSshanTwOtzGuBscZyCmMg4X
KLDpGTLA4tZDYyVzVGLj9NlDdvOLDBc1qwGZbKgOi+XKYXccYE0+mMP8nSXVUfMRkQ9SionVePss
6/U1ag0lypoEKuzBS7/pCOiUsTV8x6gIYDGWmg/d5COPkzbWzovUkbnXsW9dEp4517L/sEgqS3bF
NcvScc/7OEWx4rWF6YVJ34AAYJ3/dXDn4mddkRrcxplouQHh5i4CcrlvWPUtpXJAWtno7qkAMaMy
ty+BymtZKgZMY/Jgp6U4FT3f8lT0KD6j2vhlcmbKkqYM51QlVGVgJiIMNqkgv5dFo5Vf4A2BPgrc
HC5N275DzbWSrPwyAfLfevVUbGUxEYdi8ICHDWO5m0aj3sjBSEIuc3hur72iIO/kxeNa1gd1uGsi
zXwuJrU7JL1hruRltMo+qwlhMC/rkQ5o0Z1MTMuALegN7wY2xovSlgZF03iPkfsXWa/5YLfBd0tj
g+EtHo7B3F00irpzMexby16Fal6M2iLlCwL6TrcKBcXOfngfzQYJgHIR47e27GPHfLbU1l4MTT29
NX4d4/YUjl/NyIe3XonvepTtSJP4gDCVP3O4kRGBikvJjj1YkObe9HlafcR+eq8MnX4/+WEGY9oc
rhmw+SWECW8Tx2LW9lVabzeKJmetNwT12ouSRYV+4sU1lcxb6BoMwYqvdBNnPir50bsIVJcdVlkp
d16vKXeDjQ5YLMqjrPqsl2dq7/X8USw4f2swAl1ZT3zYthosHLqm+OIkIbI9huI9j5megGh2laub
F/49OxxnoUPhIBNLneX32dkUwT0pylOk6v1RHzTjoja+ecEvJJ5l2daySh5SgDbYtAztgVQkkdmW
JYOrasFzHwO4BfoSgyJpw2eUOuxL3JXMVzRaXjw8+vpHXobhc6GKauWMKZ5H7tDcDfOhEBHyDlm1
U72suVMdm8N8Jhtlt9LQi6UJiW8t637rVyYDtpfWE6Qd7VQJdTr2blpioFNHT9NAGtwHfPER4pvR
GN5HZwbhwkN6inyrP619EGO3QRD4yk2UaAsTqPTRFgjHajDSOgQr9W6nGM31VkRV3jiNNeowC3tt
wLd7bjIMDKqCxyQy0+q5hCi4xhgs2Dq+VT5nOnKWzOo2bjEURWlgJOrkiF7OxdC27V2AlvRSFp22
Kw8sMKNbEUVF9wgvEfzR3DmdLPVOFP73RDx58aR+BQr+RwRE832oS2/hV6b9lFSiXuWOFdzD/ss3
UT+od4NSDgSvR/WQjNykxCqQWMHPZ2mpor3CsI13Kv/tLW1szpDyzJVfjRqb7O67pgX9nzwaSpUk
f0as7BYx1ggvZTgG66oAIvynk4l0FVsJT4AaWe6pL8UOm0UegMKwXrIy0w+FN47XuVQ2Bd+UH2TP
oICThaLpEyKmavps+waQaF+pDrLV1TI0F9G1BxJPq+iGHpU7d9rIIlnjaNsT0FtPY5Y+o0dlLNJW
iU9uXgcXIbQ/mQy71zBI810Bz2ZtIUz56ueuRtivUFFlodXtgpMImvyhyZhBTB9hm7naLo3qCJtZ
Tqjda4Pe7boYanUrW/mxoHKfVAn4LC7Z96sKmNKLgYzexe6Nnz4XUmC6lmP0dtgI7BkttasfcBzL
gSaXWHbFVnj2kVpcOVVavyKX/gozid9n1C/JeLvfnMkDqDUPMuGebIfAxCp8HhQ4ILV0bI1fpyC5
DbKcfulUhfPN71MEKuyofvDnT0pF8PMnAYKrX7PKf7UUX/lIy+6nT4LVu5sUa8FcaoISnZPxMkUv
D1XabP7LJm+OdeQyWX/LypMeEoZqETgDgPTvcZ4284pAUeFT2FGgI/zZxkdRZeIlFdH75Ef1BeE/
8RLoMQjWunoaSpY+/eitZCe42NgaA7W+DQma8RAZoIpkcQZMblGh07lxXMIZlH6FNom+k1dEIhKU
RRGTfJpbxzC6xFjQXDV25QeiP+E5z71sFyT4LLBaQ/jDnMKT7yb5IojYUubhALs0HXDGSqwn2cMf
XtF86x5le4DtCJ/dnGUp1HgVpaOaHEY3eHFq10IwRWc3rlpbr9KVGUjonOCWQg+ai7WSRbs4jiLw
RhTdpByQ13TtnSwajQUztGjEMXDGRybiF+FY2YMdd9lDzJYDJCYR+q7gWVj6EQ9vmKVH2QpipL37
+zuo6f8WziLD57qqSazGgiVk/hbOimxmk7J2enZ4w7glQDjpZCUnJkYvRRyrwUw7umtN1ThaVcaP
ir8Vop1HAtUazauXfROqEz0UVR4/lJhY753YbEiPRRDLXbREVYSJt7UaKusxL7o3tePF3KZ6c/Fr
B7WVYtoniujepq6fdpMJjDNAHO6t1FHemAiBnS0Dhxzw4bfh0EOa/8/cmfa2jazb+q809nf6ch6A
czZwNVqS5Tlx3F8Ix3E4zzN//X1IKbGlpJN9Wo1zbRgCJ5XEUrHqHda71soseHSaobW0okLWMvVs
2yBP8rEDnj2+vUj7ZJ2SHUaAi8uyAU4Rq1F+EYE+fTD3n2lZRbAxrVidjlc5GoR+ErPjZmwDTiSS
dd1MMP122hIJvJZhmLtOEV9wmN4uXw9ZGpgYpYW0bTw2vthI8SxU2HV3b4XOWbpQM/1BRET3wkFf
8TxRIvjehq3XYz/b+vV1hm/t27O+bx21EniWtgQ6TQ5RvClqwV76rudNcdD6wUvrb6TIDRdaVSez
12OOVPWzupKU+fi28UStytlUjYx6+XrM0EwI0zo5W2hN/wUcOPSYhaTx5DniSlMIY/VaA1N14Zm3
8L8nUz12q0e51u7Bj7mAcIQ5ByhgEs3sUsnq4s9fj+8fEtmKgo8AIEOnCp2w7Xj+TcIo1nFyPLl0
HyGq8YK1bpwXSnxPgVf5opvVUusK6U/RMbWpKxvKVQan/ip3e31JsX9ykcB+P0kADk5AWDHIhxcB
Wv+ZHoAEHXflorz89VdWjrMmimFphkJwU1dM1VS1o8CZLomO55KV+rPv2plv9QXQB17UMEXz2TDK
c9zkYNKI9v6Y2BpIfKNnN5EjtX404mJDaR9wc4kSK9IIFE9FUfPogNefRFokbhs4w+6ELrrSI7F5
THN+IBlJmfPInVE2nTqxvO3KnNBmq6KvnYQs8rplSsgmcmbcGl/GC8nAN+hWeclvIAiKeTQxceOm
oUOirBsqeBoQKofJI6roQRjEg/yAzoSphVlyQX7GGYS82TSGl0h2kgs7peacAPbq6Pi4O17xeu14
LNQSuFpDFa2/oZGj6153X9+bWBTuUNXkwwmrNrcK5OYbV7MeKRwgBlKoHQINhqMtTLXg7HAJlaDT
lsr56/EQaK12xUzaw03LybGRRkTGqTA99Rw6uvZWTLMGMo1rzU9oUqgZm05ewdoyvGFsRLAzdwIs
wNmMjVBh1l0GSMeNJ7WiCuZ22qhjomQTEiPE5CQ9Hwwv41ZZqMkEmuVqfnQijuBqn4wX6jwqU1mC
SDavUgM6vaCfuopX3xuh3l3SIbdVVMPuNbxk7SMVU8Hd7rxOaBQjubgYzwHOkOO4vEhCNG/0rITL
1XElNBsU8SKUsv3WeGx8CYazRxePx8azRakaK82BnabpnXQjWhXBhy680aQ0JS7+7WU82ZsQ3i8S
tUs34/7radGH0pikQUuS1kJvV+iFhTKsvNLwIoLL8KUqujSHdRh4SLDty/iq2S3DgOQXiLVW5N+H
s4OaDxScMZlE0AJjI3UWiTdatRjPjVd5UZ+vYF3tMFSGtfxnnyrV3cqz1f2n+lErTs1WA4oQ9T0M
ugg0hlDuPRYgWahKS60rCjfNq3G3kTvhUW6I4isQMFzUrRxfRXH5hL6wcgmrvHo5bum2igeISoae
pSpuYg+4ZDzh4+cjI1Fk83H39WV8Rw6v6+shkeTDpJICaFLKRtgCcIGMTY7NhSvqwnY89vri6o47
dVIvXBM9DjZweKEAOGyNL4Vgd8lk3CRrFS7gRr3yKze88J0YBiwzjecmP8Ms99N8HkGzAasEfNAE
uVoK36qvTpbAn9HU8V1RErduOlmc73aLqrqxkA2SFdVOplqcE3rJ0ho9Oi52raa6jP3+guBPuHXI
4UF7qpkTu1SVh7aV9XmlFf1y3E0QB5yofRdcZW7hfMyxWCQrVB/CvqspWD54l15fRxTJYG6WPnEB
ufjM07zuAK092HqSL5MG9ydJ3BRGS+92vACmt25iuLZ+3XpWvdHSBArh1ko/gwYdGjBTwZzFAII2
EAvJ11Wn9pPxBBCoGyIl5YfadlLYZSCUDWLQ654pr8cLtAxOaoGgS22ip5pOg8hW6/vGwmm14WjD
c84XQxHOUzuDOBHwUEABGyazcm57svpRLYAcDad9MwDNreOvRE2uz01Xa9cDuJi6L6jnBFfYZCPj
XCvOYgPyrLEww0mDlVukEXW5VrlpE2dfsCG39RfyCekNGmjdZZ5lpKeAYD4Waj+XvFK4gm+hu+0s
4kopGNLzIJbbWxmWxZtKvRjPjUdyyUhB3bj6dNwldnGjqqq+RlPRXRWeoiwCUUo+dXGxGPtCb6t6
6pZ9cRmFGSm8TtN23QsR8yyOk/hRUnioUeURV63bZncagk/jO2MpgAIt1ahJKADgCKpjza22c/+k
VmP3Q8g2JHuNCUenglbHlRhm8VTPIUYQaigvYxVu0yKjTo7i1szabXTjBkpCu43vpzrx71zz40fQ
TlxU+WAWvH6E4Mjab5Zl+cdVGWUqRQS8qRqKbh2vyprmlFakV+0HVe3NqyCsrpDvyB6lCn3MGo6W
5bgbQ9uh5zIBs5zM4LSpCEF2zcxOHKEO6B4jncYQ4lEkKPhA4r9tCaphYWV0/nLc2p3N9N+kJqEp
OXRbB8uKtKRuIJALhEg59nnwHYosBUN9r+YNxJuw7oq5Ip0bKmSc49brMesnx8brrOQK1dBJJ0Rk
peCMCVcewel13WdEHkPLXtdyuuri3leWUmsbi65i5dnto06zgM8YTpQ2fKyrMpwpRW6sMwtCUa24
8w0hxCrT45XnehHTM7t+V39BfVG6ppRJoejP+zJeRQQgmismSmbjbm7fG0BaHlLggou6MHP9Mmzj
DK45L32QK+yPwi3Rfxx2vTSZOYqd3ztRr97w/GHzDQCdzkB5KbFQ3HTx9MzADpcuTE5XDVneC8Nu
F+NeF1TW1biVV6YIyxh6eoEB/fRkPCjo0SMMWvbq9eLx/USpFuLw1t2143vDitV4PFi3qI57jkKV
rCLZS8cTM2yVJn0gBGyABEjD9XgnvmXdkrlUCd569Ye6jInwckc6egVTaspbGLdiQ3tMI+/J9fvo
2ev9RzVPVMz+1maAmiAbEYe8Hy7wWCc+eFrGVNdYgK0Hc2m3OdpQchfwy0pdVUxVhS/xaljlUpXa
01dTCoZSNBeojlv2lRotTK/PVtjj5j1p4htF8ZSnVLMDGBMd5VJR3PTSyQoWoeFE5faXKQ/WB0uM
nZXh5fUia5hwCv95PE/q2Z33IZL0aikO2gx2M1cw/y/DELuikaz0Sbb8B6q8amj9ZG1NIleYjcfp
9amPPPCngUt12VRGsTRSS/jkQl4zXhCiHzWXGyVfw6/u38ceAZqhQdFR86nZ9eaW6mHlqkhrUjLD
icom4QuTlXAj24W96aMom+mRZl37DRUu8JJ+LPKkgL4sdT5o+AapI3UPtWGkF12uwp/Uxd0DZR7e
ovSUGEQ+Z70UYlUB6afL8WxOzZOhxg+wLLWXObIJuCRcFXh9v+wcATKkyusfSr8KpiLyN5vxTYbl
zCuo2+6FohGujRgl2fGDqXtZGZZbz8Y3IboYzkrb1FdQmhXb3Iebpe96gB3F4DV5vvLhdRedqP1u
ltr5htDS293xrJcTchjfWw7qSl7mENKNyD1aKol/zbXXnlNr+02WvnrQp87stUQZtzD/4dz4DsHW
5kqgi2BCVkFs29qnrC1yKDsgnAOAScg+IEFTy/oqTAZqOjsV0ZUy/E3a2dpd0Ju3u+OhpRN1AyFr
lq19gzX9Mh4vMEmmUQEhAEVL4XVUpuXEHaAmQodcS+Sa6pXeZ80l+E/0IHxodesKYA3kvHMjLo31
bhO9GmM97tskY5bIbsKRwyILGY66jTtoLIsMqZ7dsSzTt57YC+s34JrhmCPddEC1bSYLzFdQbrXv
fc4b59bwbe+lbrIlSsWJO0mjzxEC4f4kra7wjDV3kgQ+jBZO/1J09pWem81n1He+9HkiPcq92sIK
BsFdS9h7Aks8NLu2YUApGOJBUMBmsQ6JNnyatUmQa9gcLxq3CqVEK8o0o+l4TMgpmZkILm1EYxtk
ELwl/J1fx9Ov7zMbpMdct0/mtR21Ewuac2pNA2cu6Jl6iY8rUs0qSavY8qstuC1o4jS3uBNcbGWz
z+s/YYq7sh3QihNh5sR1vatu8oaiprGyaaxicpxI2rg9yJ+h/qnskKbQlSiZ1HlrAEDjhWAf5Q8p
mnWW42OIUMwq0/w1DGr12nGLT9Kgzza+WEMlceVEWwTihc14aLxUdyGFtOE5nb1ea7goD0qaex76
uTaT5c65kqOyR71K71CmC9Vt6Yv1XLaS+B5dLJnaW8X5rLRAYAps6EkdpLMAWp/npA0GBj5J/WB5
kB+OLeWOtG8pGQRaFV2Ql7qQa1tCW4nmuVtz2AkxQ7dR04cQuzWZtygMYdBF4IwRqj51iOhzTkFC
EjXxy3M2oot22PKlLLpw0rw8T1Ag3G25348dnU2copmLlPKDDhDXFrFRqkqGTVcXxbWg8TLuji+a
Ysb6fHcRzIaajNAGl5qBLk0TKfWua6g3Q1MJH4D8yGtTrYqZrFPqDF8GzGAu0QHK1aJrM1TQYR1O
wIeWzhqrMteZ41of87CahrraopEC9D9u6m4x7oL7WqEkp92j7eOTLqYALIR9u0LPla7G+k68wv4T
0XZvGiUDQZmg5Is49OILaHnBMkO7u8x6p76RrL6bui7V62JI8kEZIkzOEGsqG09dmXH+8Hpo3DKz
Rp15g5qhiOCPFETmBYrkJk4/dXMwzWlTedgdj40vfYrlMqHmEIlIE3I+GINucgJgU4l8GES6KVQK
434/7LeFA4pp3GcV/7bvRPmDKsZwfsXiJxH8cJSL8VccREg7Yw1/CaCBG6j6LVhhfeGaqbfRjcjZ
VuaQcBLK/EOVxLBfwOz7Un0OwyD5GstgSPNcNj8ITHsAB8Jy6zS5vE6MKFiGWZXd4nVC8RFl4eca
wc3xXVKdXjkdsxXAPXvK1Lr8deRP1g7LbsgSqpYhi4SFLU1TRIbTYcyLGKVbm2JqP2vJQH/QK84m
ItZHbcdXuXCKz1HQzz9pFTTXPgLr08DbdjLSeFJBWbGgSd5VJbcrlJCQ/MtsBYssufT8vFhV1kwx
Um8ZpYl768a3YVBeJYqjrkVBU9ZECxB0SdJw6tUVCBiVYgO8JnWWiB2sX20oMnXQHBW0cHwuqgdJ
FdRZ2cHfRtyuXFJWQThZySkVKV1kLaS1PoBvDJGqIAilP8kS5Fqx8sl/ATmrXPfJB8ToLJA+MBjL
5DdRjjLjC1GypWWUVx8Eq0eoyCGBSa29dk42NZpSWClsDP+OoAes3nJTXGkdSlx2TZmNB4v0RhAN
Uu4wpE5idFoXEcjUWWOjT2W64dTWpGRBCZe4aOxQWfTac6XK8aom1DI3iI9PNYhMF0TA26mRp9je
WrWyey88pxYXrEwPbijQkgkUvRR0oqEmeHzlIiHHE2hwOEfZpBW9/q6BNNoXUG/sXNZ8ynvhFJED
Yw6OSZgDvEsXnWLKk8BtSN0HZTYTIWRD+QEuGaGRn4IEyr5aj7N57NjxRBCyaBY5cnrrgwYEUiBv
IbGWtyU1ToHkVSgyuFMYbto1gGNrg4IhxOcFBVLkDN27gKLJadjKhBzRdQOEmOUrePhm8GGSzPfL
VQ+PPWQN6URviRj4ffUciZlyAXzms+MqS8PFZtKzxI8ndt1la6LhTulEF5Gifmx9XVk7pWjMAg36
XqwWZ+pLVol2pF6QY7nHq4suKOaPLjIm6c6F9LWiIiP37fTOVdN7TSujteaRqrbVDeHrK2ix9E/M
vSvXRNwd3XHTjbeJovsPuRAuJaNpELXyimlCOvJGBUxX5+okdA3QD6mLABwKelTK+pO6rsttpa97
YBDzgc1zgajvtgrNfusmAFQEg6w4pVkXqY3KrEhF1sJoVW2dZv7HJLKbrd0RlA3gzDCl3D6vOvnG
xB+dMCWbK2hLIYWW2zvJz6vL8UU2YE5ssxgJPjcHdJWJykbpCqByinGRko29akCizDrdhb7fQIYW
sO20sftJKW6dzNQ+Un44MV13kxHFXguR0K46q36MqB/fqnILNlrhZ1QAuE5lBWFhPHrAjeAnZ3UO
QYLdm/KyxZKdRbIx9QTlWWyyuezJLC9d227FOLouqclDnR58LUXy0GN0SjkL4goh9MidE7CwlqFj
JDNIlGd66zzpslL/ZlqTDt1tZjVN0gyNck+iBkjAHCOBYSKLDSu34i/AjuSHpANPhXaMUQsU5JSG
gNNF0TIcUvPU9imtr7X0K7oZxtJlRUMnJUA+PQjWAVn2yqs7qoZ5tn8z8x4msvmKhko0ALiyJJOJ
MNSjShVJlMM8ylL/pUUZCkpvNAcbMbnJQilBs7ZrzmUDFZWUONA0xXdchFIxURqQViONcNrDyuF3
kIor4UKR9GJBwgW3xSujm0SMrbnYu/KiH+baOGi8qaWHylyNNDSAEveh7MTf9fhhlGbscYDXkgb8
nqKQH8o3iWVaSUBl25cIQrM1nIv6BsTODB15H1GmED4sxFrsSUy964RwrY3yeYikuWxSeaiZ0193
riUdhFvGb4MuOxS5liWRbD6u3W8B+cs1E8oXCy8E3pMqR8A7ealNdyha6spZr1rBRPdhajFb86si
BM9VWbYXVWP1q0Q1l5lo4LMQNjzHNmzXtuACOCs9YyG5GbzyPWySVe1+AgMmXha9exkUhgS4o/a2
USWHywolDm0+hj+QqnwQEs+eyKl/71XZHauYNXfSJkLRLNSWuag8eCFCj74Ka5uqB7DGDQkGv7Iq
ugsSoirTxbnk1KsoKuSpq4n1tHOkHK0ugzKiYTfX9XBeNMbGofQL3YdoErWoQULU+dUqPXepeeWj
HPdQK6bJbWKq1lp2pHXjCXdwg/kfA57aiWRan6MEskClq8QNuBz1PHZYQBIh9JeaLecbnpR8wDVX
1VetU6+YD6iCy8N518Afm9tBdSGLZQmm1kK0QUw3ZVaV2zBCjll3kmoKX3EwCUTTI04kXSOeIJC/
8VAqLbr+669/f+kHq4aRSApP48lXZcMwj6yaBKZUI9Oc+EtsiO11nVsp8lq22kzJ69wVroxblBJV
l4fRmWaJe6MxF/z6O8g/jMEh9wtGhYGokFI9zgNLglG0lLP2X6QkfEbVrbwAvRHCLhc5oFRhihmT
03KQbwF6LPHAnJXbSe2ckDbw5yYxF54mf0aYoNq2iOVCDdMJmxBOAb+LxVnT1PJF3yAL+uuvLR2F
KseJCZkB1TJlyRpyoUfwDCnAnQTXZHzxcgafGGhPVtXIM4QHIQmxnWwVGzoQmb78qLlzgvcryNOV
PxOzXbF0U6yKDiFGSNpcCnU6IfpqrQujCye+iTYBYgZTid8MU9iU7r1MEuedm5zDDyXOysLZSCbc
EzYShnoRzdBP0Vet0xczIqfmsjGJ9TVlCM9KhF4o4kwDzXf4YAttvDAa2JhdctWbDPjoPLNtmFgc
r74w9I58DmlkSnGRJK0Sv5hkfvc5VsltulRETgOhq+ad0xqLRDNd/NCknhV+nVEN2VkLp1IWbqLl
N0pTRtTOh8a8RbdrYauqj0ViYa1qTkN0ry+pd1OyWa465dROMVwt/4nCQLfIPguqqm2Z2bWZICDf
K5kIh2aUqU8M3+uIhdn3lMpZq0b1vlbYfVQtjbZz262g4E3P06IETUzUZYnFIK3h0PUgDX4WFWR9
IQhR8hpdraR0V/qQa1Nxt1G/9FCYdNVV0TjtvIHCjCVAi+8sWNnPrbp60aBSjDBqZOlcoiDuOi2w
VK8AIOHfieBm13Z3YclpcO5mjTTpatXriZbEUy0Lpx3S59eKISArm8Fl2YiWG0/IXAg3XvwpVgEw
oEQhRRv0NrENY2nmNF8hG4/uikTVz9W66KclIWhRk64huB9kjqgmTPqy+M0ycFQQtBvKKrQPBuF3
C9q9o4KwSrQtnkvD/qLnnos1VceTwBCsRQACaSGJXkXSua4vdV2rL1VHQt/TdzZJSGk7xsOiVeu7
ehAcpHLxPuJH+fWT9uMEgQVgaRaAA0mXjR8IZhS56fugbYKXxquugA1Ld5IF3D0HYTy1mbdnXZWH
1yVsaOAk6qkkd1SkSaY0LTVMGEFB1bsopOTP1qxA0AaGAgjSr++M5t5KzM+d06X3Djn/34FFrOO1
FVtFkcnEKIppqTx5hx6jLnlFVCBZ8CI4EN/0UCo2ifGhDH0WLuhLF3ortxNXsJMVNTukh4DF3sE2
fG2E1jqWdG01OlO1qGyFogWvF6/kBrWspMLfkdCnmDigK42yKbaKlK58AodLyXQGIg4Ka2BMs9Z5
04sTxS6WSAM9dyDFHpXABLhS5ls/svMlseHgPqpzwmbMPmXVPvz6lztCsI3jylRx3kxRk8G6Wkd4
mT6qYARoA//FjORibgW6w3piU/ZdmDeKlwYbvZX0ObVSL52AUFTVroWu0DZRm8+pXoKAuHG3Sivm
F1rkpvBbS58MhOuvFVNYoVhYC6X6kWJf1CAp1piBXvQmWRHWU4IqcHr4TnbZx/aflVgxqdk4VdS5
frCp69nkFVzkv75Xxs8Pvzf4H5ZQ2WSQ6pJ+9BDlTaQVphPHL6GmiTOQtM0l1cAWQtu1Y6w8jJ6r
yAtm4GTirdU7d2rpfrWzXp4GoqwtQtVytuNLYhHahbkHEgMNZCXlVn5VBTdMVfYqNYtHJJjbC4Fw
r1lGc0/ILxFUbiFgIDxKdeOlyne7ViEc8hhb55bqoGkfCup1S7rvMogfPWOFpEaImiU6DvDhxJYy
0VKTcldR+ZDp1dwmR68EqrRBlBwsf1mLMO2iElaBm4kpj08N1hLiXue247vTCtGQSeHEQ/IDF6u/
1aJ40qm6gKhJBAUIBTpX0BnEF+XAeuREVoaEPYTgYGn4YlolfBS6MJuRorgCv5hcyu19WfbeOS6n
Q5xep6g7ilNUhutwChBcnvbKBwwUIJ5F81Lp1cbKcrR8mK0hA5+QVAyuQoy6SQ+gde6jeDKJBh5+
XcuRKs7iSyxIa2PqibchiZVMykDVziXXbted2X1tvUom6xBLa3tQdLXl+MWtMigciGNOEA1oL1JU
OuwMXcoSbr+WqXChYaZQIkfAQ4S0ZgiFqtoQgatrY4L0zKatc0jF/PCjruZoWg4KvLJJzA3MELUx
0qZwu2Kr1l9J0JdXIdbDBHqMFVxvzVK18+AjQP+1nRMjTrrPZig4Fzg92aJ1YPXOgdZN/A7WIWLj
4kYbXqiQnqDQml44dvoZ7p2XnDrwcynRLiF2Vm/VqmrPDdhUG3hpr2QPSGWrRc9xlW9VHVb60nSu
G3S2riFLnRZSdItyRPLVcFgL9Uti+8ZDLPX6pCP1sIlF+bLVJPmuk9xlZ6bBdYPHA+dZV54zLRHf
btwGCSGXSlrweue6R+gfelIW4zSy5j5L+QbEe7d1KkJVvWkV1w76Z7+xL40fbFxDlzRFw380LAm8
4dE8XKNMyahTqxcd+Zhp4HaYPRF1WaZVMYdiMlyZZsaALBYyWu7pxHcg8tAlZ+YizLjUvf45aj1t
GQYQzvsaxON/EvUwJtBkWavAHyJU2PGsfxcoRFIMAhUeU5yzpTZjEuhxg/qLrU9khTJpp+nMmeR0
0PdHTXchFn8GYXyuAPq8hSIgQUAwrrawV2kLP5G+jmwwVI0s0S5RVlpLDgj6suAxKupwRukYq0jl
4pjzWU3kaQtqYuQlxQPUhjpesmkg1QoGvc+4yKu7ypelaV/fR2S+4F1r/bkYQw3k9vFLa4I00tu6
XDo2CaVgGMJ27l3Wft1tPV27Lvs033n1/+eANa4YWeSeE2jFAIOVR7v/vk8i/v9reM/3aw7f8e+t
90xGMvla/vKq5Uty+RS9FMcXHbTMp++/3eypfDrYmcelV3Y31Uve3b4UVVj++uzuPiDHGxoaWfHu
kx+a+I8u+say9/OG/ngZv9d9l77897+evkRePPOKMveey3/tTw1If8OwGNDfCfu+NzXezq+aCJ+4
6+oLbavSGUEgnhEekvGPlS1MYmd/WjDkM4PoJ4xg2vhJb/rxr27/13f2rZd3o+X7Vz7oxl999V3H
DHevqPAQnXj7inWGmcbCLRIFGf4Ikr29fUmSznQD61jWdx/1v3//z0kVl8Po5MGN3/76SFr9Z3d/
1MLrj8/dawMTAGUGh7dtWWciDHCyZoq7biGSxTD737/5vxz6iq6b/+HtH7XxevuqeobLQ02tvr9L
rPi3P75pMfZh+dagtxz/3l0vSKK4+05HT9P/YAJQeMB1nXikCGps+KPBg07Qz0wVoDdhmt1QoJPe
11AgfDTErk+aBhX1jLIPBQeTjPFPeoEihTOsB8USB9P/fd2/ZKm7ufmEQaCejXkAAtO7H/ln06Cu
Qh2j7frn3XWCLGoDJdBJg0CVz+CjUqDFoj/fPgMGi8CQ9mWR3HXPbtV9R9Mhc9TuuTxhDBhnMqwD
uA37ieDIEpAk60ynfwxL3A+S9/YgyKqm7wbm3+8FVTmD0RNXkdjN7u9wKEAfe4YLJ0nKu3sEJEs7
9e6ZBk2LgLYivQ70tw+CJZ+RKZI0emA3Tb47o1CCk/rkeUA9I2onEgqVvj/ub3tBkjAcMAoMUd2t
O+9oIjAYuCdOg4p5xhggTqXKux/5eCIQtTNNNUhf7jr6Hd29CcXbqXeP6QsPAgn1/SNwZBQa2pnK
9KBSCbgbHO/uESDsLJ3cC/zEUGEZwJ12d3lkEBjWmWRq6kAYvRsj7+5BsCSFYNBJ9sDwIMCUCFBi
b/oed4KBl0SBNuXZ73QoUFx7smksm2caPhAIjKMnwWQxMJFlBn6wGwPvbjpgsR74DU8bBPIZgcvh
R/75IDCVMyqawKaQ6Bj/3l0vkF0fcv+n9QJmkQhGBEHA73f5dkk0RQwHuoB4ye5R+P8VLTly9l+j
ReTghujvSb2gimcSRgEx/P2sSIMHvcCsCDxS0UAO7/7GD3xHC6Siw/twYi8wLRIvgFxE+osnQsRP
UAx85dexQre/o17gRzJPjhhYZ3hKAOe+xY6OZ0f9jKgp2BBrH1jdTUTvqhdI9584FnCZRYADaBOq
P50XLIUIoyiSHN2ff3fzAtinkw0F5gUVp0gBJv7TXmClNESLaQG00PucF8gLD9CLk2ZH5gV4MVgm
4Sgd/478BsvErSKsTMR51wm7wfeOngh8fvkfeCK4OzITf+FCAxMggCABZhL3M8d7WyNALwxYwNPG
AjcJtFTGVTpaIjWmRQYIReC7QfDupkXcpwEDddLtqwZGIfXYpkR+Yfw77AUWRrzIAXn9bicE5L1P
jaMo4hn8M3jTGi29tZMsCWtxkBr6ll56d4MAVOeAhz5tEGhnpCiJmr+Z7972gm6dycy7KgvoO30U
KBPap33/fkBV0cgfYSgyE+zu8nhC0OklMo3QQe1WjXcXSZBF3NwTx8IQShgmRO3ISjR0LAPsaFyr
Xe+8O+9RlmARPPHumQ6H3Ilk4SWPf0fzAYV1uBSEGHTl3c0EeLzWqRFVEs3mgGPFZfr5M6CRaBbx
JQaPYvh7d1byEEM41W+kF1Atw3sGtjL+8VC9nQ+HRRFbHJ2+AT7J1PuOLENEJaRTPUZ1mOnGUpt9
pOjYPlbPWHYUInbvbwqkUuTU22cKRCWKxBHRqPGPBt/+/ENuyYC8BjdpNzze3UMAw5p4ci/gChKC
QXljd5ND2vZtL4A5IcfOkgPmfvx7f73ACD0ZbwDsCiJynoZ96PjoUUBWlm4gAzHIFQ1/O9/0PU0I
8LKevCyCvQMurhjGHnRy/ERYZ5jPQ9z5vWZbma4HxNxpZrJyhm6TLhEfGX/qYwAS4AtWDDif36+B
CMfyyb1AaJmIKWC0n8+OBilnJg10bPfzxrtbItHcOh2HJOEWD/Sq39IMR/MCuEQFKBoRpn3oeWeT
vKd5gTri3WT1910mgqo4BMDaBrfj7eJA7pmlAXcEU3r8242693T7uHonhw3IPUMMS1R5Nx8Mk//b
XrCILQHFE8VvduRuHn5HvYAJo548CAghgTIizfIX1vIIRBpCdXt7aveB76gXZOyYU8cCkXXTApO2
XwBHQ+DtWDCMM1MxzSHkvHsi3t2EQH313p35+xOCwognSCAOKdbx78h/NsjIWSyRpGd359/fWBgw
xqcaCqAwqa+zvvkHQ+3DwVjAUJBMMm7gVMe/3eB7R08EFs7et/v7YwEvGsqCQcnzeBAAVCDtAHfm
Pub8PwAm/Qd99L2oBYq18Mt8KE/xXoo3hTO/veBbXciPDbwpaRmKGg4uHEpgdk3vcvnD/r8Psvxj
nODNyW9xg/Fz9m/f3+CPH33wWd/u6tvBc+8lf8qf3W480e2/5lBv9N//+r/h0+en6OltQQYPH7/J
6zf5oXLnu538m4aL4KjdIRZ9cru51yfxYcMjcvz0hoOnuHgqvn3FoTZnh0U9teXpU+h9TfLYO/jW
O6zzyW3DW54/fUnefusdePL0lqnzfS492FAOGh+LtU5tfPYSPjVP+cvblneox5Nb3heY/ZF8/WMK
mXb0+bDbd4C6Uz8Flqjc+3Lwe+5Baqe2TCVg7hx+5T3+69SWz+lxz3vb45JCkObbgZ8W6f1Hj/rq
y5N7MAD36OVTv/AqhDUQNsFv33B8Inf4p5Obhg7q6WgW2aFpTm45aQ6HBewq+DenNrv5cW7aYR1O
bpgGqueg+/YVx07epc5Pbfoiqbzih27eZWRPbXsLd/LB7LFPdZ7eLrLMT/GXt92xz5yd3nRRPD27
VfFSlgdjel/0c3L73rPrOU+HxZW7tM/pTbMWQCtzMLL3yYTT2y4Kj/80PZib9lHqf6L1pMqPmx7S
ACc3nSB4cTiH7LOMp7Z8+fI5fzqynkAZDJHa05uunw7XLYKfQyD89IabP86forRwvcNlfR9c/Sfa
X7/kxcvBTEV0aYhZ/hONb19a7/lgGdtXZP4TjT8mefDtaw4zLE0P8bWTm07y0v1j+pQnrJSHD+eu
euKf+YAZ7KBHz/4OXXRq81eud9jjOxTjyc0GIRbJoVdDVGEI6Z3cdP6CtOK3dsafcleud2rD1y9x
XHRh/XTkJuzDT6c2f+smX17+WBU/rG27iMapzd8l1V8MxD1s/5/5gB8H4j6jf2rz9/T+S1G8HJgU
e9zQ6W23h17lPsVwarsfyif37UDcE0mc2uzHlzxiZTtoeRfwObllD8/maHjv44qnNv3wxLoDR+Xh
o7kPYJ/c+EtR/vHxZ19+V4Zwcvte8ZzEhXcwreyZIU5uu0tgXXEOfs0dPPjXLf8s0vQdyvJj/Okb
HcrP3nYYXBuueA5fnvJ//z8AAAD//w==</cx:binary>
              </cx:geoCache>
            </cx:geography>
          </cx:layoutPr>
          <cx:valueColors>
            <cx:minColor>
              <a:srgbClr val="9BF8F2"/>
            </cx:minColor>
            <cx:midColor>
              <a:schemeClr val="accent6">
                <a:lumMod val="60000"/>
                <a:lumOff val="40000"/>
              </a:schemeClr>
            </cx:midColor>
            <cx:maxColor>
              <a:schemeClr val="accent6">
                <a:lumMod val="50000"/>
              </a:schemeClr>
            </cx:maxColor>
          </cx:valueColors>
          <cx:valueColorPositions count="3"/>
        </cx:series>
      </cx:plotAreaRegion>
    </cx:plotArea>
  </cx:chart>
  <cx:spPr>
    <a:noFill/>
    <a:ln>
      <a:noFill/>
    </a:ln>
    <a:effectLst/>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Radio" checked="Checked" firstButton="1" fmlaLink="$AD$5"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firstButton="1" fmlaLink="$AC$34" lockText="1" noThreeD="1"/>
</file>

<file path=xl/ctrlProps/ctrlProp7.xml><?xml version="1.0" encoding="utf-8"?>
<formControlPr xmlns="http://schemas.microsoft.com/office/spreadsheetml/2009/9/main" objectType="Radio" checked="Checked"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Radio" checked="Checked" firstButton="1" fmlaLink="$AH$5"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firstButton="1" fmlaLink="$AH$4"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firstButton="1" fmlaLink="$AH$6" lockText="1" noThreeD="1"/>
</file>

<file path=xl/ctrlProps/ctrlProp17.xml><?xml version="1.0" encoding="utf-8"?>
<formControlPr xmlns="http://schemas.microsoft.com/office/spreadsheetml/2009/9/main" objectType="Radio" checked="Checked" lockText="1"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firstButton="1" fmlaLink="$AH$9" lockText="1" noThreeD="1"/>
</file>

<file path=xl/ctrlProps/ctrlProp20.xml><?xml version="1.0" encoding="utf-8"?>
<formControlPr xmlns="http://schemas.microsoft.com/office/spreadsheetml/2009/9/main" objectType="Radio" checked="Checked" lockText="1" noThreeD="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Radio" firstButton="1" fmlaLink="$AH$7" lockText="1" noThreeD="1"/>
</file>

<file path=xl/ctrlProps/ctrlProp23.xml><?xml version="1.0" encoding="utf-8"?>
<formControlPr xmlns="http://schemas.microsoft.com/office/spreadsheetml/2009/9/main" objectType="Radio" checked="Checked" lockText="1" noThreeD="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Radio" firstButton="1" fmlaLink="$AH$8" lockText="1" noThreeD="1"/>
</file>

<file path=xl/ctrlProps/ctrlProp26.xml><?xml version="1.0" encoding="utf-8"?>
<formControlPr xmlns="http://schemas.microsoft.com/office/spreadsheetml/2009/9/main" objectType="Radio" checked="Checked" lockText="1" noThreeD="1"/>
</file>

<file path=xl/ctrlProps/ctrlProp27.xml><?xml version="1.0" encoding="utf-8"?>
<formControlPr xmlns="http://schemas.microsoft.com/office/spreadsheetml/2009/9/main" objectType="GBox" noThreeD="1"/>
</file>

<file path=xl/ctrlProps/ctrlProp28.xml><?xml version="1.0" encoding="utf-8"?>
<formControlPr xmlns="http://schemas.microsoft.com/office/spreadsheetml/2009/9/main" objectType="GBox" noThreeD="1"/>
</file>

<file path=xl/ctrlProps/ctrlProp29.xml><?xml version="1.0" encoding="utf-8"?>
<formControlPr xmlns="http://schemas.microsoft.com/office/spreadsheetml/2009/9/main" objectType="Radio" firstButton="1" fmlaLink="$A$5" lockText="1" noThreeD="1"/>
</file>

<file path=xl/ctrlProps/ctrlProp30.xml><?xml version="1.0" encoding="utf-8"?>
<formControlPr xmlns="http://schemas.microsoft.com/office/spreadsheetml/2009/9/main" objectType="Radio" lockText="1" noThreeD="1"/>
</file>

<file path=xl/ctrlProps/ctrlProp31.xml><?xml version="1.0" encoding="utf-8"?>
<formControlPr xmlns="http://schemas.microsoft.com/office/spreadsheetml/2009/9/main" objectType="Radio" lockText="1" noThreeD="1"/>
</file>

<file path=xl/ctrlProps/ctrlProp32.xml><?xml version="1.0" encoding="utf-8"?>
<formControlPr xmlns="http://schemas.microsoft.com/office/spreadsheetml/2009/9/main" objectType="Radio" checked="Checked" lockText="1" noThreeD="1"/>
</file>

<file path=xl/ctrlProps/ctrlProp33.xml><?xml version="1.0" encoding="utf-8"?>
<formControlPr xmlns="http://schemas.microsoft.com/office/spreadsheetml/2009/9/main" objectType="Radio" checked="Checked" firstButton="1" fmlaLink="$A$37" lockText="1" noThreeD="1"/>
</file>

<file path=xl/ctrlProps/ctrlProp34.xml><?xml version="1.0" encoding="utf-8"?>
<formControlPr xmlns="http://schemas.microsoft.com/office/spreadsheetml/2009/9/main" objectType="Radio" lockText="1" noThreeD="1"/>
</file>

<file path=xl/ctrlProps/ctrlProp35.xml><?xml version="1.0" encoding="utf-8"?>
<formControlPr xmlns="http://schemas.microsoft.com/office/spreadsheetml/2009/9/main" objectType="Radio" lockText="1" noThreeD="1"/>
</file>

<file path=xl/ctrlProps/ctrlProp36.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hyperlink" Target="#Distribution!A1"/><Relationship Id="rId13" Type="http://schemas.openxmlformats.org/officeDocument/2006/relationships/image" Target="../media/image35.png"/><Relationship Id="rId3" Type="http://schemas.openxmlformats.org/officeDocument/2006/relationships/chart" Target="../charts/chart2.xml"/><Relationship Id="rId7" Type="http://schemas.openxmlformats.org/officeDocument/2006/relationships/image" Target="../media/image34.png"/><Relationship Id="rId12" Type="http://schemas.openxmlformats.org/officeDocument/2006/relationships/hyperlink" Target="https://www.linkedin.com/in/lakhanpal-saurabh/" TargetMode="External"/><Relationship Id="rId2" Type="http://schemas.openxmlformats.org/officeDocument/2006/relationships/chart" Target="../charts/chart1.xml"/><Relationship Id="rId1" Type="http://schemas.openxmlformats.org/officeDocument/2006/relationships/image" Target="../media/image33.jpeg"/><Relationship Id="rId6" Type="http://schemas.openxmlformats.org/officeDocument/2006/relationships/chart" Target="../charts/chart5.xml"/><Relationship Id="rId11" Type="http://schemas.openxmlformats.org/officeDocument/2006/relationships/hyperlink" Target="#'Sales Map'!A1"/><Relationship Id="rId5" Type="http://schemas.openxmlformats.org/officeDocument/2006/relationships/chart" Target="../charts/chart4.xml"/><Relationship Id="rId10" Type="http://schemas.openxmlformats.org/officeDocument/2006/relationships/hyperlink" Target="#Trends!A1"/><Relationship Id="rId4" Type="http://schemas.openxmlformats.org/officeDocument/2006/relationships/chart" Target="../charts/chart3.xml"/><Relationship Id="rId9" Type="http://schemas.openxmlformats.org/officeDocument/2006/relationships/hyperlink" Target="#'Sales &amp; Profit'!A1"/><Relationship Id="rId14" Type="http://schemas.openxmlformats.org/officeDocument/2006/relationships/image" Target="../media/image36.emf"/></Relationships>
</file>

<file path=xl/drawings/_rels/drawing2.xml.rels><?xml version="1.0" encoding="UTF-8" standalone="yes"?>
<Relationships xmlns="http://schemas.openxmlformats.org/package/2006/relationships"><Relationship Id="rId8" Type="http://schemas.openxmlformats.org/officeDocument/2006/relationships/hyperlink" Target="#'Sales Map'!A1"/><Relationship Id="rId3" Type="http://schemas.openxmlformats.org/officeDocument/2006/relationships/chart" Target="../charts/chart7.xml"/><Relationship Id="rId7" Type="http://schemas.openxmlformats.org/officeDocument/2006/relationships/hyperlink" Target="#Trends!A1"/><Relationship Id="rId2" Type="http://schemas.openxmlformats.org/officeDocument/2006/relationships/chart" Target="../charts/chart6.xml"/><Relationship Id="rId1" Type="http://schemas.openxmlformats.org/officeDocument/2006/relationships/image" Target="../media/image38.jpeg"/><Relationship Id="rId6" Type="http://schemas.openxmlformats.org/officeDocument/2006/relationships/hyperlink" Target="#'Sales &amp; Profit'!A1"/><Relationship Id="rId5" Type="http://schemas.openxmlformats.org/officeDocument/2006/relationships/hyperlink" Target="#Distribution!A1"/><Relationship Id="rId10" Type="http://schemas.openxmlformats.org/officeDocument/2006/relationships/image" Target="../media/image35.png"/><Relationship Id="rId4" Type="http://schemas.openxmlformats.org/officeDocument/2006/relationships/image" Target="../media/image34.png"/><Relationship Id="rId9" Type="http://schemas.openxmlformats.org/officeDocument/2006/relationships/hyperlink" Target="https://www.linkedin.com/in/lakhanpal-saurabh/" TargetMode="External"/></Relationships>
</file>

<file path=xl/drawings/_rels/drawing3.xml.rels><?xml version="1.0" encoding="UTF-8" standalone="yes"?>
<Relationships xmlns="http://schemas.openxmlformats.org/package/2006/relationships"><Relationship Id="rId8" Type="http://schemas.openxmlformats.org/officeDocument/2006/relationships/hyperlink" Target="#Trends!A1"/><Relationship Id="rId13" Type="http://schemas.microsoft.com/office/2007/relationships/hdphoto" Target="../media/hdphoto1.wdp"/><Relationship Id="rId3" Type="http://schemas.openxmlformats.org/officeDocument/2006/relationships/chart" Target="../charts/chart8.xml"/><Relationship Id="rId7" Type="http://schemas.openxmlformats.org/officeDocument/2006/relationships/hyperlink" Target="#'Sales &amp; Profit'!A1"/><Relationship Id="rId12" Type="http://schemas.openxmlformats.org/officeDocument/2006/relationships/image" Target="../media/image41.png"/><Relationship Id="rId2" Type="http://schemas.openxmlformats.org/officeDocument/2006/relationships/image" Target="../media/image40.png"/><Relationship Id="rId1" Type="http://schemas.openxmlformats.org/officeDocument/2006/relationships/image" Target="../media/image39.jpeg"/><Relationship Id="rId6" Type="http://schemas.openxmlformats.org/officeDocument/2006/relationships/hyperlink" Target="#Distribution!A1"/><Relationship Id="rId11" Type="http://schemas.openxmlformats.org/officeDocument/2006/relationships/image" Target="../media/image35.png"/><Relationship Id="rId5" Type="http://schemas.openxmlformats.org/officeDocument/2006/relationships/image" Target="../media/image34.png"/><Relationship Id="rId10" Type="http://schemas.openxmlformats.org/officeDocument/2006/relationships/hyperlink" Target="https://www.linkedin.com/in/lakhanpal-saurabh/" TargetMode="External"/><Relationship Id="rId4" Type="http://schemas.openxmlformats.org/officeDocument/2006/relationships/chart" Target="../charts/chart9.xml"/><Relationship Id="rId9" Type="http://schemas.openxmlformats.org/officeDocument/2006/relationships/hyperlink" Target="#'Sales Map'!A1"/><Relationship Id="rId14" Type="http://schemas.openxmlformats.org/officeDocument/2006/relationships/image" Target="../media/image42.png"/></Relationships>
</file>

<file path=xl/drawings/_rels/drawing4.xml.rels><?xml version="1.0" encoding="UTF-8" standalone="yes"?>
<Relationships xmlns="http://schemas.openxmlformats.org/package/2006/relationships"><Relationship Id="rId8" Type="http://schemas.openxmlformats.org/officeDocument/2006/relationships/hyperlink" Target="#'Sales Map'!A1"/><Relationship Id="rId3" Type="http://schemas.openxmlformats.org/officeDocument/2006/relationships/chart" Target="../charts/chart10.xml"/><Relationship Id="rId7" Type="http://schemas.openxmlformats.org/officeDocument/2006/relationships/hyperlink" Target="#Trends!A1"/><Relationship Id="rId2" Type="http://schemas.microsoft.com/office/2014/relationships/chartEx" Target="../charts/chartEx1.xml"/><Relationship Id="rId1" Type="http://schemas.openxmlformats.org/officeDocument/2006/relationships/image" Target="../media/image43.jpeg"/><Relationship Id="rId6" Type="http://schemas.openxmlformats.org/officeDocument/2006/relationships/hyperlink" Target="#'Sales &amp; Profit'!A1"/><Relationship Id="rId5" Type="http://schemas.openxmlformats.org/officeDocument/2006/relationships/hyperlink" Target="#Distribution!A1"/><Relationship Id="rId10" Type="http://schemas.openxmlformats.org/officeDocument/2006/relationships/image" Target="../media/image35.png"/><Relationship Id="rId4" Type="http://schemas.openxmlformats.org/officeDocument/2006/relationships/image" Target="../media/image34.png"/><Relationship Id="rId9" Type="http://schemas.openxmlformats.org/officeDocument/2006/relationships/hyperlink" Target="https://www.linkedin.com/in/lakhanpal-saurabh/" TargetMode="Externa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20.emf"/><Relationship Id="rId18" Type="http://schemas.openxmlformats.org/officeDocument/2006/relationships/image" Target="../media/image15.emf"/><Relationship Id="rId26" Type="http://schemas.openxmlformats.org/officeDocument/2006/relationships/image" Target="../media/image7.emf"/><Relationship Id="rId3" Type="http://schemas.openxmlformats.org/officeDocument/2006/relationships/image" Target="../media/image30.emf"/><Relationship Id="rId21" Type="http://schemas.openxmlformats.org/officeDocument/2006/relationships/image" Target="../media/image12.emf"/><Relationship Id="rId7" Type="http://schemas.openxmlformats.org/officeDocument/2006/relationships/image" Target="../media/image26.emf"/><Relationship Id="rId12" Type="http://schemas.openxmlformats.org/officeDocument/2006/relationships/image" Target="../media/image21.emf"/><Relationship Id="rId17" Type="http://schemas.openxmlformats.org/officeDocument/2006/relationships/image" Target="../media/image16.emf"/><Relationship Id="rId25" Type="http://schemas.openxmlformats.org/officeDocument/2006/relationships/image" Target="../media/image8.emf"/><Relationship Id="rId33" Type="http://schemas.openxmlformats.org/officeDocument/2006/relationships/image" Target="../media/image37.png"/><Relationship Id="rId2" Type="http://schemas.openxmlformats.org/officeDocument/2006/relationships/image" Target="../media/image32.emf"/><Relationship Id="rId16" Type="http://schemas.openxmlformats.org/officeDocument/2006/relationships/image" Target="../media/image17.emf"/><Relationship Id="rId20" Type="http://schemas.openxmlformats.org/officeDocument/2006/relationships/image" Target="../media/image13.emf"/><Relationship Id="rId29" Type="http://schemas.openxmlformats.org/officeDocument/2006/relationships/image" Target="../media/image4.emf"/><Relationship Id="rId1" Type="http://schemas.openxmlformats.org/officeDocument/2006/relationships/image" Target="../media/image31.emf"/><Relationship Id="rId6" Type="http://schemas.openxmlformats.org/officeDocument/2006/relationships/image" Target="../media/image27.emf"/><Relationship Id="rId11" Type="http://schemas.openxmlformats.org/officeDocument/2006/relationships/image" Target="../media/image22.emf"/><Relationship Id="rId24" Type="http://schemas.openxmlformats.org/officeDocument/2006/relationships/image" Target="../media/image9.emf"/><Relationship Id="rId32" Type="http://schemas.openxmlformats.org/officeDocument/2006/relationships/image" Target="../media/image1.emf"/><Relationship Id="rId5" Type="http://schemas.openxmlformats.org/officeDocument/2006/relationships/image" Target="../media/image28.emf"/><Relationship Id="rId15" Type="http://schemas.openxmlformats.org/officeDocument/2006/relationships/image" Target="../media/image18.emf"/><Relationship Id="rId23" Type="http://schemas.openxmlformats.org/officeDocument/2006/relationships/image" Target="../media/image10.emf"/><Relationship Id="rId28" Type="http://schemas.openxmlformats.org/officeDocument/2006/relationships/image" Target="../media/image5.emf"/><Relationship Id="rId10" Type="http://schemas.openxmlformats.org/officeDocument/2006/relationships/image" Target="../media/image23.emf"/><Relationship Id="rId19" Type="http://schemas.openxmlformats.org/officeDocument/2006/relationships/image" Target="../media/image14.emf"/><Relationship Id="rId31" Type="http://schemas.openxmlformats.org/officeDocument/2006/relationships/image" Target="../media/image2.emf"/><Relationship Id="rId4" Type="http://schemas.openxmlformats.org/officeDocument/2006/relationships/image" Target="../media/image29.emf"/><Relationship Id="rId9" Type="http://schemas.openxmlformats.org/officeDocument/2006/relationships/image" Target="../media/image24.emf"/><Relationship Id="rId14" Type="http://schemas.openxmlformats.org/officeDocument/2006/relationships/image" Target="../media/image19.emf"/><Relationship Id="rId22" Type="http://schemas.openxmlformats.org/officeDocument/2006/relationships/image" Target="../media/image11.emf"/><Relationship Id="rId27" Type="http://schemas.openxmlformats.org/officeDocument/2006/relationships/image" Target="../media/image6.emf"/><Relationship Id="rId30" Type="http://schemas.openxmlformats.org/officeDocument/2006/relationships/image" Target="../media/image3.emf"/><Relationship Id="rId8"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xdr:twoCellAnchor editAs="oneCell">
    <xdr:from>
      <xdr:col>7</xdr:col>
      <xdr:colOff>504825</xdr:colOff>
      <xdr:row>0</xdr:row>
      <xdr:rowOff>19050</xdr:rowOff>
    </xdr:from>
    <xdr:to>
      <xdr:col>30</xdr:col>
      <xdr:colOff>123825</xdr:colOff>
      <xdr:row>57</xdr:row>
      <xdr:rowOff>114300</xdr:rowOff>
    </xdr:to>
    <xdr:pic>
      <xdr:nvPicPr>
        <xdr:cNvPr id="60" name="Picture 59">
          <a:extLst>
            <a:ext uri="{FF2B5EF4-FFF2-40B4-BE49-F238E27FC236}">
              <a16:creationId xmlns:a16="http://schemas.microsoft.com/office/drawing/2014/main" id="{00000000-0008-0000-0000-00003C000000}"/>
            </a:ext>
          </a:extLst>
        </xdr:cNvPr>
        <xdr:cNvPicPr>
          <a:picLocks noChangeAspect="1" noChangeArrowheads="1"/>
        </xdr:cNvPicPr>
      </xdr:nvPicPr>
      <xdr:blipFill>
        <a:blip xmlns:r="http://schemas.openxmlformats.org/officeDocument/2006/relationships" r:embed="rId1">
          <a:alphaModFix amt="35000"/>
          <a:extLst>
            <a:ext uri="{28A0092B-C50C-407E-A947-70E740481C1C}">
              <a14:useLocalDpi xmlns:a14="http://schemas.microsoft.com/office/drawing/2010/main" val="0"/>
            </a:ext>
          </a:extLst>
        </a:blip>
        <a:srcRect/>
        <a:stretch>
          <a:fillRect/>
        </a:stretch>
      </xdr:blipFill>
      <xdr:spPr bwMode="auto">
        <a:xfrm>
          <a:off x="4772025" y="19050"/>
          <a:ext cx="13639800" cy="9324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14</xdr:col>
      <xdr:colOff>390525</xdr:colOff>
      <xdr:row>18</xdr:row>
      <xdr:rowOff>104774</xdr:rowOff>
    </xdr:from>
    <xdr:to>
      <xdr:col>20</xdr:col>
      <xdr:colOff>571500</xdr:colOff>
      <xdr:row>43</xdr:row>
      <xdr:rowOff>47624</xdr:rowOff>
    </xdr:to>
    <xdr:grpSp>
      <xdr:nvGrpSpPr>
        <xdr:cNvPr id="96" name="Group 95">
          <a:extLst>
            <a:ext uri="{FF2B5EF4-FFF2-40B4-BE49-F238E27FC236}">
              <a16:creationId xmlns:a16="http://schemas.microsoft.com/office/drawing/2014/main" id="{00000000-0008-0000-0000-000060000000}"/>
            </a:ext>
          </a:extLst>
        </xdr:cNvPr>
        <xdr:cNvGrpSpPr/>
      </xdr:nvGrpSpPr>
      <xdr:grpSpPr>
        <a:xfrm>
          <a:off x="8924925" y="3019424"/>
          <a:ext cx="3838575" cy="3990975"/>
          <a:chOff x="7448550" y="2486024"/>
          <a:chExt cx="3838575" cy="3990975"/>
        </a:xfrm>
      </xdr:grpSpPr>
      <xdr:graphicFrame macro="">
        <xdr:nvGraphicFramePr>
          <xdr:cNvPr id="57" name="Chart 56">
            <a:extLst>
              <a:ext uri="{FF2B5EF4-FFF2-40B4-BE49-F238E27FC236}">
                <a16:creationId xmlns:a16="http://schemas.microsoft.com/office/drawing/2014/main" id="{00000000-0008-0000-0000-000039000000}"/>
              </a:ext>
            </a:extLst>
          </xdr:cNvPr>
          <xdr:cNvGraphicFramePr>
            <a:graphicFrameLocks/>
          </xdr:cNvGraphicFramePr>
        </xdr:nvGraphicFramePr>
        <xdr:xfrm>
          <a:off x="7448550" y="2486024"/>
          <a:ext cx="3838575" cy="3990975"/>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14" name="Group 13">
            <a:extLst>
              <a:ext uri="{FF2B5EF4-FFF2-40B4-BE49-F238E27FC236}">
                <a16:creationId xmlns:a16="http://schemas.microsoft.com/office/drawing/2014/main" id="{00000000-0008-0000-0000-00000E000000}"/>
              </a:ext>
            </a:extLst>
          </xdr:cNvPr>
          <xdr:cNvGrpSpPr/>
        </xdr:nvGrpSpPr>
        <xdr:grpSpPr>
          <a:xfrm>
            <a:off x="8197837" y="3311511"/>
            <a:ext cx="2340000" cy="2340000"/>
            <a:chOff x="8197837" y="3311511"/>
            <a:chExt cx="2340000" cy="2340000"/>
          </a:xfrm>
        </xdr:grpSpPr>
        <xdr:sp macro="" textlink="">
          <xdr:nvSpPr>
            <xdr:cNvPr id="16" name="Oval 15">
              <a:extLst>
                <a:ext uri="{FF2B5EF4-FFF2-40B4-BE49-F238E27FC236}">
                  <a16:creationId xmlns:a16="http://schemas.microsoft.com/office/drawing/2014/main" id="{00000000-0008-0000-0000-000010000000}"/>
                </a:ext>
              </a:extLst>
            </xdr:cNvPr>
            <xdr:cNvSpPr/>
          </xdr:nvSpPr>
          <xdr:spPr>
            <a:xfrm>
              <a:off x="8197837" y="3311511"/>
              <a:ext cx="2340000" cy="2340000"/>
            </a:xfrm>
            <a:prstGeom prst="ellipse">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18" name="Oval 17">
              <a:extLst>
                <a:ext uri="{FF2B5EF4-FFF2-40B4-BE49-F238E27FC236}">
                  <a16:creationId xmlns:a16="http://schemas.microsoft.com/office/drawing/2014/main" id="{00000000-0008-0000-0000-000012000000}"/>
                </a:ext>
              </a:extLst>
            </xdr:cNvPr>
            <xdr:cNvSpPr/>
          </xdr:nvSpPr>
          <xdr:spPr>
            <a:xfrm>
              <a:off x="8467837" y="3581511"/>
              <a:ext cx="1800000" cy="1800000"/>
            </a:xfrm>
            <a:prstGeom prst="ellipse">
              <a:avLst/>
            </a:prstGeom>
            <a:gradFill>
              <a:gsLst>
                <a:gs pos="0">
                  <a:srgbClr val="DC25FA"/>
                </a:gs>
                <a:gs pos="63000">
                  <a:srgbClr val="9947F7">
                    <a:alpha val="36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19" name="Oval 18">
              <a:extLst>
                <a:ext uri="{FF2B5EF4-FFF2-40B4-BE49-F238E27FC236}">
                  <a16:creationId xmlns:a16="http://schemas.microsoft.com/office/drawing/2014/main" id="{00000000-0008-0000-0000-000013000000}"/>
                </a:ext>
              </a:extLst>
            </xdr:cNvPr>
            <xdr:cNvSpPr/>
          </xdr:nvSpPr>
          <xdr:spPr>
            <a:xfrm>
              <a:off x="8737837" y="3851511"/>
              <a:ext cx="1260000" cy="1260000"/>
            </a:xfrm>
            <a:prstGeom prst="ellipse">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nvGrpSpPr>
            <xdr:cNvPr id="74" name="Group 73">
              <a:extLst>
                <a:ext uri="{FF2B5EF4-FFF2-40B4-BE49-F238E27FC236}">
                  <a16:creationId xmlns:a16="http://schemas.microsoft.com/office/drawing/2014/main" id="{00000000-0008-0000-0000-00004A000000}"/>
                </a:ext>
              </a:extLst>
            </xdr:cNvPr>
            <xdr:cNvGrpSpPr/>
          </xdr:nvGrpSpPr>
          <xdr:grpSpPr>
            <a:xfrm>
              <a:off x="8743950" y="4152899"/>
              <a:ext cx="1247775" cy="657225"/>
              <a:chOff x="7753350" y="3743325"/>
              <a:chExt cx="1247775" cy="657225"/>
            </a:xfrm>
          </xdr:grpSpPr>
          <xdr:sp macro="" textlink="Pivot_tables!Q7">
            <xdr:nvSpPr>
              <xdr:cNvPr id="75" name="TextBox 74">
                <a:extLst>
                  <a:ext uri="{FF2B5EF4-FFF2-40B4-BE49-F238E27FC236}">
                    <a16:creationId xmlns:a16="http://schemas.microsoft.com/office/drawing/2014/main" id="{00000000-0008-0000-0000-00004B000000}"/>
                  </a:ext>
                </a:extLst>
              </xdr:cNvPr>
              <xdr:cNvSpPr txBox="1"/>
            </xdr:nvSpPr>
            <xdr:spPr>
              <a:xfrm>
                <a:off x="7786687" y="3743325"/>
                <a:ext cx="1181100"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1F921F0E-066B-4447-B535-B927CBFFB303}" type="TxLink">
                  <a:rPr lang="en-US" sz="2400" b="0" i="0" u="none" strike="noStrike">
                    <a:solidFill>
                      <a:schemeClr val="bg1"/>
                    </a:solidFill>
                    <a:latin typeface="Arial"/>
                    <a:cs typeface="Arial"/>
                  </a:rPr>
                  <a:pPr algn="ctr"/>
                  <a:t>100%</a:t>
                </a:fld>
                <a:endParaRPr lang="en-CA" sz="6600">
                  <a:solidFill>
                    <a:schemeClr val="bg1"/>
                  </a:solidFill>
                  <a:latin typeface="Avenir Next LT Pro" panose="020B0504020202020204" pitchFamily="34" charset="0"/>
                </a:endParaRPr>
              </a:p>
            </xdr:txBody>
          </xdr:sp>
          <xdr:sp macro="" textlink="">
            <xdr:nvSpPr>
              <xdr:cNvPr id="76" name="TextBox 75">
                <a:extLst>
                  <a:ext uri="{FF2B5EF4-FFF2-40B4-BE49-F238E27FC236}">
                    <a16:creationId xmlns:a16="http://schemas.microsoft.com/office/drawing/2014/main" id="{00000000-0008-0000-0000-00004C000000}"/>
                  </a:ext>
                </a:extLst>
              </xdr:cNvPr>
              <xdr:cNvSpPr txBox="1"/>
            </xdr:nvSpPr>
            <xdr:spPr>
              <a:xfrm>
                <a:off x="7753350" y="4124325"/>
                <a:ext cx="1247775" cy="276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CA" sz="1200" b="0" i="0" u="none" strike="noStrike">
                    <a:solidFill>
                      <a:schemeClr val="bg1"/>
                    </a:solidFill>
                    <a:effectLst/>
                    <a:latin typeface="Avenir Next LT Pro" panose="020B0504020202020204" pitchFamily="34" charset="0"/>
                    <a:ea typeface="+mn-ea"/>
                    <a:cs typeface="+mn-cs"/>
                  </a:rPr>
                  <a:t>Of  Total Sale</a:t>
                </a:r>
                <a:endParaRPr lang="en-CA" sz="1200">
                  <a:solidFill>
                    <a:schemeClr val="bg1"/>
                  </a:solidFill>
                  <a:latin typeface="Avenir Next LT Pro" panose="020B0504020202020204" pitchFamily="34" charset="0"/>
                </a:endParaRPr>
              </a:p>
            </xdr:txBody>
          </xdr:sp>
        </xdr:grpSp>
      </xdr:grpSp>
    </xdr:grpSp>
    <xdr:clientData/>
  </xdr:twoCellAnchor>
  <xdr:twoCellAnchor editAs="absolute">
    <xdr:from>
      <xdr:col>10</xdr:col>
      <xdr:colOff>66675</xdr:colOff>
      <xdr:row>6</xdr:row>
      <xdr:rowOff>76198</xdr:rowOff>
    </xdr:from>
    <xdr:to>
      <xdr:col>25</xdr:col>
      <xdr:colOff>285750</xdr:colOff>
      <xdr:row>55</xdr:row>
      <xdr:rowOff>76200</xdr:rowOff>
    </xdr:to>
    <xdr:graphicFrame macro="">
      <xdr:nvGraphicFramePr>
        <xdr:cNvPr id="59" name="Chart 21">
          <a:extLst>
            <a:ext uri="{FF2B5EF4-FFF2-40B4-BE49-F238E27FC236}">
              <a16:creationId xmlns:a16="http://schemas.microsoft.com/office/drawing/2014/main" id="{00000000-0008-0000-0000-00003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27</xdr:col>
      <xdr:colOff>38099</xdr:colOff>
      <xdr:row>9</xdr:row>
      <xdr:rowOff>138112</xdr:rowOff>
    </xdr:from>
    <xdr:to>
      <xdr:col>28</xdr:col>
      <xdr:colOff>409575</xdr:colOff>
      <xdr:row>51</xdr:row>
      <xdr:rowOff>147638</xdr:rowOff>
    </xdr:to>
    <xdr:grpSp>
      <xdr:nvGrpSpPr>
        <xdr:cNvPr id="54" name="Group 53">
          <a:extLst>
            <a:ext uri="{FF2B5EF4-FFF2-40B4-BE49-F238E27FC236}">
              <a16:creationId xmlns:a16="http://schemas.microsoft.com/office/drawing/2014/main" id="{00000000-0008-0000-0000-000036000000}"/>
            </a:ext>
          </a:extLst>
        </xdr:cNvPr>
        <xdr:cNvGrpSpPr/>
      </xdr:nvGrpSpPr>
      <xdr:grpSpPr>
        <a:xfrm>
          <a:off x="16497299" y="1595437"/>
          <a:ext cx="981076" cy="6810376"/>
          <a:chOff x="16934273" y="1085850"/>
          <a:chExt cx="981076" cy="6867526"/>
        </a:xfrm>
      </xdr:grpSpPr>
      <xdr:grpSp>
        <xdr:nvGrpSpPr>
          <xdr:cNvPr id="15" name="Group 14">
            <a:extLst>
              <a:ext uri="{FF2B5EF4-FFF2-40B4-BE49-F238E27FC236}">
                <a16:creationId xmlns:a16="http://schemas.microsoft.com/office/drawing/2014/main" id="{00000000-0008-0000-0000-00000F000000}"/>
              </a:ext>
            </a:extLst>
          </xdr:cNvPr>
          <xdr:cNvGrpSpPr/>
        </xdr:nvGrpSpPr>
        <xdr:grpSpPr>
          <a:xfrm>
            <a:off x="16974811" y="1085850"/>
            <a:ext cx="900000" cy="1143000"/>
            <a:chOff x="16980693" y="1209675"/>
            <a:chExt cx="900000" cy="1143000"/>
          </a:xfrm>
        </xdr:grpSpPr>
        <xdr:sp macro="" textlink="">
          <xdr:nvSpPr>
            <xdr:cNvPr id="7" name="Rectangle: Rounded Corners 6">
              <a:extLst>
                <a:ext uri="{FF2B5EF4-FFF2-40B4-BE49-F238E27FC236}">
                  <a16:creationId xmlns:a16="http://schemas.microsoft.com/office/drawing/2014/main" id="{00000000-0008-0000-0000-000007000000}"/>
                </a:ext>
              </a:extLst>
            </xdr:cNvPr>
            <xdr:cNvSpPr/>
          </xdr:nvSpPr>
          <xdr:spPr>
            <a:xfrm>
              <a:off x="16980693" y="1209675"/>
              <a:ext cx="900000" cy="1143000"/>
            </a:xfrm>
            <a:prstGeom prst="roundRect">
              <a:avLst/>
            </a:prstGeom>
            <a:solidFill>
              <a:srgbClr val="070E2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16987780" y="1866900"/>
              <a:ext cx="885826" cy="4667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1400" b="0" i="0" u="none" strike="noStrike">
                  <a:solidFill>
                    <a:schemeClr val="bg1"/>
                  </a:solidFill>
                  <a:latin typeface="Avenir Next LT Pro" panose="020B0504020202020204" pitchFamily="34" charset="0"/>
                  <a:cs typeface="+mn-cs"/>
                </a:rPr>
                <a:t>Average</a:t>
              </a:r>
              <a:endParaRPr lang="en-US" sz="1500" b="0" i="0" u="none" strike="noStrike" baseline="0">
                <a:solidFill>
                  <a:schemeClr val="bg1"/>
                </a:solidFill>
                <a:latin typeface="Avenir Next LT Pro" panose="020B0504020202020204" pitchFamily="34" charset="0"/>
                <a:cs typeface="+mn-cs"/>
              </a:endParaRPr>
            </a:p>
            <a:p>
              <a:pPr algn="ctr"/>
              <a:r>
                <a:rPr lang="en-US" sz="900" b="0" i="0" u="none" strike="noStrike" baseline="0">
                  <a:solidFill>
                    <a:schemeClr val="bg1"/>
                  </a:solidFill>
                  <a:latin typeface="Avenir Next LT Pro" panose="020B0504020202020204" pitchFamily="34" charset="0"/>
                  <a:cs typeface="+mn-cs"/>
                </a:rPr>
                <a:t>Monthly Sale</a:t>
              </a:r>
              <a:endParaRPr lang="en-US" sz="900" b="0" i="0" u="none" strike="noStrike">
                <a:solidFill>
                  <a:schemeClr val="bg1"/>
                </a:solidFill>
                <a:latin typeface="Avenir Next LT Pro" panose="020B0504020202020204" pitchFamily="34" charset="0"/>
                <a:cs typeface="+mn-cs"/>
              </a:endParaRPr>
            </a:p>
          </xdr:txBody>
        </xdr:sp>
        <xdr:sp macro="" textlink="Pivot_tables!E28">
          <xdr:nvSpPr>
            <xdr:cNvPr id="12" name="TextBox 11">
              <a:extLst>
                <a:ext uri="{FF2B5EF4-FFF2-40B4-BE49-F238E27FC236}">
                  <a16:creationId xmlns:a16="http://schemas.microsoft.com/office/drawing/2014/main" id="{00000000-0008-0000-0000-00000C000000}"/>
                </a:ext>
              </a:extLst>
            </xdr:cNvPr>
            <xdr:cNvSpPr txBox="1"/>
          </xdr:nvSpPr>
          <xdr:spPr>
            <a:xfrm>
              <a:off x="16987780" y="1604963"/>
              <a:ext cx="885826" cy="276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4295E37B-7B29-4E56-BF6D-B227847F9A7D}" type="TxLink">
                <a:rPr lang="en-US" sz="1400" b="0" i="0" u="none" strike="noStrike">
                  <a:solidFill>
                    <a:schemeClr val="bg1"/>
                  </a:solidFill>
                  <a:latin typeface="Arial"/>
                  <a:cs typeface="Arial"/>
                </a:rPr>
                <a:pPr algn="ctr"/>
                <a:t> 313,587 </a:t>
              </a:fld>
              <a:endParaRPr lang="en-US" sz="2400" b="0" i="0" u="none" strike="noStrike">
                <a:solidFill>
                  <a:schemeClr val="bg1"/>
                </a:solidFill>
                <a:latin typeface="Avenir Next LT Pro" panose="020B0504020202020204" pitchFamily="34" charset="0"/>
                <a:cs typeface="+mn-cs"/>
              </a:endParaRPr>
            </a:p>
          </xdr:txBody>
        </xdr:sp>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7021175" y="1304925"/>
              <a:ext cx="352426" cy="276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1400" b="0" i="0" u="none" strike="noStrike">
                  <a:solidFill>
                    <a:srgbClr val="FFC000"/>
                  </a:solidFill>
                  <a:latin typeface="Arial"/>
                  <a:cs typeface="Arial"/>
                </a:rPr>
                <a:t>X̅ </a:t>
              </a:r>
            </a:p>
          </xdr:txBody>
        </xdr:sp>
      </xdr:grpSp>
      <xdr:grpSp>
        <xdr:nvGrpSpPr>
          <xdr:cNvPr id="36" name="Group 35">
            <a:extLst>
              <a:ext uri="{FF2B5EF4-FFF2-40B4-BE49-F238E27FC236}">
                <a16:creationId xmlns:a16="http://schemas.microsoft.com/office/drawing/2014/main" id="{00000000-0008-0000-0000-000024000000}"/>
              </a:ext>
            </a:extLst>
          </xdr:cNvPr>
          <xdr:cNvGrpSpPr/>
        </xdr:nvGrpSpPr>
        <xdr:grpSpPr>
          <a:xfrm>
            <a:off x="16974755" y="2471737"/>
            <a:ext cx="900113" cy="2619376"/>
            <a:chOff x="16978242" y="2581275"/>
            <a:chExt cx="900113" cy="2619376"/>
          </a:xfrm>
        </xdr:grpSpPr>
        <xdr:sp macro="" textlink="">
          <xdr:nvSpPr>
            <xdr:cNvPr id="20" name="Rectangle: Rounded Corners 19">
              <a:extLst>
                <a:ext uri="{FF2B5EF4-FFF2-40B4-BE49-F238E27FC236}">
                  <a16:creationId xmlns:a16="http://schemas.microsoft.com/office/drawing/2014/main" id="{00000000-0008-0000-0000-000014000000}"/>
                </a:ext>
              </a:extLst>
            </xdr:cNvPr>
            <xdr:cNvSpPr/>
          </xdr:nvSpPr>
          <xdr:spPr>
            <a:xfrm>
              <a:off x="16978298" y="2581275"/>
              <a:ext cx="900000" cy="2619376"/>
            </a:xfrm>
            <a:prstGeom prst="roundRect">
              <a:avLst/>
            </a:prstGeom>
            <a:solidFill>
              <a:srgbClr val="070E2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nvGrpSpPr>
            <xdr:cNvPr id="32" name="Group 31">
              <a:extLst>
                <a:ext uri="{FF2B5EF4-FFF2-40B4-BE49-F238E27FC236}">
                  <a16:creationId xmlns:a16="http://schemas.microsoft.com/office/drawing/2014/main" id="{00000000-0008-0000-0000-000020000000}"/>
                </a:ext>
              </a:extLst>
            </xdr:cNvPr>
            <xdr:cNvGrpSpPr/>
          </xdr:nvGrpSpPr>
          <xdr:grpSpPr>
            <a:xfrm>
              <a:off x="16978242" y="2712244"/>
              <a:ext cx="900113" cy="2357438"/>
              <a:chOff x="16975903" y="2667000"/>
              <a:chExt cx="900113" cy="2357438"/>
            </a:xfrm>
          </xdr:grpSpPr>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16983046" y="2667000"/>
                <a:ext cx="885826" cy="5905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1100" b="0" i="0" u="none" strike="noStrike">
                    <a:solidFill>
                      <a:schemeClr val="bg1"/>
                    </a:solidFill>
                    <a:latin typeface="Avenir Next LT Pro" panose="020B0504020202020204" pitchFamily="34" charset="0"/>
                    <a:cs typeface="+mn-cs"/>
                  </a:rPr>
                  <a:t>Operating</a:t>
                </a:r>
              </a:p>
              <a:p>
                <a:pPr algn="ctr"/>
                <a:r>
                  <a:rPr lang="en-US" sz="1800" b="0" i="0" u="none" strike="noStrike">
                    <a:solidFill>
                      <a:schemeClr val="bg1"/>
                    </a:solidFill>
                    <a:latin typeface="Avenir Next LT Pro" panose="020B0504020202020204" pitchFamily="34" charset="0"/>
                    <a:cs typeface="+mn-cs"/>
                  </a:rPr>
                  <a:t>Profit</a:t>
                </a:r>
                <a:endParaRPr lang="en-US" sz="1100" b="0" i="0" u="none" strike="noStrike">
                  <a:solidFill>
                    <a:schemeClr val="bg1"/>
                  </a:solidFill>
                  <a:latin typeface="Avenir Next LT Pro" panose="020B0504020202020204" pitchFamily="34" charset="0"/>
                  <a:cs typeface="+mn-cs"/>
                </a:endParaRPr>
              </a:p>
            </xdr:txBody>
          </xdr:sp>
          <xdr:sp macro="" textlink="Pivot_tables!E32">
            <xdr:nvSpPr>
              <xdr:cNvPr id="28" name="TextBox 27">
                <a:extLst>
                  <a:ext uri="{FF2B5EF4-FFF2-40B4-BE49-F238E27FC236}">
                    <a16:creationId xmlns:a16="http://schemas.microsoft.com/office/drawing/2014/main" id="{00000000-0008-0000-0000-00001C000000}"/>
                  </a:ext>
                </a:extLst>
              </xdr:cNvPr>
              <xdr:cNvSpPr txBox="1"/>
            </xdr:nvSpPr>
            <xdr:spPr>
              <a:xfrm>
                <a:off x="16983046" y="4748213"/>
                <a:ext cx="885826" cy="276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D34E5174-9803-4947-8741-54A040649C07}" type="TxLink">
                  <a:rPr lang="en-US" sz="1400" b="0" i="0" u="none" strike="noStrike">
                    <a:solidFill>
                      <a:schemeClr val="bg1"/>
                    </a:solidFill>
                    <a:latin typeface="Arial"/>
                    <a:cs typeface="Arial"/>
                  </a:rPr>
                  <a:pPr algn="ctr"/>
                  <a:t> 215,023 </a:t>
                </a:fld>
                <a:endParaRPr lang="en-US" sz="4000" b="0" i="0" u="none" strike="noStrike">
                  <a:solidFill>
                    <a:schemeClr val="bg1"/>
                  </a:solidFill>
                  <a:latin typeface="Avenir Next LT Pro" panose="020B0504020202020204" pitchFamily="34" charset="0"/>
                  <a:cs typeface="+mn-cs"/>
                </a:endParaRPr>
              </a:p>
            </xdr:txBody>
          </xdr:sp>
          <xdr:graphicFrame macro="">
            <xdr:nvGraphicFramePr>
              <xdr:cNvPr id="30" name="Chart 29">
                <a:extLst>
                  <a:ext uri="{FF2B5EF4-FFF2-40B4-BE49-F238E27FC236}">
                    <a16:creationId xmlns:a16="http://schemas.microsoft.com/office/drawing/2014/main" id="{00000000-0008-0000-0000-00001E000000}"/>
                  </a:ext>
                </a:extLst>
              </xdr:cNvPr>
              <xdr:cNvGraphicFramePr>
                <a:graphicFrameLocks/>
              </xdr:cNvGraphicFramePr>
            </xdr:nvGraphicFramePr>
            <xdr:xfrm>
              <a:off x="16975903" y="3236119"/>
              <a:ext cx="900113" cy="1533525"/>
            </xdr:xfrm>
            <a:graphic>
              <a:graphicData uri="http://schemas.openxmlformats.org/drawingml/2006/chart">
                <c:chart xmlns:c="http://schemas.openxmlformats.org/drawingml/2006/chart" xmlns:r="http://schemas.openxmlformats.org/officeDocument/2006/relationships" r:id="rId4"/>
              </a:graphicData>
            </a:graphic>
          </xdr:graphicFrame>
        </xdr:grpSp>
      </xdr:grpSp>
      <xdr:grpSp>
        <xdr:nvGrpSpPr>
          <xdr:cNvPr id="29" name="Group 28">
            <a:extLst>
              <a:ext uri="{FF2B5EF4-FFF2-40B4-BE49-F238E27FC236}">
                <a16:creationId xmlns:a16="http://schemas.microsoft.com/office/drawing/2014/main" id="{00000000-0008-0000-0000-00001D000000}"/>
              </a:ext>
            </a:extLst>
          </xdr:cNvPr>
          <xdr:cNvGrpSpPr/>
        </xdr:nvGrpSpPr>
        <xdr:grpSpPr>
          <a:xfrm>
            <a:off x="16934273" y="5334000"/>
            <a:ext cx="981076" cy="2619376"/>
            <a:chOff x="16934273" y="5334000"/>
            <a:chExt cx="981076" cy="2619376"/>
          </a:xfrm>
        </xdr:grpSpPr>
        <xdr:sp macro="" textlink="">
          <xdr:nvSpPr>
            <xdr:cNvPr id="56" name="Rectangle: Rounded Corners 55">
              <a:extLst>
                <a:ext uri="{FF2B5EF4-FFF2-40B4-BE49-F238E27FC236}">
                  <a16:creationId xmlns:a16="http://schemas.microsoft.com/office/drawing/2014/main" id="{00000000-0008-0000-0000-000038000000}"/>
                </a:ext>
              </a:extLst>
            </xdr:cNvPr>
            <xdr:cNvSpPr/>
          </xdr:nvSpPr>
          <xdr:spPr>
            <a:xfrm>
              <a:off x="16974811" y="5334000"/>
              <a:ext cx="900000" cy="2619376"/>
            </a:xfrm>
            <a:prstGeom prst="roundRect">
              <a:avLst/>
            </a:prstGeom>
            <a:solidFill>
              <a:srgbClr val="070E2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58" name="TextBox 57">
              <a:extLst>
                <a:ext uri="{FF2B5EF4-FFF2-40B4-BE49-F238E27FC236}">
                  <a16:creationId xmlns:a16="http://schemas.microsoft.com/office/drawing/2014/main" id="{00000000-0008-0000-0000-00003A000000}"/>
                </a:ext>
              </a:extLst>
            </xdr:cNvPr>
            <xdr:cNvSpPr txBox="1"/>
          </xdr:nvSpPr>
          <xdr:spPr>
            <a:xfrm>
              <a:off x="16981898" y="5464969"/>
              <a:ext cx="885826" cy="5905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1100" b="0" i="0" u="none" strike="noStrike">
                  <a:solidFill>
                    <a:schemeClr val="bg1"/>
                  </a:solidFill>
                  <a:latin typeface="Avenir Next LT Pro" panose="020B0504020202020204" pitchFamily="34" charset="0"/>
                  <a:cs typeface="+mn-cs"/>
                </a:rPr>
                <a:t>By Region</a:t>
              </a:r>
            </a:p>
            <a:p>
              <a:pPr algn="ctr"/>
              <a:r>
                <a:rPr lang="en-US" sz="1800" b="0" i="0" u="none" strike="noStrike">
                  <a:solidFill>
                    <a:schemeClr val="bg1"/>
                  </a:solidFill>
                  <a:latin typeface="Avenir Next LT Pro" panose="020B0504020202020204" pitchFamily="34" charset="0"/>
                  <a:cs typeface="+mn-cs"/>
                </a:rPr>
                <a:t>Profit</a:t>
              </a:r>
              <a:endParaRPr lang="en-US" sz="1100" b="0" i="0" u="none" strike="noStrike">
                <a:solidFill>
                  <a:schemeClr val="bg1"/>
                </a:solidFill>
                <a:latin typeface="Avenir Next LT Pro" panose="020B0504020202020204" pitchFamily="34" charset="0"/>
                <a:cs typeface="+mn-cs"/>
              </a:endParaRPr>
            </a:p>
          </xdr:txBody>
        </xdr:sp>
        <xdr:graphicFrame macro="">
          <xdr:nvGraphicFramePr>
            <xdr:cNvPr id="62" name="Chart 61">
              <a:extLst>
                <a:ext uri="{FF2B5EF4-FFF2-40B4-BE49-F238E27FC236}">
                  <a16:creationId xmlns:a16="http://schemas.microsoft.com/office/drawing/2014/main" id="{00000000-0008-0000-0000-00003E000000}"/>
                </a:ext>
              </a:extLst>
            </xdr:cNvPr>
            <xdr:cNvGraphicFramePr>
              <a:graphicFrameLocks/>
            </xdr:cNvGraphicFramePr>
          </xdr:nvGraphicFramePr>
          <xdr:xfrm>
            <a:off x="16934273" y="5381624"/>
            <a:ext cx="981076" cy="2562225"/>
          </xdr:xfrm>
          <a:graphic>
            <a:graphicData uri="http://schemas.openxmlformats.org/drawingml/2006/chart">
              <c:chart xmlns:c="http://schemas.openxmlformats.org/drawingml/2006/chart" xmlns:r="http://schemas.openxmlformats.org/officeDocument/2006/relationships" r:id="rId5"/>
            </a:graphicData>
          </a:graphic>
        </xdr:graphicFrame>
      </xdr:grpSp>
    </xdr:grpSp>
    <xdr:clientData/>
  </xdr:twoCellAnchor>
  <xdr:twoCellAnchor>
    <xdr:from>
      <xdr:col>1</xdr:col>
      <xdr:colOff>100161</xdr:colOff>
      <xdr:row>21</xdr:row>
      <xdr:rowOff>85725</xdr:rowOff>
    </xdr:from>
    <xdr:to>
      <xdr:col>7</xdr:col>
      <xdr:colOff>366561</xdr:colOff>
      <xdr:row>26</xdr:row>
      <xdr:rowOff>66675</xdr:rowOff>
    </xdr:to>
    <xdr:grpSp>
      <xdr:nvGrpSpPr>
        <xdr:cNvPr id="124" name="Group 123">
          <a:extLst>
            <a:ext uri="{FF2B5EF4-FFF2-40B4-BE49-F238E27FC236}">
              <a16:creationId xmlns:a16="http://schemas.microsoft.com/office/drawing/2014/main" id="{00000000-0008-0000-0000-00007C000000}"/>
            </a:ext>
          </a:extLst>
        </xdr:cNvPr>
        <xdr:cNvGrpSpPr/>
      </xdr:nvGrpSpPr>
      <xdr:grpSpPr>
        <a:xfrm>
          <a:off x="709761" y="3486150"/>
          <a:ext cx="3924000" cy="790575"/>
          <a:chOff x="371475" y="3048000"/>
          <a:chExt cx="3924000" cy="790575"/>
        </a:xfrm>
      </xdr:grpSpPr>
      <xdr:sp macro="" textlink="Pivot_tables!O6">
        <xdr:nvSpPr>
          <xdr:cNvPr id="24" name="TextBox 23">
            <a:extLst>
              <a:ext uri="{FF2B5EF4-FFF2-40B4-BE49-F238E27FC236}">
                <a16:creationId xmlns:a16="http://schemas.microsoft.com/office/drawing/2014/main" id="{00000000-0008-0000-0000-000018000000}"/>
              </a:ext>
            </a:extLst>
          </xdr:cNvPr>
          <xdr:cNvSpPr txBox="1"/>
        </xdr:nvSpPr>
        <xdr:spPr>
          <a:xfrm>
            <a:off x="2619075" y="3048000"/>
            <a:ext cx="1676400"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fld id="{C3B0D0F7-7E89-43CF-B711-72612C6D718B}" type="TxLink">
              <a:rPr lang="en-US" sz="2400" b="0" i="0" u="none" strike="noStrike">
                <a:solidFill>
                  <a:schemeClr val="bg1"/>
                </a:solidFill>
                <a:latin typeface="Avenir Next LT Pro" panose="020B0504020202020204" pitchFamily="34" charset="0"/>
                <a:cs typeface="Arial"/>
              </a:rPr>
              <a:pPr algn="r"/>
              <a:t> 1,881,525 </a:t>
            </a:fld>
            <a:endParaRPr lang="en-CA" sz="2400">
              <a:solidFill>
                <a:schemeClr val="bg1"/>
              </a:solidFill>
              <a:latin typeface="Avenir Next LT Pro" panose="020B0504020202020204" pitchFamily="34" charset="0"/>
            </a:endParaRPr>
          </a:p>
        </xdr:txBody>
      </xdr:sp>
      <xdr:sp macro="" textlink="">
        <xdr:nvSpPr>
          <xdr:cNvPr id="25" name="TextBox 24">
            <a:extLst>
              <a:ext uri="{FF2B5EF4-FFF2-40B4-BE49-F238E27FC236}">
                <a16:creationId xmlns:a16="http://schemas.microsoft.com/office/drawing/2014/main" id="{00000000-0008-0000-0000-000019000000}"/>
              </a:ext>
            </a:extLst>
          </xdr:cNvPr>
          <xdr:cNvSpPr txBox="1"/>
        </xdr:nvSpPr>
        <xdr:spPr>
          <a:xfrm>
            <a:off x="371475" y="3048000"/>
            <a:ext cx="1952624"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CA" sz="1800">
                <a:solidFill>
                  <a:schemeClr val="bg1"/>
                </a:solidFill>
                <a:latin typeface="Avenir Next LT Pro" panose="020B0504020202020204" pitchFamily="34" charset="0"/>
              </a:rPr>
              <a:t>Cumulative</a:t>
            </a:r>
            <a:r>
              <a:rPr lang="en-CA" sz="1800" baseline="0">
                <a:solidFill>
                  <a:schemeClr val="bg1"/>
                </a:solidFill>
                <a:latin typeface="Avenir Next LT Pro" panose="020B0504020202020204" pitchFamily="34" charset="0"/>
              </a:rPr>
              <a:t> Sale</a:t>
            </a:r>
            <a:endParaRPr lang="en-CA" sz="1800">
              <a:solidFill>
                <a:schemeClr val="bg1"/>
              </a:solidFill>
              <a:latin typeface="Avenir Next LT Pro" panose="020B0504020202020204" pitchFamily="34" charset="0"/>
            </a:endParaRPr>
          </a:p>
        </xdr:txBody>
      </xdr:sp>
      <xdr:sp macro="" textlink="Pivot_tables!S6">
        <xdr:nvSpPr>
          <xdr:cNvPr id="26" name="TextBox 25">
            <a:extLst>
              <a:ext uri="{FF2B5EF4-FFF2-40B4-BE49-F238E27FC236}">
                <a16:creationId xmlns:a16="http://schemas.microsoft.com/office/drawing/2014/main" id="{00000000-0008-0000-0000-00001A000000}"/>
              </a:ext>
            </a:extLst>
          </xdr:cNvPr>
          <xdr:cNvSpPr txBox="1"/>
        </xdr:nvSpPr>
        <xdr:spPr>
          <a:xfrm>
            <a:off x="2619075" y="3495675"/>
            <a:ext cx="1676400"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fld id="{1ECA40E3-E9AF-4147-A7CE-F8545F6A1D64}" type="TxLink">
              <a:rPr lang="en-US" sz="2400" b="0" i="0" u="none" strike="noStrike">
                <a:solidFill>
                  <a:schemeClr val="bg1"/>
                </a:solidFill>
                <a:latin typeface="Avenir Next LT Pro" panose="020B0504020202020204" pitchFamily="34" charset="0"/>
                <a:cs typeface="Arial"/>
              </a:rPr>
              <a:pPr algn="r"/>
              <a:t>11.43%</a:t>
            </a:fld>
            <a:endParaRPr lang="en-CA" sz="2400">
              <a:solidFill>
                <a:schemeClr val="bg1"/>
              </a:solidFill>
              <a:latin typeface="Avenir Next LT Pro" panose="020B0504020202020204" pitchFamily="34" charset="0"/>
            </a:endParaRPr>
          </a:p>
        </xdr:txBody>
      </xdr:sp>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371475" y="3495675"/>
            <a:ext cx="2000250"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CA" sz="1800">
                <a:solidFill>
                  <a:schemeClr val="bg1"/>
                </a:solidFill>
                <a:latin typeface="Avenir Next LT Pro" panose="020B0504020202020204" pitchFamily="34" charset="0"/>
              </a:rPr>
              <a:t>Net Profit </a:t>
            </a:r>
          </a:p>
        </xdr:txBody>
      </xdr:sp>
    </xdr:grpSp>
    <xdr:clientData/>
  </xdr:twoCellAnchor>
  <xdr:twoCellAnchor>
    <xdr:from>
      <xdr:col>0</xdr:col>
      <xdr:colOff>608324</xdr:colOff>
      <xdr:row>5</xdr:row>
      <xdr:rowOff>133350</xdr:rowOff>
    </xdr:from>
    <xdr:to>
      <xdr:col>7</xdr:col>
      <xdr:colOff>466724</xdr:colOff>
      <xdr:row>55</xdr:row>
      <xdr:rowOff>152401</xdr:rowOff>
    </xdr:to>
    <xdr:grpSp>
      <xdr:nvGrpSpPr>
        <xdr:cNvPr id="11" name="Group 10">
          <a:extLst>
            <a:ext uri="{FF2B5EF4-FFF2-40B4-BE49-F238E27FC236}">
              <a16:creationId xmlns:a16="http://schemas.microsoft.com/office/drawing/2014/main" id="{00000000-0008-0000-0000-00000B000000}"/>
            </a:ext>
          </a:extLst>
        </xdr:cNvPr>
        <xdr:cNvGrpSpPr/>
      </xdr:nvGrpSpPr>
      <xdr:grpSpPr>
        <a:xfrm>
          <a:off x="608324" y="942975"/>
          <a:ext cx="4125600" cy="8115301"/>
          <a:chOff x="608324" y="942975"/>
          <a:chExt cx="4125600" cy="8115301"/>
        </a:xfrm>
      </xdr:grpSpPr>
      <xdr:sp macro="" textlink="">
        <xdr:nvSpPr>
          <xdr:cNvPr id="5" name="Rectangle: Rounded Corners 40">
            <a:extLst>
              <a:ext uri="{FF2B5EF4-FFF2-40B4-BE49-F238E27FC236}">
                <a16:creationId xmlns:a16="http://schemas.microsoft.com/office/drawing/2014/main" id="{00000000-0008-0000-0000-000005000000}"/>
              </a:ext>
            </a:extLst>
          </xdr:cNvPr>
          <xdr:cNvSpPr/>
        </xdr:nvSpPr>
        <xdr:spPr>
          <a:xfrm>
            <a:off x="608324" y="1724026"/>
            <a:ext cx="4125600" cy="7334250"/>
          </a:xfrm>
          <a:prstGeom prst="roundRect">
            <a:avLst>
              <a:gd name="adj" fmla="val 7438"/>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lvl="0" algn="ctr"/>
            <a:endParaRPr lang="en-US" sz="1400">
              <a:solidFill>
                <a:schemeClr val="bg1"/>
              </a:solidFill>
            </a:endParaRPr>
          </a:p>
        </xdr:txBody>
      </xdr:sp>
      <xdr:grpSp>
        <xdr:nvGrpSpPr>
          <xdr:cNvPr id="31" name="Group 30">
            <a:extLst>
              <a:ext uri="{FF2B5EF4-FFF2-40B4-BE49-F238E27FC236}">
                <a16:creationId xmlns:a16="http://schemas.microsoft.com/office/drawing/2014/main" id="{00000000-0008-0000-0000-00001F000000}"/>
              </a:ext>
            </a:extLst>
          </xdr:cNvPr>
          <xdr:cNvGrpSpPr/>
        </xdr:nvGrpSpPr>
        <xdr:grpSpPr>
          <a:xfrm>
            <a:off x="609599" y="942975"/>
            <a:ext cx="4124325" cy="2428875"/>
            <a:chOff x="609599" y="942975"/>
            <a:chExt cx="4124325" cy="2428875"/>
          </a:xfrm>
          <a:effectLst>
            <a:outerShdw blurRad="50800" dist="38100" dir="2700000" algn="tl" rotWithShape="0">
              <a:prstClr val="black">
                <a:alpha val="40000"/>
              </a:prstClr>
            </a:outerShdw>
          </a:effectLst>
        </xdr:grpSpPr>
        <xdr:graphicFrame macro="">
          <xdr:nvGraphicFramePr>
            <xdr:cNvPr id="35" name="Chart 34">
              <a:extLst>
                <a:ext uri="{FF2B5EF4-FFF2-40B4-BE49-F238E27FC236}">
                  <a16:creationId xmlns:a16="http://schemas.microsoft.com/office/drawing/2014/main" id="{00000000-0008-0000-0000-000023000000}"/>
                </a:ext>
              </a:extLst>
            </xdr:cNvPr>
            <xdr:cNvGraphicFramePr>
              <a:graphicFrameLocks/>
            </xdr:cNvGraphicFramePr>
          </xdr:nvGraphicFramePr>
          <xdr:xfrm>
            <a:off x="781050" y="942975"/>
            <a:ext cx="3743325" cy="933450"/>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4" name="Rectangle: Rounded Corners 3">
              <a:extLst>
                <a:ext uri="{FF2B5EF4-FFF2-40B4-BE49-F238E27FC236}">
                  <a16:creationId xmlns:a16="http://schemas.microsoft.com/office/drawing/2014/main" id="{00000000-0008-0000-0000-000004000000}"/>
                </a:ext>
              </a:extLst>
            </xdr:cNvPr>
            <xdr:cNvSpPr/>
          </xdr:nvSpPr>
          <xdr:spPr>
            <a:xfrm>
              <a:off x="609599" y="1714500"/>
              <a:ext cx="4124325" cy="1657350"/>
            </a:xfrm>
            <a:prstGeom prst="roundRect">
              <a:avLst/>
            </a:prstGeom>
            <a:solidFill>
              <a:srgbClr val="070E2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latin typeface="Avenir Next LT Pro" panose="020B0504020202020204" pitchFamily="34" charset="0"/>
              </a:endParaRPr>
            </a:p>
          </xdr:txBody>
        </xdr:sp>
      </xdr:grpSp>
    </xdr:grpSp>
    <xdr:clientData/>
  </xdr:twoCellAnchor>
  <xdr:twoCellAnchor>
    <xdr:from>
      <xdr:col>1</xdr:col>
      <xdr:colOff>85725</xdr:colOff>
      <xdr:row>15</xdr:row>
      <xdr:rowOff>114300</xdr:rowOff>
    </xdr:from>
    <xdr:to>
      <xdr:col>7</xdr:col>
      <xdr:colOff>352125</xdr:colOff>
      <xdr:row>20</xdr:row>
      <xdr:rowOff>19050</xdr:rowOff>
    </xdr:to>
    <mc:AlternateContent xmlns:mc="http://schemas.openxmlformats.org/markup-compatibility/2006" xmlns:a14="http://schemas.microsoft.com/office/drawing/2010/main">
      <mc:Choice Requires="a14">
        <xdr:graphicFrame macro="">
          <xdr:nvGraphicFramePr>
            <xdr:cNvPr id="23" name="Product Category">
              <a:extLst>
                <a:ext uri="{FF2B5EF4-FFF2-40B4-BE49-F238E27FC236}">
                  <a16:creationId xmlns:a16="http://schemas.microsoft.com/office/drawing/2014/main" id="{00000000-0008-0000-0000-000017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695325" y="2543175"/>
              <a:ext cx="3924000" cy="71437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xdr:col>
      <xdr:colOff>85725</xdr:colOff>
      <xdr:row>11</xdr:row>
      <xdr:rowOff>38100</xdr:rowOff>
    </xdr:from>
    <xdr:to>
      <xdr:col>7</xdr:col>
      <xdr:colOff>352125</xdr:colOff>
      <xdr:row>15</xdr:row>
      <xdr:rowOff>103200</xdr:rowOff>
    </xdr:to>
    <mc:AlternateContent xmlns:mc="http://schemas.openxmlformats.org/markup-compatibility/2006" xmlns:a14="http://schemas.microsoft.com/office/drawing/2010/main">
      <mc:Choice Requires="a14">
        <xdr:graphicFrame macro="">
          <xdr:nvGraphicFramePr>
            <xdr:cNvPr id="71" name="Order Date (Month)">
              <a:extLst>
                <a:ext uri="{FF2B5EF4-FFF2-40B4-BE49-F238E27FC236}">
                  <a16:creationId xmlns:a16="http://schemas.microsoft.com/office/drawing/2014/main" id="{00000000-0008-0000-0000-000047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Order Date (Month)"/>
            </a:graphicData>
          </a:graphic>
        </xdr:graphicFrame>
      </mc:Choice>
      <mc:Fallback xmlns="">
        <xdr:sp macro="" textlink="">
          <xdr:nvSpPr>
            <xdr:cNvPr id="0" name=""/>
            <xdr:cNvSpPr>
              <a:spLocks noTextEdit="1"/>
            </xdr:cNvSpPr>
          </xdr:nvSpPr>
          <xdr:spPr>
            <a:xfrm>
              <a:off x="695325" y="1819275"/>
              <a:ext cx="3924000" cy="7128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mc:AlternateContent xmlns:mc="http://schemas.openxmlformats.org/markup-compatibility/2006">
    <mc:Choice xmlns:a14="http://schemas.microsoft.com/office/drawing/2010/main" Requires="a14">
      <xdr:twoCellAnchor editAs="oneCell">
        <xdr:from>
          <xdr:col>8</xdr:col>
          <xdr:colOff>295275</xdr:colOff>
          <xdr:row>3</xdr:row>
          <xdr:rowOff>47625</xdr:rowOff>
        </xdr:from>
        <xdr:to>
          <xdr:col>26</xdr:col>
          <xdr:colOff>133350</xdr:colOff>
          <xdr:row>56</xdr:row>
          <xdr:rowOff>19050</xdr:rowOff>
        </xdr:to>
        <xdr:sp macro="" textlink="">
          <xdr:nvSpPr>
            <xdr:cNvPr id="1059" name="Hide"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523875</xdr:colOff>
          <xdr:row>10</xdr:row>
          <xdr:rowOff>85725</xdr:rowOff>
        </xdr:from>
        <xdr:to>
          <xdr:col>19</xdr:col>
          <xdr:colOff>533400</xdr:colOff>
          <xdr:row>18</xdr:row>
          <xdr:rowOff>19050</xdr:rowOff>
        </xdr:to>
        <xdr:sp macro="" textlink="">
          <xdr:nvSpPr>
            <xdr:cNvPr id="1033" name="OfficeMachines"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114300</xdr:colOff>
          <xdr:row>17</xdr:row>
          <xdr:rowOff>114300</xdr:rowOff>
        </xdr:from>
        <xdr:to>
          <xdr:col>21</xdr:col>
          <xdr:colOff>142875</xdr:colOff>
          <xdr:row>22</xdr:row>
          <xdr:rowOff>28575</xdr:rowOff>
        </xdr:to>
        <xdr:sp macro="" textlink="">
          <xdr:nvSpPr>
            <xdr:cNvPr id="1064" name="OfficeFurnishings"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400050</xdr:colOff>
          <xdr:row>18</xdr:row>
          <xdr:rowOff>114300</xdr:rowOff>
        </xdr:from>
        <xdr:to>
          <xdr:col>24</xdr:col>
          <xdr:colOff>142875</xdr:colOff>
          <xdr:row>24</xdr:row>
          <xdr:rowOff>104775</xdr:rowOff>
        </xdr:to>
        <xdr:sp macro="" textlink="">
          <xdr:nvSpPr>
            <xdr:cNvPr id="1068" name="TelephonesAndCommunication"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85725</xdr:colOff>
          <xdr:row>15</xdr:row>
          <xdr:rowOff>9525</xdr:rowOff>
        </xdr:from>
        <xdr:to>
          <xdr:col>17</xdr:col>
          <xdr:colOff>47625</xdr:colOff>
          <xdr:row>19</xdr:row>
          <xdr:rowOff>123825</xdr:rowOff>
        </xdr:to>
        <xdr:sp macro="" textlink="">
          <xdr:nvSpPr>
            <xdr:cNvPr id="1076" name="Paper"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542925</xdr:colOff>
          <xdr:row>19</xdr:row>
          <xdr:rowOff>85725</xdr:rowOff>
        </xdr:from>
        <xdr:to>
          <xdr:col>15</xdr:col>
          <xdr:colOff>333375</xdr:colOff>
          <xdr:row>23</xdr:row>
          <xdr:rowOff>19050</xdr:rowOff>
        </xdr:to>
        <xdr:sp macro="" textlink="">
          <xdr:nvSpPr>
            <xdr:cNvPr id="1077" name="PensAndArtSupplies"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16</xdr:row>
          <xdr:rowOff>133350</xdr:rowOff>
        </xdr:from>
        <xdr:to>
          <xdr:col>13</xdr:col>
          <xdr:colOff>390525</xdr:colOff>
          <xdr:row>19</xdr:row>
          <xdr:rowOff>19050</xdr:rowOff>
        </xdr:to>
        <xdr:sp macro="" textlink="">
          <xdr:nvSpPr>
            <xdr:cNvPr id="1078" name="RubberBands"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142875</xdr:colOff>
          <xdr:row>21</xdr:row>
          <xdr:rowOff>152400</xdr:rowOff>
        </xdr:from>
        <xdr:to>
          <xdr:col>12</xdr:col>
          <xdr:colOff>438150</xdr:colOff>
          <xdr:row>24</xdr:row>
          <xdr:rowOff>95250</xdr:rowOff>
        </xdr:to>
        <xdr:sp macro="" textlink="">
          <xdr:nvSpPr>
            <xdr:cNvPr id="1079" name="ScissorsRulersandTrimmers"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257175</xdr:colOff>
          <xdr:row>24</xdr:row>
          <xdr:rowOff>114300</xdr:rowOff>
        </xdr:from>
        <xdr:to>
          <xdr:col>21</xdr:col>
          <xdr:colOff>9525</xdr:colOff>
          <xdr:row>28</xdr:row>
          <xdr:rowOff>57150</xdr:rowOff>
        </xdr:to>
        <xdr:sp macro="" textlink="">
          <xdr:nvSpPr>
            <xdr:cNvPr id="1080" name="LabelsProduct"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438150</xdr:colOff>
          <xdr:row>31</xdr:row>
          <xdr:rowOff>0</xdr:rowOff>
        </xdr:from>
        <xdr:to>
          <xdr:col>23</xdr:col>
          <xdr:colOff>180975</xdr:colOff>
          <xdr:row>34</xdr:row>
          <xdr:rowOff>95250</xdr:rowOff>
        </xdr:to>
        <xdr:sp macro="" textlink="">
          <xdr:nvSpPr>
            <xdr:cNvPr id="1081" name="Envelopes"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476250</xdr:colOff>
          <xdr:row>25</xdr:row>
          <xdr:rowOff>142875</xdr:rowOff>
        </xdr:from>
        <xdr:to>
          <xdr:col>12</xdr:col>
          <xdr:colOff>190500</xdr:colOff>
          <xdr:row>31</xdr:row>
          <xdr:rowOff>133350</xdr:rowOff>
        </xdr:to>
        <xdr:sp macro="" textlink="">
          <xdr:nvSpPr>
            <xdr:cNvPr id="1082" name="StorageandOrganization"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32</xdr:row>
          <xdr:rowOff>0</xdr:rowOff>
        </xdr:from>
        <xdr:to>
          <xdr:col>13</xdr:col>
          <xdr:colOff>476250</xdr:colOff>
          <xdr:row>38</xdr:row>
          <xdr:rowOff>9525</xdr:rowOff>
        </xdr:to>
        <xdr:sp macro="" textlink="">
          <xdr:nvSpPr>
            <xdr:cNvPr id="1083" name="Tables"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123825</xdr:colOff>
          <xdr:row>36</xdr:row>
          <xdr:rowOff>95250</xdr:rowOff>
        </xdr:from>
        <xdr:to>
          <xdr:col>21</xdr:col>
          <xdr:colOff>200025</xdr:colOff>
          <xdr:row>42</xdr:row>
          <xdr:rowOff>85725</xdr:rowOff>
        </xdr:to>
        <xdr:sp macro="" textlink="">
          <xdr:nvSpPr>
            <xdr:cNvPr id="1084" name="CopiersandFax"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457200</xdr:colOff>
          <xdr:row>45</xdr:row>
          <xdr:rowOff>47625</xdr:rowOff>
        </xdr:from>
        <xdr:to>
          <xdr:col>20</xdr:col>
          <xdr:colOff>533400</xdr:colOff>
          <xdr:row>49</xdr:row>
          <xdr:rowOff>133350</xdr:rowOff>
        </xdr:to>
        <xdr:sp macro="" textlink="">
          <xdr:nvSpPr>
            <xdr:cNvPr id="1085" name="ComputerPeripherals"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381000</xdr:colOff>
          <xdr:row>42</xdr:row>
          <xdr:rowOff>38100</xdr:rowOff>
        </xdr:from>
        <xdr:to>
          <xdr:col>18</xdr:col>
          <xdr:colOff>247650</xdr:colOff>
          <xdr:row>49</xdr:row>
          <xdr:rowOff>19050</xdr:rowOff>
        </xdr:to>
        <xdr:sp macro="" textlink="">
          <xdr:nvSpPr>
            <xdr:cNvPr id="1086" name="ChairsandChairmats"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342900</xdr:colOff>
          <xdr:row>42</xdr:row>
          <xdr:rowOff>104775</xdr:rowOff>
        </xdr:from>
        <xdr:to>
          <xdr:col>15</xdr:col>
          <xdr:colOff>66675</xdr:colOff>
          <xdr:row>48</xdr:row>
          <xdr:rowOff>66675</xdr:rowOff>
        </xdr:to>
        <xdr:sp macro="" textlink="">
          <xdr:nvSpPr>
            <xdr:cNvPr id="1087" name="BindersandBinderAccessories"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44</xdr:row>
          <xdr:rowOff>0</xdr:rowOff>
        </xdr:from>
        <xdr:to>
          <xdr:col>12</xdr:col>
          <xdr:colOff>104775</xdr:colOff>
          <xdr:row>47</xdr:row>
          <xdr:rowOff>114300</xdr:rowOff>
        </xdr:to>
        <xdr:sp macro="" textlink="">
          <xdr:nvSpPr>
            <xdr:cNvPr id="1088" name="Appliances"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238125</xdr:colOff>
          <xdr:row>48</xdr:row>
          <xdr:rowOff>123825</xdr:rowOff>
        </xdr:from>
        <xdr:to>
          <xdr:col>13</xdr:col>
          <xdr:colOff>342900</xdr:colOff>
          <xdr:row>53</xdr:row>
          <xdr:rowOff>0</xdr:rowOff>
        </xdr:to>
        <xdr:sp macro="" textlink="">
          <xdr:nvSpPr>
            <xdr:cNvPr id="1089" name="Bookcases"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533400</xdr:colOff>
          <xdr:row>10</xdr:row>
          <xdr:rowOff>57150</xdr:rowOff>
        </xdr:from>
        <xdr:to>
          <xdr:col>19</xdr:col>
          <xdr:colOff>590550</xdr:colOff>
          <xdr:row>18</xdr:row>
          <xdr:rowOff>19050</xdr:rowOff>
        </xdr:to>
        <xdr:sp macro="" textlink="">
          <xdr:nvSpPr>
            <xdr:cNvPr id="1291" name="OfficeMachine" hidden="1">
              <a:extLst>
                <a:ext uri="{63B3BB69-23CF-44E3-9099-C40C66FF867C}">
                  <a14:compatExt spid="_x0000_s1291"/>
                </a:ext>
                <a:ext uri="{FF2B5EF4-FFF2-40B4-BE49-F238E27FC236}">
                  <a16:creationId xmlns:a16="http://schemas.microsoft.com/office/drawing/2014/main" id="{00000000-0008-0000-0000-00000B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133350</xdr:colOff>
          <xdr:row>17</xdr:row>
          <xdr:rowOff>152400</xdr:rowOff>
        </xdr:from>
        <xdr:to>
          <xdr:col>21</xdr:col>
          <xdr:colOff>238125</xdr:colOff>
          <xdr:row>22</xdr:row>
          <xdr:rowOff>9525</xdr:rowOff>
        </xdr:to>
        <xdr:sp macro="" textlink="">
          <xdr:nvSpPr>
            <xdr:cNvPr id="1292" name="OfficeFurn" hidden="1">
              <a:extLst>
                <a:ext uri="{63B3BB69-23CF-44E3-9099-C40C66FF867C}">
                  <a14:compatExt spid="_x0000_s1292"/>
                </a:ext>
                <a:ext uri="{FF2B5EF4-FFF2-40B4-BE49-F238E27FC236}">
                  <a16:creationId xmlns:a16="http://schemas.microsoft.com/office/drawing/2014/main" id="{00000000-0008-0000-0000-00000C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466725</xdr:colOff>
          <xdr:row>18</xdr:row>
          <xdr:rowOff>114300</xdr:rowOff>
        </xdr:from>
        <xdr:to>
          <xdr:col>24</xdr:col>
          <xdr:colOff>161925</xdr:colOff>
          <xdr:row>24</xdr:row>
          <xdr:rowOff>123825</xdr:rowOff>
        </xdr:to>
        <xdr:sp macro="" textlink="">
          <xdr:nvSpPr>
            <xdr:cNvPr id="1293" name="Telephones" hidden="1">
              <a:extLst>
                <a:ext uri="{63B3BB69-23CF-44E3-9099-C40C66FF867C}">
                  <a14:compatExt spid="_x0000_s1293"/>
                </a:ext>
                <a:ext uri="{FF2B5EF4-FFF2-40B4-BE49-F238E27FC236}">
                  <a16:creationId xmlns:a16="http://schemas.microsoft.com/office/drawing/2014/main" id="{00000000-0008-0000-0000-00000D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123825</xdr:colOff>
          <xdr:row>16</xdr:row>
          <xdr:rowOff>66675</xdr:rowOff>
        </xdr:from>
        <xdr:to>
          <xdr:col>17</xdr:col>
          <xdr:colOff>47625</xdr:colOff>
          <xdr:row>19</xdr:row>
          <xdr:rowOff>104775</xdr:rowOff>
        </xdr:to>
        <xdr:sp macro="" textlink="">
          <xdr:nvSpPr>
            <xdr:cNvPr id="1294" name="Papers" hidden="1">
              <a:extLst>
                <a:ext uri="{63B3BB69-23CF-44E3-9099-C40C66FF867C}">
                  <a14:compatExt spid="_x0000_s1294"/>
                </a:ext>
                <a:ext uri="{FF2B5EF4-FFF2-40B4-BE49-F238E27FC236}">
                  <a16:creationId xmlns:a16="http://schemas.microsoft.com/office/drawing/2014/main" id="{00000000-0008-0000-0000-00000E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523875</xdr:colOff>
          <xdr:row>20</xdr:row>
          <xdr:rowOff>85725</xdr:rowOff>
        </xdr:from>
        <xdr:to>
          <xdr:col>15</xdr:col>
          <xdr:colOff>400050</xdr:colOff>
          <xdr:row>22</xdr:row>
          <xdr:rowOff>152400</xdr:rowOff>
        </xdr:to>
        <xdr:sp macro="" textlink="">
          <xdr:nvSpPr>
            <xdr:cNvPr id="1295" name="Pens" hidden="1">
              <a:extLst>
                <a:ext uri="{63B3BB69-23CF-44E3-9099-C40C66FF867C}">
                  <a14:compatExt spid="_x0000_s1295"/>
                </a:ext>
                <a:ext uri="{FF2B5EF4-FFF2-40B4-BE49-F238E27FC236}">
                  <a16:creationId xmlns:a16="http://schemas.microsoft.com/office/drawing/2014/main" id="{00000000-0008-0000-0000-00000F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133350</xdr:colOff>
          <xdr:row>17</xdr:row>
          <xdr:rowOff>9525</xdr:rowOff>
        </xdr:from>
        <xdr:to>
          <xdr:col>13</xdr:col>
          <xdr:colOff>381000</xdr:colOff>
          <xdr:row>18</xdr:row>
          <xdr:rowOff>152400</xdr:rowOff>
        </xdr:to>
        <xdr:sp macro="" textlink="">
          <xdr:nvSpPr>
            <xdr:cNvPr id="1296" name="RubberBand" hidden="1">
              <a:extLst>
                <a:ext uri="{63B3BB69-23CF-44E3-9099-C40C66FF867C}">
                  <a14:compatExt spid="_x0000_s1296"/>
                </a:ext>
                <a:ext uri="{FF2B5EF4-FFF2-40B4-BE49-F238E27FC236}">
                  <a16:creationId xmlns:a16="http://schemas.microsoft.com/office/drawing/2014/main" id="{00000000-0008-0000-0000-000010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22</xdr:row>
          <xdr:rowOff>95250</xdr:rowOff>
        </xdr:from>
        <xdr:to>
          <xdr:col>12</xdr:col>
          <xdr:colOff>466725</xdr:colOff>
          <xdr:row>24</xdr:row>
          <xdr:rowOff>76200</xdr:rowOff>
        </xdr:to>
        <xdr:sp macro="" textlink="">
          <xdr:nvSpPr>
            <xdr:cNvPr id="1297" name="Scissors" hidden="1">
              <a:extLst>
                <a:ext uri="{63B3BB69-23CF-44E3-9099-C40C66FF867C}">
                  <a14:compatExt spid="_x0000_s1297"/>
                </a:ext>
                <a:ext uri="{FF2B5EF4-FFF2-40B4-BE49-F238E27FC236}">
                  <a16:creationId xmlns:a16="http://schemas.microsoft.com/office/drawing/2014/main" id="{00000000-0008-0000-0000-000011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314325</xdr:colOff>
          <xdr:row>26</xdr:row>
          <xdr:rowOff>85725</xdr:rowOff>
        </xdr:from>
        <xdr:to>
          <xdr:col>21</xdr:col>
          <xdr:colOff>9525</xdr:colOff>
          <xdr:row>28</xdr:row>
          <xdr:rowOff>28575</xdr:rowOff>
        </xdr:to>
        <xdr:sp macro="" textlink="">
          <xdr:nvSpPr>
            <xdr:cNvPr id="1298" name="LabelsProducts" hidden="1">
              <a:extLst>
                <a:ext uri="{63B3BB69-23CF-44E3-9099-C40C66FF867C}">
                  <a14:compatExt spid="_x0000_s1298"/>
                </a:ext>
                <a:ext uri="{FF2B5EF4-FFF2-40B4-BE49-F238E27FC236}">
                  <a16:creationId xmlns:a16="http://schemas.microsoft.com/office/drawing/2014/main" id="{00000000-0008-0000-0000-000012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419100</xdr:colOff>
          <xdr:row>31</xdr:row>
          <xdr:rowOff>95250</xdr:rowOff>
        </xdr:from>
        <xdr:to>
          <xdr:col>23</xdr:col>
          <xdr:colOff>276225</xdr:colOff>
          <xdr:row>34</xdr:row>
          <xdr:rowOff>66675</xdr:rowOff>
        </xdr:to>
        <xdr:sp macro="" textlink="">
          <xdr:nvSpPr>
            <xdr:cNvPr id="1299" name="Envelope" hidden="1">
              <a:extLst>
                <a:ext uri="{63B3BB69-23CF-44E3-9099-C40C66FF867C}">
                  <a14:compatExt spid="_x0000_s1299"/>
                </a:ext>
                <a:ext uri="{FF2B5EF4-FFF2-40B4-BE49-F238E27FC236}">
                  <a16:creationId xmlns:a16="http://schemas.microsoft.com/office/drawing/2014/main" id="{00000000-0008-0000-0000-000013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523875</xdr:colOff>
          <xdr:row>26</xdr:row>
          <xdr:rowOff>66675</xdr:rowOff>
        </xdr:from>
        <xdr:to>
          <xdr:col>12</xdr:col>
          <xdr:colOff>209550</xdr:colOff>
          <xdr:row>31</xdr:row>
          <xdr:rowOff>114300</xdr:rowOff>
        </xdr:to>
        <xdr:sp macro="" textlink="">
          <xdr:nvSpPr>
            <xdr:cNvPr id="1300" name="Storage" hidden="1">
              <a:extLst>
                <a:ext uri="{63B3BB69-23CF-44E3-9099-C40C66FF867C}">
                  <a14:compatExt spid="_x0000_s1300"/>
                </a:ext>
                <a:ext uri="{FF2B5EF4-FFF2-40B4-BE49-F238E27FC236}">
                  <a16:creationId xmlns:a16="http://schemas.microsoft.com/office/drawing/2014/main" id="{00000000-0008-0000-0000-000014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104775</xdr:colOff>
          <xdr:row>38</xdr:row>
          <xdr:rowOff>19050</xdr:rowOff>
        </xdr:from>
        <xdr:to>
          <xdr:col>21</xdr:col>
          <xdr:colOff>209550</xdr:colOff>
          <xdr:row>42</xdr:row>
          <xdr:rowOff>66675</xdr:rowOff>
        </xdr:to>
        <xdr:sp macro="" textlink="">
          <xdr:nvSpPr>
            <xdr:cNvPr id="1301" name="Copiers" hidden="1">
              <a:extLst>
                <a:ext uri="{63B3BB69-23CF-44E3-9099-C40C66FF867C}">
                  <a14:compatExt spid="_x0000_s1301"/>
                </a:ext>
                <a:ext uri="{FF2B5EF4-FFF2-40B4-BE49-F238E27FC236}">
                  <a16:creationId xmlns:a16="http://schemas.microsoft.com/office/drawing/2014/main" id="{00000000-0008-0000-0000-000015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438150</xdr:colOff>
          <xdr:row>45</xdr:row>
          <xdr:rowOff>104775</xdr:rowOff>
        </xdr:from>
        <xdr:to>
          <xdr:col>20</xdr:col>
          <xdr:colOff>542925</xdr:colOff>
          <xdr:row>49</xdr:row>
          <xdr:rowOff>114300</xdr:rowOff>
        </xdr:to>
        <xdr:sp macro="" textlink="">
          <xdr:nvSpPr>
            <xdr:cNvPr id="1302" name="Computer" hidden="1">
              <a:extLst>
                <a:ext uri="{63B3BB69-23CF-44E3-9099-C40C66FF867C}">
                  <a14:compatExt spid="_x0000_s1302"/>
                </a:ext>
                <a:ext uri="{FF2B5EF4-FFF2-40B4-BE49-F238E27FC236}">
                  <a16:creationId xmlns:a16="http://schemas.microsoft.com/office/drawing/2014/main" id="{00000000-0008-0000-0000-000016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419100</xdr:colOff>
          <xdr:row>42</xdr:row>
          <xdr:rowOff>114300</xdr:rowOff>
        </xdr:from>
        <xdr:to>
          <xdr:col>18</xdr:col>
          <xdr:colOff>276225</xdr:colOff>
          <xdr:row>49</xdr:row>
          <xdr:rowOff>0</xdr:rowOff>
        </xdr:to>
        <xdr:sp macro="" textlink="">
          <xdr:nvSpPr>
            <xdr:cNvPr id="1303" name="Chairs" hidden="1">
              <a:extLst>
                <a:ext uri="{63B3BB69-23CF-44E3-9099-C40C66FF867C}">
                  <a14:compatExt spid="_x0000_s1303"/>
                </a:ext>
                <a:ext uri="{FF2B5EF4-FFF2-40B4-BE49-F238E27FC236}">
                  <a16:creationId xmlns:a16="http://schemas.microsoft.com/office/drawing/2014/main" id="{00000000-0008-0000-0000-000017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381000</xdr:colOff>
          <xdr:row>43</xdr:row>
          <xdr:rowOff>0</xdr:rowOff>
        </xdr:from>
        <xdr:to>
          <xdr:col>15</xdr:col>
          <xdr:colOff>85725</xdr:colOff>
          <xdr:row>48</xdr:row>
          <xdr:rowOff>104775</xdr:rowOff>
        </xdr:to>
        <xdr:sp macro="" textlink="">
          <xdr:nvSpPr>
            <xdr:cNvPr id="1304" name="Binders" hidden="1">
              <a:extLst>
                <a:ext uri="{63B3BB69-23CF-44E3-9099-C40C66FF867C}">
                  <a14:compatExt spid="_x0000_s1304"/>
                </a:ext>
                <a:ext uri="{FF2B5EF4-FFF2-40B4-BE49-F238E27FC236}">
                  <a16:creationId xmlns:a16="http://schemas.microsoft.com/office/drawing/2014/main" id="{00000000-0008-0000-0000-000018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0</xdr:colOff>
      <xdr:row>0</xdr:row>
      <xdr:rowOff>0</xdr:rowOff>
    </xdr:from>
    <xdr:to>
      <xdr:col>37</xdr:col>
      <xdr:colOff>361950</xdr:colOff>
      <xdr:row>3</xdr:row>
      <xdr:rowOff>95250</xdr:rowOff>
    </xdr:to>
    <xdr:grpSp>
      <xdr:nvGrpSpPr>
        <xdr:cNvPr id="10" name="Group 9">
          <a:extLst>
            <a:ext uri="{FF2B5EF4-FFF2-40B4-BE49-F238E27FC236}">
              <a16:creationId xmlns:a16="http://schemas.microsoft.com/office/drawing/2014/main" id="{00000000-0008-0000-0000-00000A000000}"/>
            </a:ext>
          </a:extLst>
        </xdr:cNvPr>
        <xdr:cNvGrpSpPr/>
      </xdr:nvGrpSpPr>
      <xdr:grpSpPr>
        <a:xfrm>
          <a:off x="0" y="0"/>
          <a:ext cx="22917150" cy="581025"/>
          <a:chOff x="0" y="0"/>
          <a:chExt cx="22917150" cy="581025"/>
        </a:xfrm>
      </xdr:grpSpPr>
      <xdr:grpSp>
        <xdr:nvGrpSpPr>
          <xdr:cNvPr id="17" name="Group 16">
            <a:extLst>
              <a:ext uri="{FF2B5EF4-FFF2-40B4-BE49-F238E27FC236}">
                <a16:creationId xmlns:a16="http://schemas.microsoft.com/office/drawing/2014/main" id="{00000000-0008-0000-0000-000011000000}"/>
              </a:ext>
            </a:extLst>
          </xdr:cNvPr>
          <xdr:cNvGrpSpPr/>
        </xdr:nvGrpSpPr>
        <xdr:grpSpPr>
          <a:xfrm>
            <a:off x="0" y="0"/>
            <a:ext cx="22917150" cy="581025"/>
            <a:chOff x="0" y="0"/>
            <a:chExt cx="22917150" cy="581025"/>
          </a:xfrm>
        </xdr:grpSpPr>
        <xdr:sp macro="" textlink="">
          <xdr:nvSpPr>
            <xdr:cNvPr id="22" name="Rectangle 21">
              <a:extLst>
                <a:ext uri="{FF2B5EF4-FFF2-40B4-BE49-F238E27FC236}">
                  <a16:creationId xmlns:a16="http://schemas.microsoft.com/office/drawing/2014/main" id="{00000000-0008-0000-0000-000016000000}"/>
                </a:ext>
              </a:extLst>
            </xdr:cNvPr>
            <xdr:cNvSpPr/>
          </xdr:nvSpPr>
          <xdr:spPr>
            <a:xfrm>
              <a:off x="0" y="0"/>
              <a:ext cx="22917150" cy="457200"/>
            </a:xfrm>
            <a:prstGeom prst="rect">
              <a:avLst/>
            </a:prstGeom>
            <a:solidFill>
              <a:srgbClr val="1D1D3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pic>
          <xdr:nvPicPr>
            <xdr:cNvPr id="61" name="Picture 60" descr="Superstore - NBC.com">
              <a:extLst>
                <a:ext uri="{FF2B5EF4-FFF2-40B4-BE49-F238E27FC236}">
                  <a16:creationId xmlns:a16="http://schemas.microsoft.com/office/drawing/2014/main" id="{00000000-0008-0000-0000-00003D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38126" y="142875"/>
              <a:ext cx="1314450" cy="438150"/>
            </a:xfrm>
            <a:prstGeom prst="rect">
              <a:avLst/>
            </a:prstGeom>
            <a:noFill/>
            <a:effectLst>
              <a:outerShdw blurRad="50800" dist="38100" dir="2700000" algn="tl" rotWithShape="0">
                <a:schemeClr val="tx1">
                  <a:alpha val="40000"/>
                </a:schemeClr>
              </a:outerShdw>
            </a:effectLst>
            <a:extLst>
              <a:ext uri="{909E8E84-426E-40DD-AFC4-6F175D3DCCD1}">
                <a14:hiddenFill xmlns:a14="http://schemas.microsoft.com/office/drawing/2010/main">
                  <a:solidFill>
                    <a:srgbClr val="FFFFFF"/>
                  </a:solidFill>
                </a14:hiddenFill>
              </a:ext>
            </a:extLst>
          </xdr:spPr>
        </xdr:pic>
        <xdr:sp macro="" textlink="">
          <xdr:nvSpPr>
            <xdr:cNvPr id="65" name="TextBox 64">
              <a:hlinkClick xmlns:r="http://schemas.openxmlformats.org/officeDocument/2006/relationships" r:id="rId8" tooltip="Distribution"/>
              <a:extLst>
                <a:ext uri="{FF2B5EF4-FFF2-40B4-BE49-F238E27FC236}">
                  <a16:creationId xmlns:a16="http://schemas.microsoft.com/office/drawing/2014/main" id="{00000000-0008-0000-0000-000041000000}"/>
                </a:ext>
              </a:extLst>
            </xdr:cNvPr>
            <xdr:cNvSpPr txBox="1"/>
          </xdr:nvSpPr>
          <xdr:spPr>
            <a:xfrm>
              <a:off x="12355214" y="73558"/>
              <a:ext cx="1222374"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Distribution</a:t>
              </a:r>
            </a:p>
          </xdr:txBody>
        </xdr:sp>
        <xdr:sp macro="" textlink="">
          <xdr:nvSpPr>
            <xdr:cNvPr id="68" name="TextBox 67">
              <a:hlinkClick xmlns:r="http://schemas.openxmlformats.org/officeDocument/2006/relationships" r:id="rId9" tooltip="Sales &amp; Profit"/>
              <a:extLst>
                <a:ext uri="{FF2B5EF4-FFF2-40B4-BE49-F238E27FC236}">
                  <a16:creationId xmlns:a16="http://schemas.microsoft.com/office/drawing/2014/main" id="{00000000-0008-0000-0000-000044000000}"/>
                </a:ext>
              </a:extLst>
            </xdr:cNvPr>
            <xdr:cNvSpPr txBox="1"/>
          </xdr:nvSpPr>
          <xdr:spPr>
            <a:xfrm>
              <a:off x="10029825" y="73558"/>
              <a:ext cx="1266824"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Sales &amp;</a:t>
              </a:r>
              <a:r>
                <a:rPr lang="en-CA" sz="1400" baseline="0">
                  <a:solidFill>
                    <a:schemeClr val="bg1"/>
                  </a:solidFill>
                  <a:latin typeface="Avenir Next LT Pro" panose="020B0504020202020204" pitchFamily="34" charset="0"/>
                </a:rPr>
                <a:t> Profit</a:t>
              </a:r>
              <a:endParaRPr lang="en-CA" sz="1400">
                <a:solidFill>
                  <a:schemeClr val="bg1"/>
                </a:solidFill>
                <a:latin typeface="Avenir Next LT Pro" panose="020B0504020202020204" pitchFamily="34" charset="0"/>
              </a:endParaRPr>
            </a:p>
          </xdr:txBody>
        </xdr:sp>
        <xdr:sp macro="" textlink="">
          <xdr:nvSpPr>
            <xdr:cNvPr id="69" name="TextBox 68">
              <a:hlinkClick xmlns:r="http://schemas.openxmlformats.org/officeDocument/2006/relationships" r:id="rId10" tooltip="Trends"/>
              <a:extLst>
                <a:ext uri="{FF2B5EF4-FFF2-40B4-BE49-F238E27FC236}">
                  <a16:creationId xmlns:a16="http://schemas.microsoft.com/office/drawing/2014/main" id="{00000000-0008-0000-0000-000045000000}"/>
                </a:ext>
              </a:extLst>
            </xdr:cNvPr>
            <xdr:cNvSpPr txBox="1"/>
          </xdr:nvSpPr>
          <xdr:spPr>
            <a:xfrm>
              <a:off x="11441757" y="73558"/>
              <a:ext cx="768349"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Trends</a:t>
              </a:r>
            </a:p>
          </xdr:txBody>
        </xdr:sp>
        <xdr:sp macro="" textlink="">
          <xdr:nvSpPr>
            <xdr:cNvPr id="70" name="TextBox 69">
              <a:extLst>
                <a:ext uri="{FF2B5EF4-FFF2-40B4-BE49-F238E27FC236}">
                  <a16:creationId xmlns:a16="http://schemas.microsoft.com/office/drawing/2014/main" id="{00000000-0008-0000-0000-000046000000}"/>
                </a:ext>
              </a:extLst>
            </xdr:cNvPr>
            <xdr:cNvSpPr txBox="1"/>
          </xdr:nvSpPr>
          <xdr:spPr>
            <a:xfrm>
              <a:off x="2505075" y="95979"/>
              <a:ext cx="2619375"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Sales Performance  - FY 2015</a:t>
              </a:r>
            </a:p>
          </xdr:txBody>
        </xdr:sp>
        <xdr:sp macro="" textlink="">
          <xdr:nvSpPr>
            <xdr:cNvPr id="72" name="Rectangle: Rounded Corners 71">
              <a:extLst>
                <a:ext uri="{FF2B5EF4-FFF2-40B4-BE49-F238E27FC236}">
                  <a16:creationId xmlns:a16="http://schemas.microsoft.com/office/drawing/2014/main" id="{00000000-0008-0000-0000-000048000000}"/>
                </a:ext>
              </a:extLst>
            </xdr:cNvPr>
            <xdr:cNvSpPr/>
          </xdr:nvSpPr>
          <xdr:spPr>
            <a:xfrm>
              <a:off x="10495912" y="361950"/>
              <a:ext cx="468000" cy="36000"/>
            </a:xfrm>
            <a:prstGeom prst="roundRect">
              <a:avLst/>
            </a:prstGeom>
            <a:solidFill>
              <a:srgbClr val="194AF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73" name="TextBox 72">
              <a:hlinkClick xmlns:r="http://schemas.openxmlformats.org/officeDocument/2006/relationships" r:id="rId11" tooltip="Sales Map"/>
              <a:extLst>
                <a:ext uri="{FF2B5EF4-FFF2-40B4-BE49-F238E27FC236}">
                  <a16:creationId xmlns:a16="http://schemas.microsoft.com/office/drawing/2014/main" id="{00000000-0008-0000-0000-000049000000}"/>
                </a:ext>
              </a:extLst>
            </xdr:cNvPr>
            <xdr:cNvSpPr txBox="1"/>
          </xdr:nvSpPr>
          <xdr:spPr>
            <a:xfrm>
              <a:off x="13722696" y="73558"/>
              <a:ext cx="1019769"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Sales Map</a:t>
              </a:r>
            </a:p>
          </xdr:txBody>
        </xdr:sp>
      </xdr:grpSp>
      <xdr:pic>
        <xdr:nvPicPr>
          <xdr:cNvPr id="9" name="Picture 8">
            <a:hlinkClick xmlns:r="http://schemas.openxmlformats.org/officeDocument/2006/relationships" r:id="rId12"/>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6144875" y="114300"/>
            <a:ext cx="1680593" cy="252000"/>
          </a:xfrm>
          <a:prstGeom prst="rect">
            <a:avLst/>
          </a:prstGeom>
        </xdr:spPr>
      </xdr:pic>
    </xdr:grpSp>
    <xdr:clientData/>
  </xdr:twoCellAnchor>
  <xdr:twoCellAnchor editAs="absolute">
    <xdr:from>
      <xdr:col>0</xdr:col>
      <xdr:colOff>608324</xdr:colOff>
      <xdr:row>27</xdr:row>
      <xdr:rowOff>104775</xdr:rowOff>
    </xdr:from>
    <xdr:to>
      <xdr:col>7</xdr:col>
      <xdr:colOff>466724</xdr:colOff>
      <xdr:row>29</xdr:row>
      <xdr:rowOff>82978</xdr:rowOff>
    </xdr:to>
    <xdr:sp macro="" textlink="">
      <xdr:nvSpPr>
        <xdr:cNvPr id="6" name="Arrow: Pentagon 5">
          <a:extLst>
            <a:ext uri="{FF2B5EF4-FFF2-40B4-BE49-F238E27FC236}">
              <a16:creationId xmlns:a16="http://schemas.microsoft.com/office/drawing/2014/main" id="{00000000-0008-0000-0000-000006000000}"/>
            </a:ext>
          </a:extLst>
        </xdr:cNvPr>
        <xdr:cNvSpPr/>
      </xdr:nvSpPr>
      <xdr:spPr>
        <a:xfrm>
          <a:off x="608324" y="4476750"/>
          <a:ext cx="4125600" cy="302053"/>
        </a:xfrm>
        <a:prstGeom prst="homePlate">
          <a:avLst>
            <a:gd name="adj" fmla="val 0"/>
          </a:avLst>
        </a:prstGeom>
        <a:solidFill>
          <a:srgbClr val="070E2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xdr:col>
      <xdr:colOff>100161</xdr:colOff>
      <xdr:row>27</xdr:row>
      <xdr:rowOff>85725</xdr:rowOff>
    </xdr:from>
    <xdr:to>
      <xdr:col>7</xdr:col>
      <xdr:colOff>366562</xdr:colOff>
      <xdr:row>54</xdr:row>
      <xdr:rowOff>123825</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709761" y="4457700"/>
          <a:ext cx="3924001" cy="4410075"/>
          <a:chOff x="614511" y="4457700"/>
          <a:chExt cx="3924001" cy="4410075"/>
        </a:xfrm>
      </xdr:grpSpPr>
      <xdr:grpSp>
        <xdr:nvGrpSpPr>
          <xdr:cNvPr id="120" name="Group 119">
            <a:extLst>
              <a:ext uri="{FF2B5EF4-FFF2-40B4-BE49-F238E27FC236}">
                <a16:creationId xmlns:a16="http://schemas.microsoft.com/office/drawing/2014/main" id="{00000000-0008-0000-0000-000078000000}"/>
              </a:ext>
            </a:extLst>
          </xdr:cNvPr>
          <xdr:cNvGrpSpPr/>
        </xdr:nvGrpSpPr>
        <xdr:grpSpPr>
          <a:xfrm>
            <a:off x="614511" y="4457700"/>
            <a:ext cx="2057399" cy="4410075"/>
            <a:chOff x="371475" y="3905250"/>
            <a:chExt cx="2057399" cy="4410075"/>
          </a:xfrm>
        </xdr:grpSpPr>
        <xdr:sp macro="" textlink="">
          <xdr:nvSpPr>
            <xdr:cNvPr id="37" name="TextBox 36">
              <a:extLst>
                <a:ext uri="{FF2B5EF4-FFF2-40B4-BE49-F238E27FC236}">
                  <a16:creationId xmlns:a16="http://schemas.microsoft.com/office/drawing/2014/main" id="{00000000-0008-0000-0000-000025000000}"/>
                </a:ext>
              </a:extLst>
            </xdr:cNvPr>
            <xdr:cNvSpPr txBox="1"/>
          </xdr:nvSpPr>
          <xdr:spPr>
            <a:xfrm>
              <a:off x="371475" y="3905250"/>
              <a:ext cx="2042964" cy="304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US" sz="1400" u="none">
                  <a:solidFill>
                    <a:srgbClr val="B1F5F1"/>
                  </a:solidFill>
                  <a:latin typeface="Avenir Next LT Pro" panose="020B0504020202020204" pitchFamily="34" charset="0"/>
                </a:rPr>
                <a:t>Product Sub-Category</a:t>
              </a:r>
            </a:p>
          </xdr:txBody>
        </xdr:sp>
        <xdr:grpSp>
          <xdr:nvGrpSpPr>
            <xdr:cNvPr id="118" name="Group 117">
              <a:extLst>
                <a:ext uri="{FF2B5EF4-FFF2-40B4-BE49-F238E27FC236}">
                  <a16:creationId xmlns:a16="http://schemas.microsoft.com/office/drawing/2014/main" id="{00000000-0008-0000-0000-000076000000}"/>
                </a:ext>
              </a:extLst>
            </xdr:cNvPr>
            <xdr:cNvGrpSpPr/>
          </xdr:nvGrpSpPr>
          <xdr:grpSpPr>
            <a:xfrm>
              <a:off x="371475" y="4286250"/>
              <a:ext cx="2057399" cy="4029075"/>
              <a:chOff x="371475" y="4286250"/>
              <a:chExt cx="2057399" cy="4029075"/>
            </a:xfrm>
          </xdr:grpSpPr>
          <xdr:sp macro="" textlink="Pivot_tables!G7">
            <xdr:nvSpPr>
              <xdr:cNvPr id="38" name="TextBox 37">
                <a:extLst>
                  <a:ext uri="{FF2B5EF4-FFF2-40B4-BE49-F238E27FC236}">
                    <a16:creationId xmlns:a16="http://schemas.microsoft.com/office/drawing/2014/main" id="{00000000-0008-0000-0000-000026000000}"/>
                  </a:ext>
                </a:extLst>
              </xdr:cNvPr>
              <xdr:cNvSpPr txBox="1"/>
            </xdr:nvSpPr>
            <xdr:spPr>
              <a:xfrm>
                <a:off x="371475" y="4514255"/>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6F4861DD-D863-4604-949B-D8C7505E89D3}" type="TxLink">
                  <a:rPr lang="en-US" sz="1100" b="0" i="0" u="none" strike="noStrike">
                    <a:solidFill>
                      <a:schemeClr val="bg1"/>
                    </a:solidFill>
                    <a:latin typeface="Avenir Next LT Pro" panose="020B0504020202020204" pitchFamily="34" charset="0"/>
                    <a:cs typeface="Arial"/>
                  </a:rPr>
                  <a:pPr algn="l"/>
                  <a:t>Binders and Binder Accessories</a:t>
                </a:fld>
                <a:endParaRPr lang="en-CA" sz="1100">
                  <a:solidFill>
                    <a:schemeClr val="bg1"/>
                  </a:solidFill>
                  <a:latin typeface="Avenir Next LT Pro" panose="020B0504020202020204" pitchFamily="34" charset="0"/>
                </a:endParaRPr>
              </a:p>
            </xdr:txBody>
          </xdr:sp>
          <xdr:sp macro="" textlink="Pivot_tables!G8">
            <xdr:nvSpPr>
              <xdr:cNvPr id="39" name="TextBox 38">
                <a:extLst>
                  <a:ext uri="{FF2B5EF4-FFF2-40B4-BE49-F238E27FC236}">
                    <a16:creationId xmlns:a16="http://schemas.microsoft.com/office/drawing/2014/main" id="{00000000-0008-0000-0000-000027000000}"/>
                  </a:ext>
                </a:extLst>
              </xdr:cNvPr>
              <xdr:cNvSpPr txBox="1"/>
            </xdr:nvSpPr>
            <xdr:spPr>
              <a:xfrm>
                <a:off x="371475" y="4751785"/>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E09DCD5E-7A0D-4E94-924E-9638E66D5906}" type="TxLink">
                  <a:rPr lang="en-US" sz="1100" b="0" i="0" u="none" strike="noStrike">
                    <a:solidFill>
                      <a:schemeClr val="bg1"/>
                    </a:solidFill>
                    <a:latin typeface="Avenir Next LT Pro" panose="020B0504020202020204" pitchFamily="34" charset="0"/>
                    <a:cs typeface="Arial"/>
                  </a:rPr>
                  <a:pPr algn="l"/>
                  <a:t>Bookcases</a:t>
                </a:fld>
                <a:endParaRPr lang="en-CA" sz="1100">
                  <a:solidFill>
                    <a:schemeClr val="bg1"/>
                  </a:solidFill>
                  <a:latin typeface="Avenir Next LT Pro" panose="020B0504020202020204" pitchFamily="34" charset="0"/>
                </a:endParaRPr>
              </a:p>
            </xdr:txBody>
          </xdr:sp>
          <xdr:sp macro="" textlink="Pivot_tables!G9">
            <xdr:nvSpPr>
              <xdr:cNvPr id="40" name="TextBox 39">
                <a:extLst>
                  <a:ext uri="{FF2B5EF4-FFF2-40B4-BE49-F238E27FC236}">
                    <a16:creationId xmlns:a16="http://schemas.microsoft.com/office/drawing/2014/main" id="{00000000-0008-0000-0000-000028000000}"/>
                  </a:ext>
                </a:extLst>
              </xdr:cNvPr>
              <xdr:cNvSpPr txBox="1"/>
            </xdr:nvSpPr>
            <xdr:spPr>
              <a:xfrm>
                <a:off x="371475" y="4989315"/>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D11C092E-D76C-4047-8FA4-792A049FF1FB}" type="TxLink">
                  <a:rPr lang="en-US" sz="1100" b="0" i="0" u="none" strike="noStrike">
                    <a:solidFill>
                      <a:schemeClr val="bg1"/>
                    </a:solidFill>
                    <a:latin typeface="Avenir Next LT Pro" panose="020B0504020202020204" pitchFamily="34" charset="0"/>
                    <a:cs typeface="Arial"/>
                  </a:rPr>
                  <a:pPr algn="l"/>
                  <a:t>Chairs &amp; Chairmats</a:t>
                </a:fld>
                <a:endParaRPr lang="en-CA" sz="1100">
                  <a:solidFill>
                    <a:schemeClr val="bg1"/>
                  </a:solidFill>
                  <a:latin typeface="Avenir Next LT Pro" panose="020B0504020202020204" pitchFamily="34" charset="0"/>
                </a:endParaRPr>
              </a:p>
            </xdr:txBody>
          </xdr:sp>
          <xdr:sp macro="" textlink="Pivot_tables!G10">
            <xdr:nvSpPr>
              <xdr:cNvPr id="41" name="TextBox 40">
                <a:extLst>
                  <a:ext uri="{FF2B5EF4-FFF2-40B4-BE49-F238E27FC236}">
                    <a16:creationId xmlns:a16="http://schemas.microsoft.com/office/drawing/2014/main" id="{00000000-0008-0000-0000-000029000000}"/>
                  </a:ext>
                </a:extLst>
              </xdr:cNvPr>
              <xdr:cNvSpPr txBox="1"/>
            </xdr:nvSpPr>
            <xdr:spPr>
              <a:xfrm>
                <a:off x="371475" y="5226845"/>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D812748C-7EC7-4FBB-B475-8B545145FBFE}" type="TxLink">
                  <a:rPr lang="en-US" sz="1100" b="0" i="0" u="none" strike="noStrike">
                    <a:solidFill>
                      <a:schemeClr val="bg1"/>
                    </a:solidFill>
                    <a:latin typeface="Avenir Next LT Pro" panose="020B0504020202020204" pitchFamily="34" charset="0"/>
                    <a:cs typeface="Arial"/>
                  </a:rPr>
                  <a:pPr algn="l"/>
                  <a:t>Computer Peripherals</a:t>
                </a:fld>
                <a:endParaRPr lang="en-CA" sz="1100">
                  <a:solidFill>
                    <a:schemeClr val="bg1"/>
                  </a:solidFill>
                  <a:latin typeface="Avenir Next LT Pro" panose="020B0504020202020204" pitchFamily="34" charset="0"/>
                </a:endParaRPr>
              </a:p>
            </xdr:txBody>
          </xdr:sp>
          <xdr:sp macro="" textlink="Pivot_tables!G11">
            <xdr:nvSpPr>
              <xdr:cNvPr id="42" name="TextBox 41">
                <a:extLst>
                  <a:ext uri="{FF2B5EF4-FFF2-40B4-BE49-F238E27FC236}">
                    <a16:creationId xmlns:a16="http://schemas.microsoft.com/office/drawing/2014/main" id="{00000000-0008-0000-0000-00002A000000}"/>
                  </a:ext>
                </a:extLst>
              </xdr:cNvPr>
              <xdr:cNvSpPr txBox="1"/>
            </xdr:nvSpPr>
            <xdr:spPr>
              <a:xfrm>
                <a:off x="371475" y="5464375"/>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7404C9A8-030D-488B-A64F-E21E3DE3F422}" type="TxLink">
                  <a:rPr lang="en-US" sz="1100" b="0" i="0" u="none" strike="noStrike">
                    <a:solidFill>
                      <a:schemeClr val="bg1"/>
                    </a:solidFill>
                    <a:latin typeface="Avenir Next LT Pro" panose="020B0504020202020204" pitchFamily="34" charset="0"/>
                    <a:cs typeface="Arial"/>
                  </a:rPr>
                  <a:pPr algn="l"/>
                  <a:t>Copiers and Fax</a:t>
                </a:fld>
                <a:endParaRPr lang="en-CA" sz="1100">
                  <a:solidFill>
                    <a:schemeClr val="bg1"/>
                  </a:solidFill>
                  <a:latin typeface="Avenir Next LT Pro" panose="020B0504020202020204" pitchFamily="34" charset="0"/>
                </a:endParaRPr>
              </a:p>
            </xdr:txBody>
          </xdr:sp>
          <xdr:sp macro="" textlink="Pivot_tables!G12">
            <xdr:nvSpPr>
              <xdr:cNvPr id="43" name="TextBox 42">
                <a:extLst>
                  <a:ext uri="{FF2B5EF4-FFF2-40B4-BE49-F238E27FC236}">
                    <a16:creationId xmlns:a16="http://schemas.microsoft.com/office/drawing/2014/main" id="{00000000-0008-0000-0000-00002B000000}"/>
                  </a:ext>
                </a:extLst>
              </xdr:cNvPr>
              <xdr:cNvSpPr txBox="1"/>
            </xdr:nvSpPr>
            <xdr:spPr>
              <a:xfrm>
                <a:off x="371475" y="5701905"/>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4D8F40B7-4770-4457-BB19-F4FCDE5AD17E}" type="TxLink">
                  <a:rPr lang="en-US" sz="1100" b="0" i="0" u="none" strike="noStrike">
                    <a:solidFill>
                      <a:schemeClr val="bg1"/>
                    </a:solidFill>
                    <a:latin typeface="Avenir Next LT Pro" panose="020B0504020202020204" pitchFamily="34" charset="0"/>
                    <a:cs typeface="Arial"/>
                  </a:rPr>
                  <a:pPr algn="l"/>
                  <a:t>Envelopes</a:t>
                </a:fld>
                <a:endParaRPr lang="en-CA" sz="1100">
                  <a:solidFill>
                    <a:schemeClr val="bg1"/>
                  </a:solidFill>
                  <a:latin typeface="Avenir Next LT Pro" panose="020B0504020202020204" pitchFamily="34" charset="0"/>
                </a:endParaRPr>
              </a:p>
            </xdr:txBody>
          </xdr:sp>
          <xdr:sp macro="" textlink="Pivot_tables!G13">
            <xdr:nvSpPr>
              <xdr:cNvPr id="44" name="TextBox 43">
                <a:extLst>
                  <a:ext uri="{FF2B5EF4-FFF2-40B4-BE49-F238E27FC236}">
                    <a16:creationId xmlns:a16="http://schemas.microsoft.com/office/drawing/2014/main" id="{00000000-0008-0000-0000-00002C000000}"/>
                  </a:ext>
                </a:extLst>
              </xdr:cNvPr>
              <xdr:cNvSpPr txBox="1"/>
            </xdr:nvSpPr>
            <xdr:spPr>
              <a:xfrm>
                <a:off x="371475" y="5939435"/>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28D3D803-E3B7-49D3-A16A-312E9BB24378}" type="TxLink">
                  <a:rPr lang="en-US" sz="1100" b="0" i="0" u="none" strike="noStrike">
                    <a:solidFill>
                      <a:schemeClr val="bg1"/>
                    </a:solidFill>
                    <a:latin typeface="Avenir Next LT Pro" panose="020B0504020202020204" pitchFamily="34" charset="0"/>
                    <a:cs typeface="Arial"/>
                  </a:rPr>
                  <a:pPr algn="l"/>
                  <a:t>Labels</a:t>
                </a:fld>
                <a:endParaRPr lang="en-CA" sz="1100">
                  <a:solidFill>
                    <a:schemeClr val="bg1"/>
                  </a:solidFill>
                  <a:latin typeface="Avenir Next LT Pro" panose="020B0504020202020204" pitchFamily="34" charset="0"/>
                </a:endParaRPr>
              </a:p>
            </xdr:txBody>
          </xdr:sp>
          <xdr:sp macro="" textlink="Pivot_tables!G14">
            <xdr:nvSpPr>
              <xdr:cNvPr id="45" name="TextBox 44">
                <a:extLst>
                  <a:ext uri="{FF2B5EF4-FFF2-40B4-BE49-F238E27FC236}">
                    <a16:creationId xmlns:a16="http://schemas.microsoft.com/office/drawing/2014/main" id="{00000000-0008-0000-0000-00002D000000}"/>
                  </a:ext>
                </a:extLst>
              </xdr:cNvPr>
              <xdr:cNvSpPr txBox="1"/>
            </xdr:nvSpPr>
            <xdr:spPr>
              <a:xfrm>
                <a:off x="371475" y="6176965"/>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FD55C346-A561-4529-8CF4-90962F2426E2}" type="TxLink">
                  <a:rPr lang="en-US" sz="1100" b="0" i="0" u="none" strike="noStrike">
                    <a:solidFill>
                      <a:schemeClr val="bg1"/>
                    </a:solidFill>
                    <a:latin typeface="Avenir Next LT Pro" panose="020B0504020202020204" pitchFamily="34" charset="0"/>
                    <a:cs typeface="Arial"/>
                  </a:rPr>
                  <a:pPr algn="l"/>
                  <a:t>Office Furnishings</a:t>
                </a:fld>
                <a:endParaRPr lang="en-CA" sz="1100">
                  <a:solidFill>
                    <a:schemeClr val="bg1"/>
                  </a:solidFill>
                  <a:latin typeface="Avenir Next LT Pro" panose="020B0504020202020204" pitchFamily="34" charset="0"/>
                </a:endParaRPr>
              </a:p>
            </xdr:txBody>
          </xdr:sp>
          <xdr:sp macro="" textlink="Pivot_tables!G15">
            <xdr:nvSpPr>
              <xdr:cNvPr id="46" name="TextBox 45">
                <a:extLst>
                  <a:ext uri="{FF2B5EF4-FFF2-40B4-BE49-F238E27FC236}">
                    <a16:creationId xmlns:a16="http://schemas.microsoft.com/office/drawing/2014/main" id="{00000000-0008-0000-0000-00002E000000}"/>
                  </a:ext>
                </a:extLst>
              </xdr:cNvPr>
              <xdr:cNvSpPr txBox="1"/>
            </xdr:nvSpPr>
            <xdr:spPr>
              <a:xfrm>
                <a:off x="371475" y="6414495"/>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F6F267F0-715C-44DF-B63D-078310936212}" type="TxLink">
                  <a:rPr lang="en-US" sz="1100" b="0" i="0" u="none" strike="noStrike">
                    <a:solidFill>
                      <a:schemeClr val="bg1"/>
                    </a:solidFill>
                    <a:latin typeface="Avenir Next LT Pro" panose="020B0504020202020204" pitchFamily="34" charset="0"/>
                    <a:cs typeface="Arial"/>
                  </a:rPr>
                  <a:pPr algn="l"/>
                  <a:t>Office Machines</a:t>
                </a:fld>
                <a:endParaRPr lang="en-CA" sz="1100">
                  <a:solidFill>
                    <a:schemeClr val="bg1"/>
                  </a:solidFill>
                  <a:latin typeface="Avenir Next LT Pro" panose="020B0504020202020204" pitchFamily="34" charset="0"/>
                </a:endParaRPr>
              </a:p>
            </xdr:txBody>
          </xdr:sp>
          <xdr:sp macro="" textlink="Pivot_tables!G16">
            <xdr:nvSpPr>
              <xdr:cNvPr id="47" name="TextBox 46">
                <a:extLst>
                  <a:ext uri="{FF2B5EF4-FFF2-40B4-BE49-F238E27FC236}">
                    <a16:creationId xmlns:a16="http://schemas.microsoft.com/office/drawing/2014/main" id="{00000000-0008-0000-0000-00002F000000}"/>
                  </a:ext>
                </a:extLst>
              </xdr:cNvPr>
              <xdr:cNvSpPr txBox="1"/>
            </xdr:nvSpPr>
            <xdr:spPr>
              <a:xfrm>
                <a:off x="371475" y="6652025"/>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A3DEEBD3-45D8-4C1A-B174-5BC0068CECE9}" type="TxLink">
                  <a:rPr lang="en-US" sz="1100" b="0" i="0" u="none" strike="noStrike">
                    <a:solidFill>
                      <a:schemeClr val="bg1"/>
                    </a:solidFill>
                    <a:latin typeface="Avenir Next LT Pro" panose="020B0504020202020204" pitchFamily="34" charset="0"/>
                    <a:cs typeface="Arial"/>
                  </a:rPr>
                  <a:pPr algn="l"/>
                  <a:t>Paper</a:t>
                </a:fld>
                <a:endParaRPr lang="en-CA" sz="1100">
                  <a:solidFill>
                    <a:schemeClr val="bg1"/>
                  </a:solidFill>
                  <a:latin typeface="Avenir Next LT Pro" panose="020B0504020202020204" pitchFamily="34" charset="0"/>
                </a:endParaRPr>
              </a:p>
            </xdr:txBody>
          </xdr:sp>
          <xdr:sp macro="" textlink="Pivot_tables!G17">
            <xdr:nvSpPr>
              <xdr:cNvPr id="48" name="TextBox 47">
                <a:extLst>
                  <a:ext uri="{FF2B5EF4-FFF2-40B4-BE49-F238E27FC236}">
                    <a16:creationId xmlns:a16="http://schemas.microsoft.com/office/drawing/2014/main" id="{00000000-0008-0000-0000-000030000000}"/>
                  </a:ext>
                </a:extLst>
              </xdr:cNvPr>
              <xdr:cNvSpPr txBox="1"/>
            </xdr:nvSpPr>
            <xdr:spPr>
              <a:xfrm>
                <a:off x="371475" y="6889555"/>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04221D02-877E-4F4C-86F4-2E30C5C52CF8}" type="TxLink">
                  <a:rPr lang="en-US" sz="1100" b="0" i="0" u="none" strike="noStrike">
                    <a:solidFill>
                      <a:schemeClr val="bg1"/>
                    </a:solidFill>
                    <a:latin typeface="Avenir Next LT Pro" panose="020B0504020202020204" pitchFamily="34" charset="0"/>
                    <a:cs typeface="Arial"/>
                  </a:rPr>
                  <a:pPr algn="l"/>
                  <a:t>Pens &amp; Art Supplies</a:t>
                </a:fld>
                <a:endParaRPr lang="en-CA" sz="1100">
                  <a:solidFill>
                    <a:schemeClr val="bg1"/>
                  </a:solidFill>
                  <a:latin typeface="Avenir Next LT Pro" panose="020B0504020202020204" pitchFamily="34" charset="0"/>
                </a:endParaRPr>
              </a:p>
            </xdr:txBody>
          </xdr:sp>
          <xdr:sp macro="" textlink="Pivot_tables!G18">
            <xdr:nvSpPr>
              <xdr:cNvPr id="49" name="TextBox 48">
                <a:extLst>
                  <a:ext uri="{FF2B5EF4-FFF2-40B4-BE49-F238E27FC236}">
                    <a16:creationId xmlns:a16="http://schemas.microsoft.com/office/drawing/2014/main" id="{00000000-0008-0000-0000-000031000000}"/>
                  </a:ext>
                </a:extLst>
              </xdr:cNvPr>
              <xdr:cNvSpPr txBox="1"/>
            </xdr:nvSpPr>
            <xdr:spPr>
              <a:xfrm>
                <a:off x="371475" y="7127085"/>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987A5431-7B75-4F03-AFB5-D546BCAD24BA}" type="TxLink">
                  <a:rPr lang="en-US" sz="1100" b="0" i="0" u="none" strike="noStrike">
                    <a:solidFill>
                      <a:schemeClr val="bg1"/>
                    </a:solidFill>
                    <a:latin typeface="Avenir Next LT Pro" panose="020B0504020202020204" pitchFamily="34" charset="0"/>
                    <a:cs typeface="Arial"/>
                  </a:rPr>
                  <a:pPr algn="l"/>
                  <a:t>Rubber Bands</a:t>
                </a:fld>
                <a:endParaRPr lang="en-CA" sz="1100">
                  <a:solidFill>
                    <a:schemeClr val="bg1"/>
                  </a:solidFill>
                  <a:latin typeface="Avenir Next LT Pro" panose="020B0504020202020204" pitchFamily="34" charset="0"/>
                </a:endParaRPr>
              </a:p>
            </xdr:txBody>
          </xdr:sp>
          <xdr:sp macro="" textlink="Pivot_tables!G19">
            <xdr:nvSpPr>
              <xdr:cNvPr id="50" name="TextBox 49">
                <a:extLst>
                  <a:ext uri="{FF2B5EF4-FFF2-40B4-BE49-F238E27FC236}">
                    <a16:creationId xmlns:a16="http://schemas.microsoft.com/office/drawing/2014/main" id="{00000000-0008-0000-0000-000032000000}"/>
                  </a:ext>
                </a:extLst>
              </xdr:cNvPr>
              <xdr:cNvSpPr txBox="1"/>
            </xdr:nvSpPr>
            <xdr:spPr>
              <a:xfrm>
                <a:off x="371475" y="7364615"/>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DECEAA00-00A1-4A97-95DC-8D37FB3F4DC3}" type="TxLink">
                  <a:rPr lang="en-US" sz="1100" b="0" i="0" u="none" strike="noStrike">
                    <a:solidFill>
                      <a:schemeClr val="bg1"/>
                    </a:solidFill>
                    <a:latin typeface="Avenir Next LT Pro" panose="020B0504020202020204" pitchFamily="34" charset="0"/>
                    <a:cs typeface="Arial"/>
                  </a:rPr>
                  <a:pPr algn="l"/>
                  <a:t>Scissors, Rulers and Trimmers</a:t>
                </a:fld>
                <a:endParaRPr lang="en-CA" sz="1100">
                  <a:solidFill>
                    <a:schemeClr val="bg1"/>
                  </a:solidFill>
                  <a:latin typeface="Avenir Next LT Pro" panose="020B0504020202020204" pitchFamily="34" charset="0"/>
                </a:endParaRPr>
              </a:p>
            </xdr:txBody>
          </xdr:sp>
          <xdr:sp macro="" textlink="Pivot_tables!G20">
            <xdr:nvSpPr>
              <xdr:cNvPr id="51" name="TextBox 50">
                <a:extLst>
                  <a:ext uri="{FF2B5EF4-FFF2-40B4-BE49-F238E27FC236}">
                    <a16:creationId xmlns:a16="http://schemas.microsoft.com/office/drawing/2014/main" id="{00000000-0008-0000-0000-000033000000}"/>
                  </a:ext>
                </a:extLst>
              </xdr:cNvPr>
              <xdr:cNvSpPr txBox="1"/>
            </xdr:nvSpPr>
            <xdr:spPr>
              <a:xfrm>
                <a:off x="371475" y="7602145"/>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88809D0D-BA15-48FC-836A-C40C45B0DB7F}" type="TxLink">
                  <a:rPr lang="en-US" sz="1100" b="0" i="0" u="none" strike="noStrike">
                    <a:solidFill>
                      <a:schemeClr val="bg1"/>
                    </a:solidFill>
                    <a:latin typeface="Avenir Next LT Pro" panose="020B0504020202020204" pitchFamily="34" charset="0"/>
                    <a:cs typeface="Arial"/>
                  </a:rPr>
                  <a:pPr algn="l"/>
                  <a:t>Storage &amp; Organization</a:t>
                </a:fld>
                <a:endParaRPr lang="en-CA" sz="1100">
                  <a:solidFill>
                    <a:schemeClr val="bg1"/>
                  </a:solidFill>
                  <a:latin typeface="Avenir Next LT Pro" panose="020B0504020202020204" pitchFamily="34" charset="0"/>
                </a:endParaRPr>
              </a:p>
            </xdr:txBody>
          </xdr:sp>
          <xdr:sp macro="" textlink="Pivot_tables!G21">
            <xdr:nvSpPr>
              <xdr:cNvPr id="52" name="TextBox 51">
                <a:extLst>
                  <a:ext uri="{FF2B5EF4-FFF2-40B4-BE49-F238E27FC236}">
                    <a16:creationId xmlns:a16="http://schemas.microsoft.com/office/drawing/2014/main" id="{00000000-0008-0000-0000-000034000000}"/>
                  </a:ext>
                </a:extLst>
              </xdr:cNvPr>
              <xdr:cNvSpPr txBox="1"/>
            </xdr:nvSpPr>
            <xdr:spPr>
              <a:xfrm>
                <a:off x="371475" y="7839675"/>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B691112B-57EC-458E-ACE7-6F3C8BCB52D2}" type="TxLink">
                  <a:rPr lang="en-US" sz="1100" b="0" i="0" u="none" strike="noStrike">
                    <a:solidFill>
                      <a:schemeClr val="bg1"/>
                    </a:solidFill>
                    <a:latin typeface="Avenir Next LT Pro" panose="020B0504020202020204" pitchFamily="34" charset="0"/>
                    <a:cs typeface="Arial"/>
                  </a:rPr>
                  <a:pPr algn="l"/>
                  <a:t>Tables</a:t>
                </a:fld>
                <a:endParaRPr lang="en-CA" sz="1100">
                  <a:solidFill>
                    <a:schemeClr val="bg1"/>
                  </a:solidFill>
                  <a:latin typeface="Avenir Next LT Pro" panose="020B0504020202020204" pitchFamily="34" charset="0"/>
                </a:endParaRPr>
              </a:p>
            </xdr:txBody>
          </xdr:sp>
          <xdr:sp macro="" textlink="Pivot_tables!G22">
            <xdr:nvSpPr>
              <xdr:cNvPr id="53" name="TextBox 52">
                <a:extLst>
                  <a:ext uri="{FF2B5EF4-FFF2-40B4-BE49-F238E27FC236}">
                    <a16:creationId xmlns:a16="http://schemas.microsoft.com/office/drawing/2014/main" id="{00000000-0008-0000-0000-000035000000}"/>
                  </a:ext>
                </a:extLst>
              </xdr:cNvPr>
              <xdr:cNvSpPr txBox="1"/>
            </xdr:nvSpPr>
            <xdr:spPr>
              <a:xfrm>
                <a:off x="371475" y="8077200"/>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3CAAAF61-14E9-47AC-8B38-1AA44BC9D250}" type="TxLink">
                  <a:rPr lang="en-US" sz="1100" b="0" i="0" u="none" strike="noStrike">
                    <a:solidFill>
                      <a:schemeClr val="bg1"/>
                    </a:solidFill>
                    <a:latin typeface="Avenir Next LT Pro" panose="020B0504020202020204" pitchFamily="34" charset="0"/>
                    <a:cs typeface="Arial"/>
                  </a:rPr>
                  <a:pPr algn="l"/>
                  <a:t>Telephones and Communication</a:t>
                </a:fld>
                <a:endParaRPr lang="en-CA" sz="1100">
                  <a:solidFill>
                    <a:schemeClr val="bg1"/>
                  </a:solidFill>
                  <a:latin typeface="Avenir Next LT Pro" panose="020B0504020202020204" pitchFamily="34" charset="0"/>
                </a:endParaRPr>
              </a:p>
            </xdr:txBody>
          </xdr:sp>
          <xdr:sp macro="" textlink="Pivot_tables!G6">
            <xdr:nvSpPr>
              <xdr:cNvPr id="55" name="TextBox 54">
                <a:extLst>
                  <a:ext uri="{FF2B5EF4-FFF2-40B4-BE49-F238E27FC236}">
                    <a16:creationId xmlns:a16="http://schemas.microsoft.com/office/drawing/2014/main" id="{00000000-0008-0000-0000-000037000000}"/>
                  </a:ext>
                </a:extLst>
              </xdr:cNvPr>
              <xdr:cNvSpPr txBox="1"/>
            </xdr:nvSpPr>
            <xdr:spPr>
              <a:xfrm>
                <a:off x="371475" y="4286250"/>
                <a:ext cx="2057399"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550FB3AF-D153-472A-930E-27D5EF90D411}" type="TxLink">
                  <a:rPr lang="en-US" sz="1100" b="0" i="0" u="none" strike="noStrike">
                    <a:solidFill>
                      <a:schemeClr val="bg1"/>
                    </a:solidFill>
                    <a:latin typeface="Avenir Next LT Pro" panose="020B0504020202020204" pitchFamily="34" charset="0"/>
                    <a:cs typeface="Arial"/>
                  </a:rPr>
                  <a:pPr algn="l"/>
                  <a:t>Appliances</a:t>
                </a:fld>
                <a:endParaRPr lang="en-CA" sz="1100">
                  <a:solidFill>
                    <a:schemeClr val="bg1"/>
                  </a:solidFill>
                  <a:latin typeface="Avenir Next LT Pro" panose="020B0504020202020204" pitchFamily="34" charset="0"/>
                </a:endParaRPr>
              </a:p>
            </xdr:txBody>
          </xdr:sp>
        </xdr:grpSp>
      </xdr:grpSp>
      <xdr:grpSp>
        <xdr:nvGrpSpPr>
          <xdr:cNvPr id="121" name="Group 120">
            <a:extLst>
              <a:ext uri="{FF2B5EF4-FFF2-40B4-BE49-F238E27FC236}">
                <a16:creationId xmlns:a16="http://schemas.microsoft.com/office/drawing/2014/main" id="{00000000-0008-0000-0000-000079000000}"/>
              </a:ext>
            </a:extLst>
          </xdr:cNvPr>
          <xdr:cNvGrpSpPr/>
        </xdr:nvGrpSpPr>
        <xdr:grpSpPr>
          <a:xfrm>
            <a:off x="2619376" y="4457700"/>
            <a:ext cx="890736" cy="4410075"/>
            <a:chOff x="2471590" y="3905250"/>
            <a:chExt cx="890736" cy="4410075"/>
          </a:xfrm>
        </xdr:grpSpPr>
        <xdr:grpSp>
          <xdr:nvGrpSpPr>
            <xdr:cNvPr id="94" name="Group 93">
              <a:extLst>
                <a:ext uri="{FF2B5EF4-FFF2-40B4-BE49-F238E27FC236}">
                  <a16:creationId xmlns:a16="http://schemas.microsoft.com/office/drawing/2014/main" id="{00000000-0008-0000-0000-00005E000000}"/>
                </a:ext>
              </a:extLst>
            </xdr:cNvPr>
            <xdr:cNvGrpSpPr/>
          </xdr:nvGrpSpPr>
          <xdr:grpSpPr>
            <a:xfrm>
              <a:off x="2619375" y="4286250"/>
              <a:ext cx="742950" cy="4029075"/>
              <a:chOff x="1828801" y="3305175"/>
              <a:chExt cx="742950" cy="4029075"/>
            </a:xfrm>
          </xdr:grpSpPr>
          <xdr:sp macro="" textlink="Pivot_tables!M7">
            <xdr:nvSpPr>
              <xdr:cNvPr id="77" name="TextBox 76">
                <a:extLst>
                  <a:ext uri="{FF2B5EF4-FFF2-40B4-BE49-F238E27FC236}">
                    <a16:creationId xmlns:a16="http://schemas.microsoft.com/office/drawing/2014/main" id="{00000000-0008-0000-0000-00004D000000}"/>
                  </a:ext>
                </a:extLst>
              </xdr:cNvPr>
              <xdr:cNvSpPr txBox="1"/>
            </xdr:nvSpPr>
            <xdr:spPr>
              <a:xfrm>
                <a:off x="1828801" y="353318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C60104FF-EE70-4A9E-B1A0-1C8E0363EC64}" type="TxLink">
                  <a:rPr lang="en-US" sz="1100" b="0" i="0" u="none" strike="noStrike">
                    <a:solidFill>
                      <a:schemeClr val="bg1"/>
                    </a:solidFill>
                    <a:latin typeface="Avenir Next LT Pro" panose="020B0504020202020204" pitchFamily="34" charset="0"/>
                    <a:cs typeface="Arial"/>
                  </a:rPr>
                  <a:pPr algn="r"/>
                  <a:t> 2,554 </a:t>
                </a:fld>
                <a:endParaRPr lang="en-CA" sz="1100">
                  <a:solidFill>
                    <a:schemeClr val="bg1"/>
                  </a:solidFill>
                  <a:latin typeface="Avenir Next LT Pro" panose="020B0504020202020204" pitchFamily="34" charset="0"/>
                </a:endParaRPr>
              </a:p>
            </xdr:txBody>
          </xdr:sp>
          <xdr:sp macro="" textlink="Pivot_tables!M8">
            <xdr:nvSpPr>
              <xdr:cNvPr id="78" name="TextBox 77">
                <a:extLst>
                  <a:ext uri="{FF2B5EF4-FFF2-40B4-BE49-F238E27FC236}">
                    <a16:creationId xmlns:a16="http://schemas.microsoft.com/office/drawing/2014/main" id="{00000000-0008-0000-0000-00004E000000}"/>
                  </a:ext>
                </a:extLst>
              </xdr:cNvPr>
              <xdr:cNvSpPr txBox="1"/>
            </xdr:nvSpPr>
            <xdr:spPr>
              <a:xfrm>
                <a:off x="1828801" y="377071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578DA786-CEA3-45B7-B85D-CEB4DE8783DC}" type="TxLink">
                  <a:rPr lang="en-US" sz="1100" b="0" i="0" u="none" strike="noStrike">
                    <a:solidFill>
                      <a:schemeClr val="bg1"/>
                    </a:solidFill>
                    <a:latin typeface="Avenir Next LT Pro" panose="020B0504020202020204" pitchFamily="34" charset="0"/>
                    <a:cs typeface="Arial"/>
                  </a:rPr>
                  <a:pPr algn="r"/>
                  <a:t> 536 </a:t>
                </a:fld>
                <a:endParaRPr lang="en-CA" sz="1100">
                  <a:solidFill>
                    <a:schemeClr val="bg1"/>
                  </a:solidFill>
                  <a:latin typeface="Avenir Next LT Pro" panose="020B0504020202020204" pitchFamily="34" charset="0"/>
                </a:endParaRPr>
              </a:p>
            </xdr:txBody>
          </xdr:sp>
          <xdr:sp macro="" textlink="Pivot_tables!M9">
            <xdr:nvSpPr>
              <xdr:cNvPr id="79" name="TextBox 78">
                <a:extLst>
                  <a:ext uri="{FF2B5EF4-FFF2-40B4-BE49-F238E27FC236}">
                    <a16:creationId xmlns:a16="http://schemas.microsoft.com/office/drawing/2014/main" id="{00000000-0008-0000-0000-00004F000000}"/>
                  </a:ext>
                </a:extLst>
              </xdr:cNvPr>
              <xdr:cNvSpPr txBox="1"/>
            </xdr:nvSpPr>
            <xdr:spPr>
              <a:xfrm>
                <a:off x="1828801" y="400824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CA17704E-983B-4473-98E2-EEA5E5BFF5D4}" type="TxLink">
                  <a:rPr lang="en-US" sz="1100" b="0" i="0" u="none" strike="noStrike">
                    <a:solidFill>
                      <a:schemeClr val="bg1"/>
                    </a:solidFill>
                    <a:latin typeface="Avenir Next LT Pro" panose="020B0504020202020204" pitchFamily="34" charset="0"/>
                    <a:cs typeface="Arial"/>
                  </a:rPr>
                  <a:pPr algn="r"/>
                  <a:t> 1,138 </a:t>
                </a:fld>
                <a:endParaRPr lang="en-CA" sz="1100">
                  <a:solidFill>
                    <a:schemeClr val="bg1"/>
                  </a:solidFill>
                  <a:latin typeface="Avenir Next LT Pro" panose="020B0504020202020204" pitchFamily="34" charset="0"/>
                </a:endParaRPr>
              </a:p>
            </xdr:txBody>
          </xdr:sp>
          <xdr:sp macro="" textlink="Pivot_tables!M10">
            <xdr:nvSpPr>
              <xdr:cNvPr id="80" name="TextBox 79">
                <a:extLst>
                  <a:ext uri="{FF2B5EF4-FFF2-40B4-BE49-F238E27FC236}">
                    <a16:creationId xmlns:a16="http://schemas.microsoft.com/office/drawing/2014/main" id="{00000000-0008-0000-0000-000050000000}"/>
                  </a:ext>
                </a:extLst>
              </xdr:cNvPr>
              <xdr:cNvSpPr txBox="1"/>
            </xdr:nvSpPr>
            <xdr:spPr>
              <a:xfrm>
                <a:off x="1828801" y="424577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A471EFFE-89CD-4968-909A-9DE918697C33}" type="TxLink">
                  <a:rPr lang="en-US" sz="1100" b="0" i="0" u="none" strike="noStrike">
                    <a:solidFill>
                      <a:schemeClr val="bg1"/>
                    </a:solidFill>
                    <a:latin typeface="Avenir Next LT Pro" panose="020B0504020202020204" pitchFamily="34" charset="0"/>
                    <a:cs typeface="Arial"/>
                  </a:rPr>
                  <a:pPr algn="r"/>
                  <a:t> 2,481 </a:t>
                </a:fld>
                <a:endParaRPr lang="en-CA" sz="1100">
                  <a:solidFill>
                    <a:schemeClr val="bg1"/>
                  </a:solidFill>
                  <a:latin typeface="Avenir Next LT Pro" panose="020B0504020202020204" pitchFamily="34" charset="0"/>
                </a:endParaRPr>
              </a:p>
            </xdr:txBody>
          </xdr:sp>
          <xdr:sp macro="" textlink="Pivot_tables!M11">
            <xdr:nvSpPr>
              <xdr:cNvPr id="81" name="TextBox 80">
                <a:extLst>
                  <a:ext uri="{FF2B5EF4-FFF2-40B4-BE49-F238E27FC236}">
                    <a16:creationId xmlns:a16="http://schemas.microsoft.com/office/drawing/2014/main" id="{00000000-0008-0000-0000-000051000000}"/>
                  </a:ext>
                </a:extLst>
              </xdr:cNvPr>
              <xdr:cNvSpPr txBox="1"/>
            </xdr:nvSpPr>
            <xdr:spPr>
              <a:xfrm>
                <a:off x="1828801" y="448330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146585F6-9265-4AC8-9ED5-6F9B0AA887DB}" type="TxLink">
                  <a:rPr lang="en-US" sz="1100" b="0" i="0" u="none" strike="noStrike">
                    <a:solidFill>
                      <a:schemeClr val="bg1"/>
                    </a:solidFill>
                    <a:latin typeface="Avenir Next LT Pro" panose="020B0504020202020204" pitchFamily="34" charset="0"/>
                    <a:cs typeface="Arial"/>
                  </a:rPr>
                  <a:pPr algn="r"/>
                  <a:t> 181 </a:t>
                </a:fld>
                <a:endParaRPr lang="en-CA" sz="1100">
                  <a:solidFill>
                    <a:schemeClr val="bg1"/>
                  </a:solidFill>
                  <a:latin typeface="Avenir Next LT Pro" panose="020B0504020202020204" pitchFamily="34" charset="0"/>
                </a:endParaRPr>
              </a:p>
            </xdr:txBody>
          </xdr:sp>
          <xdr:sp macro="" textlink="Pivot_tables!M12">
            <xdr:nvSpPr>
              <xdr:cNvPr id="82" name="TextBox 81">
                <a:extLst>
                  <a:ext uri="{FF2B5EF4-FFF2-40B4-BE49-F238E27FC236}">
                    <a16:creationId xmlns:a16="http://schemas.microsoft.com/office/drawing/2014/main" id="{00000000-0008-0000-0000-000052000000}"/>
                  </a:ext>
                </a:extLst>
              </xdr:cNvPr>
              <xdr:cNvSpPr txBox="1"/>
            </xdr:nvSpPr>
            <xdr:spPr>
              <a:xfrm>
                <a:off x="1828801" y="472083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D1E30254-372C-4203-A875-154E1F87EF67}" type="TxLink">
                  <a:rPr lang="en-US" sz="1100" b="0" i="0" u="none" strike="noStrike">
                    <a:solidFill>
                      <a:schemeClr val="bg1"/>
                    </a:solidFill>
                    <a:latin typeface="Avenir Next LT Pro" panose="020B0504020202020204" pitchFamily="34" charset="0"/>
                    <a:cs typeface="Arial"/>
                  </a:rPr>
                  <a:pPr algn="r"/>
                  <a:t> 590 </a:t>
                </a:fld>
                <a:endParaRPr lang="en-CA" sz="1100">
                  <a:solidFill>
                    <a:schemeClr val="bg1"/>
                  </a:solidFill>
                  <a:latin typeface="Avenir Next LT Pro" panose="020B0504020202020204" pitchFamily="34" charset="0"/>
                </a:endParaRPr>
              </a:p>
            </xdr:txBody>
          </xdr:sp>
          <xdr:sp macro="" textlink="Pivot_tables!M13">
            <xdr:nvSpPr>
              <xdr:cNvPr id="83" name="TextBox 82">
                <a:extLst>
                  <a:ext uri="{FF2B5EF4-FFF2-40B4-BE49-F238E27FC236}">
                    <a16:creationId xmlns:a16="http://schemas.microsoft.com/office/drawing/2014/main" id="{00000000-0008-0000-0000-000053000000}"/>
                  </a:ext>
                </a:extLst>
              </xdr:cNvPr>
              <xdr:cNvSpPr txBox="1"/>
            </xdr:nvSpPr>
            <xdr:spPr>
              <a:xfrm>
                <a:off x="1828801" y="495836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9EAE52CD-F6D6-4117-930A-2B5761B585AD}" type="TxLink">
                  <a:rPr lang="en-US" sz="1100" b="0" i="0" u="none" strike="noStrike">
                    <a:solidFill>
                      <a:schemeClr val="bg1"/>
                    </a:solidFill>
                    <a:latin typeface="Avenir Next LT Pro" panose="020B0504020202020204" pitchFamily="34" charset="0"/>
                    <a:cs typeface="Arial"/>
                  </a:rPr>
                  <a:pPr algn="r"/>
                  <a:t> 903 </a:t>
                </a:fld>
                <a:endParaRPr lang="en-CA" sz="1100">
                  <a:solidFill>
                    <a:schemeClr val="bg1"/>
                  </a:solidFill>
                  <a:latin typeface="Avenir Next LT Pro" panose="020B0504020202020204" pitchFamily="34" charset="0"/>
                </a:endParaRPr>
              </a:p>
            </xdr:txBody>
          </xdr:sp>
          <xdr:sp macro="" textlink="Pivot_tables!M14">
            <xdr:nvSpPr>
              <xdr:cNvPr id="84" name="TextBox 83">
                <a:extLst>
                  <a:ext uri="{FF2B5EF4-FFF2-40B4-BE49-F238E27FC236}">
                    <a16:creationId xmlns:a16="http://schemas.microsoft.com/office/drawing/2014/main" id="{00000000-0008-0000-0000-000054000000}"/>
                  </a:ext>
                </a:extLst>
              </xdr:cNvPr>
              <xdr:cNvSpPr txBox="1"/>
            </xdr:nvSpPr>
            <xdr:spPr>
              <a:xfrm>
                <a:off x="1828801" y="519589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2D31F82D-1359-406B-B35D-7E9403D0DB8F}" type="TxLink">
                  <a:rPr lang="en-US" sz="1100" b="0" i="0" u="none" strike="noStrike">
                    <a:solidFill>
                      <a:schemeClr val="bg1"/>
                    </a:solidFill>
                    <a:latin typeface="Avenir Next LT Pro" panose="020B0504020202020204" pitchFamily="34" charset="0"/>
                    <a:cs typeface="Arial"/>
                  </a:rPr>
                  <a:pPr algn="r"/>
                  <a:t> 2,356 </a:t>
                </a:fld>
                <a:endParaRPr lang="en-CA" sz="1100">
                  <a:solidFill>
                    <a:schemeClr val="bg1"/>
                  </a:solidFill>
                  <a:latin typeface="Avenir Next LT Pro" panose="020B0504020202020204" pitchFamily="34" charset="0"/>
                </a:endParaRPr>
              </a:p>
            </xdr:txBody>
          </xdr:sp>
          <xdr:sp macro="" textlink="Pivot_tables!M15">
            <xdr:nvSpPr>
              <xdr:cNvPr id="85" name="TextBox 84">
                <a:extLst>
                  <a:ext uri="{FF2B5EF4-FFF2-40B4-BE49-F238E27FC236}">
                    <a16:creationId xmlns:a16="http://schemas.microsoft.com/office/drawing/2014/main" id="{00000000-0008-0000-0000-000055000000}"/>
                  </a:ext>
                </a:extLst>
              </xdr:cNvPr>
              <xdr:cNvSpPr txBox="1"/>
            </xdr:nvSpPr>
            <xdr:spPr>
              <a:xfrm>
                <a:off x="1828801" y="543342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AEC65DB1-0457-49DC-AFFD-22FB8C965BEB}" type="TxLink">
                  <a:rPr lang="en-US" sz="1100" b="0" i="0" u="none" strike="noStrike">
                    <a:solidFill>
                      <a:schemeClr val="bg1"/>
                    </a:solidFill>
                    <a:latin typeface="Avenir Next LT Pro" panose="020B0504020202020204" pitchFamily="34" charset="0"/>
                    <a:cs typeface="Arial"/>
                  </a:rPr>
                  <a:pPr algn="r"/>
                  <a:t> 898 </a:t>
                </a:fld>
                <a:endParaRPr lang="en-CA" sz="1100">
                  <a:solidFill>
                    <a:schemeClr val="bg1"/>
                  </a:solidFill>
                  <a:latin typeface="Avenir Next LT Pro" panose="020B0504020202020204" pitchFamily="34" charset="0"/>
                </a:endParaRPr>
              </a:p>
            </xdr:txBody>
          </xdr:sp>
          <xdr:sp macro="" textlink="Pivot_tables!M16">
            <xdr:nvSpPr>
              <xdr:cNvPr id="86" name="TextBox 85">
                <a:extLst>
                  <a:ext uri="{FF2B5EF4-FFF2-40B4-BE49-F238E27FC236}">
                    <a16:creationId xmlns:a16="http://schemas.microsoft.com/office/drawing/2014/main" id="{00000000-0008-0000-0000-000056000000}"/>
                  </a:ext>
                </a:extLst>
              </xdr:cNvPr>
              <xdr:cNvSpPr txBox="1"/>
            </xdr:nvSpPr>
            <xdr:spPr>
              <a:xfrm>
                <a:off x="1828801" y="567095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E7FB5762-3BA1-4821-8367-2B06B71458A7}" type="TxLink">
                  <a:rPr lang="en-US" sz="1100" b="0" i="0" u="none" strike="noStrike">
                    <a:solidFill>
                      <a:schemeClr val="bg1"/>
                    </a:solidFill>
                    <a:latin typeface="Avenir Next LT Pro" panose="020B0504020202020204" pitchFamily="34" charset="0"/>
                    <a:cs typeface="Arial"/>
                  </a:rPr>
                  <a:pPr algn="r"/>
                  <a:t> 3,481 </a:t>
                </a:fld>
                <a:endParaRPr lang="en-CA" sz="1100">
                  <a:solidFill>
                    <a:schemeClr val="bg1"/>
                  </a:solidFill>
                  <a:latin typeface="Avenir Next LT Pro" panose="020B0504020202020204" pitchFamily="34" charset="0"/>
                </a:endParaRPr>
              </a:p>
            </xdr:txBody>
          </xdr:sp>
          <xdr:sp macro="" textlink="Pivot_tables!M17">
            <xdr:nvSpPr>
              <xdr:cNvPr id="87" name="TextBox 86">
                <a:extLst>
                  <a:ext uri="{FF2B5EF4-FFF2-40B4-BE49-F238E27FC236}">
                    <a16:creationId xmlns:a16="http://schemas.microsoft.com/office/drawing/2014/main" id="{00000000-0008-0000-0000-000057000000}"/>
                  </a:ext>
                </a:extLst>
              </xdr:cNvPr>
              <xdr:cNvSpPr txBox="1"/>
            </xdr:nvSpPr>
            <xdr:spPr>
              <a:xfrm>
                <a:off x="1828801" y="590848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3C449A45-9674-4478-928F-B97654A7D3E4}" type="TxLink">
                  <a:rPr lang="en-US" sz="1100" b="0" i="0" u="none" strike="noStrike">
                    <a:solidFill>
                      <a:schemeClr val="bg1"/>
                    </a:solidFill>
                    <a:latin typeface="Avenir Next LT Pro" panose="020B0504020202020204" pitchFamily="34" charset="0"/>
                    <a:cs typeface="Arial"/>
                  </a:rPr>
                  <a:pPr algn="r"/>
                  <a:t> 2,744 </a:t>
                </a:fld>
                <a:endParaRPr lang="en-CA" sz="1100">
                  <a:solidFill>
                    <a:schemeClr val="bg1"/>
                  </a:solidFill>
                  <a:latin typeface="Avenir Next LT Pro" panose="020B0504020202020204" pitchFamily="34" charset="0"/>
                </a:endParaRPr>
              </a:p>
            </xdr:txBody>
          </xdr:sp>
          <xdr:sp macro="" textlink="Pivot_tables!M18">
            <xdr:nvSpPr>
              <xdr:cNvPr id="88" name="TextBox 87">
                <a:extLst>
                  <a:ext uri="{FF2B5EF4-FFF2-40B4-BE49-F238E27FC236}">
                    <a16:creationId xmlns:a16="http://schemas.microsoft.com/office/drawing/2014/main" id="{00000000-0008-0000-0000-000058000000}"/>
                  </a:ext>
                </a:extLst>
              </xdr:cNvPr>
              <xdr:cNvSpPr txBox="1"/>
            </xdr:nvSpPr>
            <xdr:spPr>
              <a:xfrm>
                <a:off x="1828801" y="614601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B8733CB3-D15F-44D1-9801-EC0BE91480BA}" type="TxLink">
                  <a:rPr lang="en-US" sz="1100" b="0" i="0" u="none" strike="noStrike">
                    <a:solidFill>
                      <a:schemeClr val="bg1"/>
                    </a:solidFill>
                    <a:latin typeface="Avenir Next LT Pro"/>
                    <a:cs typeface="Arial"/>
                  </a:rPr>
                  <a:pPr algn="r"/>
                  <a:t> 501 </a:t>
                </a:fld>
                <a:endParaRPr lang="en-CA" sz="1100">
                  <a:solidFill>
                    <a:schemeClr val="bg1"/>
                  </a:solidFill>
                  <a:latin typeface="Avenir Next LT Pro" panose="020B0504020202020204" pitchFamily="34" charset="0"/>
                </a:endParaRPr>
              </a:p>
            </xdr:txBody>
          </xdr:sp>
          <xdr:sp macro="" textlink="Pivot_tables!M19">
            <xdr:nvSpPr>
              <xdr:cNvPr id="89" name="TextBox 88">
                <a:extLst>
                  <a:ext uri="{FF2B5EF4-FFF2-40B4-BE49-F238E27FC236}">
                    <a16:creationId xmlns:a16="http://schemas.microsoft.com/office/drawing/2014/main" id="{00000000-0008-0000-0000-000059000000}"/>
                  </a:ext>
                </a:extLst>
              </xdr:cNvPr>
              <xdr:cNvSpPr txBox="1"/>
            </xdr:nvSpPr>
            <xdr:spPr>
              <a:xfrm>
                <a:off x="1828801" y="638354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A99F4E8A-F388-4734-AF59-39FFCFA8BD4B}" type="TxLink">
                  <a:rPr lang="en-US" sz="1100" b="0" i="0" u="none" strike="noStrike">
                    <a:solidFill>
                      <a:schemeClr val="bg1"/>
                    </a:solidFill>
                    <a:latin typeface="Avenir Next LT Pro" panose="020B0504020202020204" pitchFamily="34" charset="0"/>
                    <a:cs typeface="Arial"/>
                  </a:rPr>
                  <a:pPr algn="r"/>
                  <a:t> 423 </a:t>
                </a:fld>
                <a:endParaRPr lang="en-CA" sz="1100">
                  <a:solidFill>
                    <a:schemeClr val="bg1"/>
                  </a:solidFill>
                  <a:latin typeface="Avenir Next LT Pro" panose="020B0504020202020204" pitchFamily="34" charset="0"/>
                </a:endParaRPr>
              </a:p>
            </xdr:txBody>
          </xdr:sp>
          <xdr:sp macro="" textlink="Pivot_tables!M20">
            <xdr:nvSpPr>
              <xdr:cNvPr id="90" name="TextBox 89">
                <a:extLst>
                  <a:ext uri="{FF2B5EF4-FFF2-40B4-BE49-F238E27FC236}">
                    <a16:creationId xmlns:a16="http://schemas.microsoft.com/office/drawing/2014/main" id="{00000000-0008-0000-0000-00005A000000}"/>
                  </a:ext>
                </a:extLst>
              </xdr:cNvPr>
              <xdr:cNvSpPr txBox="1"/>
            </xdr:nvSpPr>
            <xdr:spPr>
              <a:xfrm>
                <a:off x="1828801" y="662107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ED70566B-7268-436D-9F65-58B557A77E99}" type="TxLink">
                  <a:rPr lang="en-US" sz="1100" b="0" i="0" u="none" strike="noStrike">
                    <a:solidFill>
                      <a:schemeClr val="bg1"/>
                    </a:solidFill>
                    <a:latin typeface="Avenir Next LT Pro" panose="020B0504020202020204" pitchFamily="34" charset="0"/>
                    <a:cs typeface="Arial"/>
                  </a:rPr>
                  <a:pPr algn="r"/>
                  <a:t> 1,889 </a:t>
                </a:fld>
                <a:endParaRPr lang="en-CA" sz="1100">
                  <a:solidFill>
                    <a:schemeClr val="bg1"/>
                  </a:solidFill>
                  <a:latin typeface="Avenir Next LT Pro" panose="020B0504020202020204" pitchFamily="34" charset="0"/>
                </a:endParaRPr>
              </a:p>
            </xdr:txBody>
          </xdr:sp>
          <xdr:sp macro="" textlink="Pivot_tables!M21">
            <xdr:nvSpPr>
              <xdr:cNvPr id="91" name="TextBox 90">
                <a:extLst>
                  <a:ext uri="{FF2B5EF4-FFF2-40B4-BE49-F238E27FC236}">
                    <a16:creationId xmlns:a16="http://schemas.microsoft.com/office/drawing/2014/main" id="{00000000-0008-0000-0000-00005B000000}"/>
                  </a:ext>
                </a:extLst>
              </xdr:cNvPr>
              <xdr:cNvSpPr txBox="1"/>
            </xdr:nvSpPr>
            <xdr:spPr>
              <a:xfrm>
                <a:off x="1828801" y="685860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AF2B2AB4-A1BB-4402-98E3-59A9BCB231A8}" type="TxLink">
                  <a:rPr lang="en-US" sz="1100" b="0" i="0" u="none" strike="noStrike">
                    <a:solidFill>
                      <a:schemeClr val="bg1"/>
                    </a:solidFill>
                    <a:latin typeface="Avenir Next LT Pro" panose="020B0504020202020204" pitchFamily="34" charset="0"/>
                    <a:cs typeface="Arial"/>
                  </a:rPr>
                  <a:pPr algn="r"/>
                  <a:t> 882 </a:t>
                </a:fld>
                <a:endParaRPr lang="en-CA" sz="1100">
                  <a:solidFill>
                    <a:schemeClr val="bg1"/>
                  </a:solidFill>
                  <a:latin typeface="Avenir Next LT Pro" panose="020B0504020202020204" pitchFamily="34" charset="0"/>
                </a:endParaRPr>
              </a:p>
            </xdr:txBody>
          </xdr:sp>
          <xdr:sp macro="" textlink="Pivot_tables!M22">
            <xdr:nvSpPr>
              <xdr:cNvPr id="92" name="TextBox 91">
                <a:extLst>
                  <a:ext uri="{FF2B5EF4-FFF2-40B4-BE49-F238E27FC236}">
                    <a16:creationId xmlns:a16="http://schemas.microsoft.com/office/drawing/2014/main" id="{00000000-0008-0000-0000-00005C000000}"/>
                  </a:ext>
                </a:extLst>
              </xdr:cNvPr>
              <xdr:cNvSpPr txBox="1"/>
            </xdr:nvSpPr>
            <xdr:spPr>
              <a:xfrm>
                <a:off x="1828801" y="709612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B3FB8D14-B831-4CDE-9E7D-B02CE7A15996}" type="TxLink">
                  <a:rPr lang="en-US" sz="1100" b="0" i="0" u="none" strike="noStrike">
                    <a:solidFill>
                      <a:schemeClr val="bg1"/>
                    </a:solidFill>
                    <a:latin typeface="Avenir Next LT Pro" panose="020B0504020202020204" pitchFamily="34" charset="0"/>
                    <a:cs typeface="Arial"/>
                  </a:rPr>
                  <a:pPr algn="r"/>
                  <a:t> 2,358 </a:t>
                </a:fld>
                <a:endParaRPr lang="en-CA" sz="1100">
                  <a:solidFill>
                    <a:schemeClr val="bg1"/>
                  </a:solidFill>
                  <a:latin typeface="Avenir Next LT Pro" panose="020B0504020202020204" pitchFamily="34" charset="0"/>
                </a:endParaRPr>
              </a:p>
            </xdr:txBody>
          </xdr:sp>
          <xdr:sp macro="" textlink="Pivot_tables!M6">
            <xdr:nvSpPr>
              <xdr:cNvPr id="93" name="TextBox 92">
                <a:extLst>
                  <a:ext uri="{FF2B5EF4-FFF2-40B4-BE49-F238E27FC236}">
                    <a16:creationId xmlns:a16="http://schemas.microsoft.com/office/drawing/2014/main" id="{00000000-0008-0000-0000-00005D000000}"/>
                  </a:ext>
                </a:extLst>
              </xdr:cNvPr>
              <xdr:cNvSpPr txBox="1"/>
            </xdr:nvSpPr>
            <xdr:spPr>
              <a:xfrm>
                <a:off x="1828801" y="330517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501500F5-E29D-40E6-8E39-E99301B166EB}" type="TxLink">
                  <a:rPr lang="en-US" sz="1100" b="0" i="0" u="none" strike="noStrike">
                    <a:solidFill>
                      <a:schemeClr val="bg1"/>
                    </a:solidFill>
                    <a:latin typeface="Avenir Next LT Pro" panose="020B0504020202020204" pitchFamily="34" charset="0"/>
                    <a:cs typeface="Arial"/>
                  </a:rPr>
                  <a:pPr algn="r"/>
                  <a:t> 1,187 </a:t>
                </a:fld>
                <a:endParaRPr lang="en-US" sz="1100">
                  <a:solidFill>
                    <a:schemeClr val="bg1"/>
                  </a:solidFill>
                  <a:latin typeface="Avenir Next LT Pro" panose="020B0504020202020204" pitchFamily="34" charset="0"/>
                </a:endParaRPr>
              </a:p>
            </xdr:txBody>
          </xdr:sp>
        </xdr:grpSp>
        <xdr:sp macro="" textlink="">
          <xdr:nvSpPr>
            <xdr:cNvPr id="95" name="TextBox 94">
              <a:extLst>
                <a:ext uri="{FF2B5EF4-FFF2-40B4-BE49-F238E27FC236}">
                  <a16:creationId xmlns:a16="http://schemas.microsoft.com/office/drawing/2014/main" id="{00000000-0008-0000-0000-00005F000000}"/>
                </a:ext>
              </a:extLst>
            </xdr:cNvPr>
            <xdr:cNvSpPr txBox="1"/>
          </xdr:nvSpPr>
          <xdr:spPr>
            <a:xfrm>
              <a:off x="2471590" y="3905250"/>
              <a:ext cx="890736" cy="295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r>
                <a:rPr lang="en-US" sz="1400" u="none">
                  <a:solidFill>
                    <a:srgbClr val="B1F5F1"/>
                  </a:solidFill>
                  <a:latin typeface="Avenir Next LT Pro" panose="020B0504020202020204" pitchFamily="34" charset="0"/>
                </a:rPr>
                <a:t>Quantity</a:t>
              </a:r>
            </a:p>
          </xdr:txBody>
        </xdr:sp>
      </xdr:grpSp>
      <xdr:grpSp>
        <xdr:nvGrpSpPr>
          <xdr:cNvPr id="122" name="Group 121">
            <a:extLst>
              <a:ext uri="{FF2B5EF4-FFF2-40B4-BE49-F238E27FC236}">
                <a16:creationId xmlns:a16="http://schemas.microsoft.com/office/drawing/2014/main" id="{00000000-0008-0000-0000-00007A000000}"/>
              </a:ext>
            </a:extLst>
          </xdr:cNvPr>
          <xdr:cNvGrpSpPr/>
        </xdr:nvGrpSpPr>
        <xdr:grpSpPr>
          <a:xfrm>
            <a:off x="3448050" y="4457700"/>
            <a:ext cx="1090462" cy="4410075"/>
            <a:chOff x="3205014" y="3905250"/>
            <a:chExt cx="1090462" cy="4410075"/>
          </a:xfrm>
        </xdr:grpSpPr>
        <xdr:grpSp>
          <xdr:nvGrpSpPr>
            <xdr:cNvPr id="119" name="Group 118">
              <a:extLst>
                <a:ext uri="{FF2B5EF4-FFF2-40B4-BE49-F238E27FC236}">
                  <a16:creationId xmlns:a16="http://schemas.microsoft.com/office/drawing/2014/main" id="{00000000-0008-0000-0000-000077000000}"/>
                </a:ext>
              </a:extLst>
            </xdr:cNvPr>
            <xdr:cNvGrpSpPr/>
          </xdr:nvGrpSpPr>
          <xdr:grpSpPr>
            <a:xfrm>
              <a:off x="3552525" y="4286250"/>
              <a:ext cx="742950" cy="4029075"/>
              <a:chOff x="3552525" y="4286250"/>
              <a:chExt cx="742950" cy="4029075"/>
            </a:xfrm>
          </xdr:grpSpPr>
          <xdr:sp macro="" textlink="Pivot_tables!N7">
            <xdr:nvSpPr>
              <xdr:cNvPr id="97" name="TextBox 96">
                <a:extLst>
                  <a:ext uri="{FF2B5EF4-FFF2-40B4-BE49-F238E27FC236}">
                    <a16:creationId xmlns:a16="http://schemas.microsoft.com/office/drawing/2014/main" id="{00000000-0008-0000-0000-000061000000}"/>
                  </a:ext>
                </a:extLst>
              </xdr:cNvPr>
              <xdr:cNvSpPr txBox="1"/>
            </xdr:nvSpPr>
            <xdr:spPr>
              <a:xfrm>
                <a:off x="3552525" y="451425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1DC1CD49-B7F6-402F-BB7B-DD6FD5B81A3A}" type="TxLink">
                  <a:rPr lang="en-US" sz="1100" b="0" i="0" u="none" strike="noStrike">
                    <a:solidFill>
                      <a:schemeClr val="bg1"/>
                    </a:solidFill>
                    <a:latin typeface="Avenir Next LT Pro"/>
                    <a:cs typeface="Arial"/>
                  </a:rPr>
                  <a:pPr algn="r"/>
                  <a:t>10.17%</a:t>
                </a:fld>
                <a:endParaRPr lang="en-CA" sz="1100">
                  <a:solidFill>
                    <a:schemeClr val="bg1"/>
                  </a:solidFill>
                  <a:latin typeface="Avenir Next LT Pro" panose="020B0504020202020204" pitchFamily="34" charset="0"/>
                </a:endParaRPr>
              </a:p>
            </xdr:txBody>
          </xdr:sp>
          <xdr:sp macro="" textlink="Pivot_tables!N8">
            <xdr:nvSpPr>
              <xdr:cNvPr id="98" name="TextBox 97">
                <a:extLst>
                  <a:ext uri="{FF2B5EF4-FFF2-40B4-BE49-F238E27FC236}">
                    <a16:creationId xmlns:a16="http://schemas.microsoft.com/office/drawing/2014/main" id="{00000000-0008-0000-0000-000062000000}"/>
                  </a:ext>
                </a:extLst>
              </xdr:cNvPr>
              <xdr:cNvSpPr txBox="1"/>
            </xdr:nvSpPr>
            <xdr:spPr>
              <a:xfrm>
                <a:off x="3552525" y="475178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55A2B062-F4CA-4BA0-8D9D-7962DF85B2E9}" type="TxLink">
                  <a:rPr lang="en-US" sz="1100" b="0" i="0" u="none" strike="noStrike">
                    <a:solidFill>
                      <a:schemeClr val="bg1"/>
                    </a:solidFill>
                    <a:latin typeface="Avenir Next LT Pro"/>
                    <a:cs typeface="Arial"/>
                  </a:rPr>
                  <a:pPr algn="r"/>
                  <a:t>2.14%</a:t>
                </a:fld>
                <a:endParaRPr lang="en-CA" sz="1100">
                  <a:solidFill>
                    <a:schemeClr val="bg1"/>
                  </a:solidFill>
                  <a:latin typeface="Avenir Next LT Pro" panose="020B0504020202020204" pitchFamily="34" charset="0"/>
                </a:endParaRPr>
              </a:p>
            </xdr:txBody>
          </xdr:sp>
          <xdr:sp macro="" textlink="Pivot_tables!N9">
            <xdr:nvSpPr>
              <xdr:cNvPr id="99" name="TextBox 98">
                <a:extLst>
                  <a:ext uri="{FF2B5EF4-FFF2-40B4-BE49-F238E27FC236}">
                    <a16:creationId xmlns:a16="http://schemas.microsoft.com/office/drawing/2014/main" id="{00000000-0008-0000-0000-000063000000}"/>
                  </a:ext>
                </a:extLst>
              </xdr:cNvPr>
              <xdr:cNvSpPr txBox="1"/>
            </xdr:nvSpPr>
            <xdr:spPr>
              <a:xfrm>
                <a:off x="3552525" y="498931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F381FD76-9266-4CDC-96E5-E9FCBE75CCD3}" type="TxLink">
                  <a:rPr lang="en-US" sz="1100" b="0" i="0" u="none" strike="noStrike">
                    <a:solidFill>
                      <a:schemeClr val="bg1"/>
                    </a:solidFill>
                    <a:latin typeface="Avenir Next LT Pro"/>
                    <a:cs typeface="Arial"/>
                  </a:rPr>
                  <a:pPr algn="r"/>
                  <a:t>4.53%</a:t>
                </a:fld>
                <a:endParaRPr lang="en-CA" sz="1100">
                  <a:solidFill>
                    <a:schemeClr val="bg1"/>
                  </a:solidFill>
                  <a:latin typeface="Avenir Next LT Pro" panose="020B0504020202020204" pitchFamily="34" charset="0"/>
                </a:endParaRPr>
              </a:p>
            </xdr:txBody>
          </xdr:sp>
          <xdr:sp macro="" textlink="Pivot_tables!N10">
            <xdr:nvSpPr>
              <xdr:cNvPr id="100" name="TextBox 99">
                <a:extLst>
                  <a:ext uri="{FF2B5EF4-FFF2-40B4-BE49-F238E27FC236}">
                    <a16:creationId xmlns:a16="http://schemas.microsoft.com/office/drawing/2014/main" id="{00000000-0008-0000-0000-000064000000}"/>
                  </a:ext>
                </a:extLst>
              </xdr:cNvPr>
              <xdr:cNvSpPr txBox="1"/>
            </xdr:nvSpPr>
            <xdr:spPr>
              <a:xfrm>
                <a:off x="3552525" y="522684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1FB30637-D9F5-4242-9E66-E0710D6F2977}" type="TxLink">
                  <a:rPr lang="en-US" sz="1100" b="0" i="0" u="none" strike="noStrike">
                    <a:solidFill>
                      <a:schemeClr val="bg1"/>
                    </a:solidFill>
                    <a:latin typeface="Avenir Next LT Pro"/>
                    <a:cs typeface="Arial"/>
                  </a:rPr>
                  <a:pPr algn="r"/>
                  <a:t>9.88%</a:t>
                </a:fld>
                <a:endParaRPr lang="en-CA" sz="1100">
                  <a:solidFill>
                    <a:schemeClr val="bg1"/>
                  </a:solidFill>
                  <a:latin typeface="Avenir Next LT Pro" panose="020B0504020202020204" pitchFamily="34" charset="0"/>
                </a:endParaRPr>
              </a:p>
            </xdr:txBody>
          </xdr:sp>
          <xdr:sp macro="" textlink="Pivot_tables!N11">
            <xdr:nvSpPr>
              <xdr:cNvPr id="101" name="TextBox 100">
                <a:extLst>
                  <a:ext uri="{FF2B5EF4-FFF2-40B4-BE49-F238E27FC236}">
                    <a16:creationId xmlns:a16="http://schemas.microsoft.com/office/drawing/2014/main" id="{00000000-0008-0000-0000-000065000000}"/>
                  </a:ext>
                </a:extLst>
              </xdr:cNvPr>
              <xdr:cNvSpPr txBox="1"/>
            </xdr:nvSpPr>
            <xdr:spPr>
              <a:xfrm>
                <a:off x="3552525" y="546437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EBF4B232-D5BB-4489-91D8-9B87F7135C50}" type="TxLink">
                  <a:rPr lang="en-US" sz="1100" b="0" i="0" u="none" strike="noStrike">
                    <a:solidFill>
                      <a:schemeClr val="bg1"/>
                    </a:solidFill>
                    <a:latin typeface="Avenir Next LT Pro"/>
                    <a:cs typeface="Arial"/>
                  </a:rPr>
                  <a:pPr algn="r"/>
                  <a:t>0.72%</a:t>
                </a:fld>
                <a:endParaRPr lang="en-CA" sz="1100">
                  <a:solidFill>
                    <a:schemeClr val="bg1"/>
                  </a:solidFill>
                  <a:latin typeface="Avenir Next LT Pro" panose="020B0504020202020204" pitchFamily="34" charset="0"/>
                </a:endParaRPr>
              </a:p>
            </xdr:txBody>
          </xdr:sp>
          <xdr:sp macro="" textlink="Pivot_tables!N12">
            <xdr:nvSpPr>
              <xdr:cNvPr id="102" name="TextBox 101">
                <a:extLst>
                  <a:ext uri="{FF2B5EF4-FFF2-40B4-BE49-F238E27FC236}">
                    <a16:creationId xmlns:a16="http://schemas.microsoft.com/office/drawing/2014/main" id="{00000000-0008-0000-0000-000066000000}"/>
                  </a:ext>
                </a:extLst>
              </xdr:cNvPr>
              <xdr:cNvSpPr txBox="1"/>
            </xdr:nvSpPr>
            <xdr:spPr>
              <a:xfrm>
                <a:off x="3552525" y="570190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A05B6E00-FAFC-4C38-8E14-F1E0444A585E}" type="TxLink">
                  <a:rPr lang="en-US" sz="1100" b="0" i="0" u="none" strike="noStrike">
                    <a:solidFill>
                      <a:schemeClr val="bg1"/>
                    </a:solidFill>
                    <a:latin typeface="Avenir Next LT Pro"/>
                    <a:cs typeface="Arial"/>
                  </a:rPr>
                  <a:pPr algn="r"/>
                  <a:t>2.35%</a:t>
                </a:fld>
                <a:endParaRPr lang="en-CA" sz="1100">
                  <a:solidFill>
                    <a:schemeClr val="bg1"/>
                  </a:solidFill>
                  <a:latin typeface="Avenir Next LT Pro" panose="020B0504020202020204" pitchFamily="34" charset="0"/>
                </a:endParaRPr>
              </a:p>
            </xdr:txBody>
          </xdr:sp>
          <xdr:sp macro="" textlink="Pivot_tables!N13">
            <xdr:nvSpPr>
              <xdr:cNvPr id="103" name="TextBox 102">
                <a:extLst>
                  <a:ext uri="{FF2B5EF4-FFF2-40B4-BE49-F238E27FC236}">
                    <a16:creationId xmlns:a16="http://schemas.microsoft.com/office/drawing/2014/main" id="{00000000-0008-0000-0000-000067000000}"/>
                  </a:ext>
                </a:extLst>
              </xdr:cNvPr>
              <xdr:cNvSpPr txBox="1"/>
            </xdr:nvSpPr>
            <xdr:spPr>
              <a:xfrm>
                <a:off x="3552525" y="593943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53B8928A-7264-43BA-AF3E-CA9DD650F091}" type="TxLink">
                  <a:rPr lang="en-US" sz="1100" b="0" i="0" u="none" strike="noStrike">
                    <a:solidFill>
                      <a:schemeClr val="bg1"/>
                    </a:solidFill>
                    <a:latin typeface="Avenir Next LT Pro"/>
                    <a:cs typeface="Arial"/>
                  </a:rPr>
                  <a:pPr algn="r"/>
                  <a:t>3.60%</a:t>
                </a:fld>
                <a:endParaRPr lang="en-CA" sz="1100">
                  <a:solidFill>
                    <a:schemeClr val="bg1"/>
                  </a:solidFill>
                  <a:latin typeface="Avenir Next LT Pro" panose="020B0504020202020204" pitchFamily="34" charset="0"/>
                </a:endParaRPr>
              </a:p>
            </xdr:txBody>
          </xdr:sp>
          <xdr:sp macro="" textlink="Pivot_tables!N14">
            <xdr:nvSpPr>
              <xdr:cNvPr id="104" name="TextBox 103">
                <a:extLst>
                  <a:ext uri="{FF2B5EF4-FFF2-40B4-BE49-F238E27FC236}">
                    <a16:creationId xmlns:a16="http://schemas.microsoft.com/office/drawing/2014/main" id="{00000000-0008-0000-0000-000068000000}"/>
                  </a:ext>
                </a:extLst>
              </xdr:cNvPr>
              <xdr:cNvSpPr txBox="1"/>
            </xdr:nvSpPr>
            <xdr:spPr>
              <a:xfrm>
                <a:off x="3552525" y="617696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660B63F2-5EBE-4C41-943E-19F2B7E24ABB}" type="TxLink">
                  <a:rPr lang="en-US" sz="1100" b="0" i="0" u="none" strike="noStrike">
                    <a:solidFill>
                      <a:schemeClr val="bg1"/>
                    </a:solidFill>
                    <a:latin typeface="Avenir Next LT Pro"/>
                    <a:cs typeface="Arial"/>
                  </a:rPr>
                  <a:pPr algn="r"/>
                  <a:t>9.39%</a:t>
                </a:fld>
                <a:endParaRPr lang="en-CA" sz="1100">
                  <a:solidFill>
                    <a:schemeClr val="bg1"/>
                  </a:solidFill>
                  <a:latin typeface="Avenir Next LT Pro" panose="020B0504020202020204" pitchFamily="34" charset="0"/>
                </a:endParaRPr>
              </a:p>
            </xdr:txBody>
          </xdr:sp>
          <xdr:sp macro="" textlink="Pivot_tables!N15">
            <xdr:nvSpPr>
              <xdr:cNvPr id="105" name="TextBox 104">
                <a:extLst>
                  <a:ext uri="{FF2B5EF4-FFF2-40B4-BE49-F238E27FC236}">
                    <a16:creationId xmlns:a16="http://schemas.microsoft.com/office/drawing/2014/main" id="{00000000-0008-0000-0000-000069000000}"/>
                  </a:ext>
                </a:extLst>
              </xdr:cNvPr>
              <xdr:cNvSpPr txBox="1"/>
            </xdr:nvSpPr>
            <xdr:spPr>
              <a:xfrm>
                <a:off x="3552525" y="641449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9C60FC61-4788-4F0D-BC18-4B61889B7083}" type="TxLink">
                  <a:rPr lang="en-US" sz="1100" b="0" i="0" u="none" strike="noStrike">
                    <a:solidFill>
                      <a:schemeClr val="bg1"/>
                    </a:solidFill>
                    <a:latin typeface="Avenir Next LT Pro"/>
                    <a:cs typeface="Arial"/>
                  </a:rPr>
                  <a:pPr algn="r"/>
                  <a:t>3.58%</a:t>
                </a:fld>
                <a:endParaRPr lang="en-CA" sz="1100">
                  <a:solidFill>
                    <a:schemeClr val="bg1"/>
                  </a:solidFill>
                  <a:latin typeface="Avenir Next LT Pro" panose="020B0504020202020204" pitchFamily="34" charset="0"/>
                </a:endParaRPr>
              </a:p>
            </xdr:txBody>
          </xdr:sp>
          <xdr:sp macro="" textlink="Pivot_tables!N16">
            <xdr:nvSpPr>
              <xdr:cNvPr id="106" name="TextBox 105">
                <a:extLst>
                  <a:ext uri="{FF2B5EF4-FFF2-40B4-BE49-F238E27FC236}">
                    <a16:creationId xmlns:a16="http://schemas.microsoft.com/office/drawing/2014/main" id="{00000000-0008-0000-0000-00006A000000}"/>
                  </a:ext>
                </a:extLst>
              </xdr:cNvPr>
              <xdr:cNvSpPr txBox="1"/>
            </xdr:nvSpPr>
            <xdr:spPr>
              <a:xfrm>
                <a:off x="3552525" y="665202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9CAC266F-A057-4057-A3C7-2D606C3A7289}" type="TxLink">
                  <a:rPr lang="en-US" sz="1100" b="0" i="0" u="none" strike="noStrike">
                    <a:solidFill>
                      <a:schemeClr val="bg1"/>
                    </a:solidFill>
                    <a:latin typeface="Avenir Next LT Pro"/>
                    <a:cs typeface="Arial"/>
                  </a:rPr>
                  <a:pPr algn="r"/>
                  <a:t>13.87%</a:t>
                </a:fld>
                <a:endParaRPr lang="en-CA" sz="1100">
                  <a:solidFill>
                    <a:schemeClr val="bg1"/>
                  </a:solidFill>
                  <a:latin typeface="Avenir Next LT Pro" panose="020B0504020202020204" pitchFamily="34" charset="0"/>
                </a:endParaRPr>
              </a:p>
            </xdr:txBody>
          </xdr:sp>
          <xdr:sp macro="" textlink="Pivot_tables!N17">
            <xdr:nvSpPr>
              <xdr:cNvPr id="107" name="TextBox 106">
                <a:extLst>
                  <a:ext uri="{FF2B5EF4-FFF2-40B4-BE49-F238E27FC236}">
                    <a16:creationId xmlns:a16="http://schemas.microsoft.com/office/drawing/2014/main" id="{00000000-0008-0000-0000-00006B000000}"/>
                  </a:ext>
                </a:extLst>
              </xdr:cNvPr>
              <xdr:cNvSpPr txBox="1"/>
            </xdr:nvSpPr>
            <xdr:spPr>
              <a:xfrm>
                <a:off x="3552525" y="688955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08DF5426-E4D8-4432-B944-EDDCF89082C5}" type="TxLink">
                  <a:rPr lang="en-US" sz="1100" b="0" i="0" u="none" strike="noStrike">
                    <a:solidFill>
                      <a:schemeClr val="bg1"/>
                    </a:solidFill>
                    <a:latin typeface="Avenir Next LT Pro"/>
                    <a:cs typeface="Arial"/>
                  </a:rPr>
                  <a:pPr algn="r"/>
                  <a:t>10.93%</a:t>
                </a:fld>
                <a:endParaRPr lang="en-CA" sz="1100">
                  <a:solidFill>
                    <a:schemeClr val="bg1"/>
                  </a:solidFill>
                  <a:latin typeface="Avenir Next LT Pro" panose="020B0504020202020204" pitchFamily="34" charset="0"/>
                </a:endParaRPr>
              </a:p>
            </xdr:txBody>
          </xdr:sp>
          <xdr:sp macro="" textlink="Pivot_tables!N18">
            <xdr:nvSpPr>
              <xdr:cNvPr id="108" name="TextBox 107">
                <a:extLst>
                  <a:ext uri="{FF2B5EF4-FFF2-40B4-BE49-F238E27FC236}">
                    <a16:creationId xmlns:a16="http://schemas.microsoft.com/office/drawing/2014/main" id="{00000000-0008-0000-0000-00006C000000}"/>
                  </a:ext>
                </a:extLst>
              </xdr:cNvPr>
              <xdr:cNvSpPr txBox="1"/>
            </xdr:nvSpPr>
            <xdr:spPr>
              <a:xfrm>
                <a:off x="3552525" y="712708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9C4187F5-F30D-41AA-B4A3-94B36E9C5A18}" type="TxLink">
                  <a:rPr lang="en-US" sz="1100" b="0" i="0" u="none" strike="noStrike">
                    <a:solidFill>
                      <a:schemeClr val="bg1"/>
                    </a:solidFill>
                    <a:latin typeface="Avenir Next LT Pro"/>
                    <a:cs typeface="Arial"/>
                  </a:rPr>
                  <a:pPr algn="r"/>
                  <a:t>2.00%</a:t>
                </a:fld>
                <a:endParaRPr lang="en-CA" sz="1100">
                  <a:solidFill>
                    <a:schemeClr val="bg1"/>
                  </a:solidFill>
                  <a:latin typeface="Avenir Next LT Pro" panose="020B0504020202020204" pitchFamily="34" charset="0"/>
                </a:endParaRPr>
              </a:p>
            </xdr:txBody>
          </xdr:sp>
          <xdr:sp macro="" textlink="Pivot_tables!N19">
            <xdr:nvSpPr>
              <xdr:cNvPr id="109" name="TextBox 108">
                <a:extLst>
                  <a:ext uri="{FF2B5EF4-FFF2-40B4-BE49-F238E27FC236}">
                    <a16:creationId xmlns:a16="http://schemas.microsoft.com/office/drawing/2014/main" id="{00000000-0008-0000-0000-00006D000000}"/>
                  </a:ext>
                </a:extLst>
              </xdr:cNvPr>
              <xdr:cNvSpPr txBox="1"/>
            </xdr:nvSpPr>
            <xdr:spPr>
              <a:xfrm>
                <a:off x="3552525" y="736461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A5E55895-62F8-4ED4-976D-06057E59332E}" type="TxLink">
                  <a:rPr lang="en-US" sz="1100" b="0" i="0" u="none" strike="noStrike">
                    <a:solidFill>
                      <a:schemeClr val="bg1"/>
                    </a:solidFill>
                    <a:latin typeface="Avenir Next LT Pro"/>
                    <a:cs typeface="Arial"/>
                  </a:rPr>
                  <a:pPr algn="r"/>
                  <a:t>1.69%</a:t>
                </a:fld>
                <a:endParaRPr lang="en-CA" sz="1100">
                  <a:solidFill>
                    <a:schemeClr val="bg1"/>
                  </a:solidFill>
                  <a:latin typeface="Avenir Next LT Pro" panose="020B0504020202020204" pitchFamily="34" charset="0"/>
                </a:endParaRPr>
              </a:p>
            </xdr:txBody>
          </xdr:sp>
          <xdr:sp macro="" textlink="Pivot_tables!N20">
            <xdr:nvSpPr>
              <xdr:cNvPr id="110" name="TextBox 109">
                <a:extLst>
                  <a:ext uri="{FF2B5EF4-FFF2-40B4-BE49-F238E27FC236}">
                    <a16:creationId xmlns:a16="http://schemas.microsoft.com/office/drawing/2014/main" id="{00000000-0008-0000-0000-00006E000000}"/>
                  </a:ext>
                </a:extLst>
              </xdr:cNvPr>
              <xdr:cNvSpPr txBox="1"/>
            </xdr:nvSpPr>
            <xdr:spPr>
              <a:xfrm>
                <a:off x="3552525" y="760214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AA6CA955-A252-492E-9291-16BF79041D46}" type="TxLink">
                  <a:rPr lang="en-US" sz="1100" b="0" i="0" u="none" strike="noStrike">
                    <a:solidFill>
                      <a:schemeClr val="bg1"/>
                    </a:solidFill>
                    <a:latin typeface="Avenir Next LT Pro"/>
                    <a:cs typeface="Arial"/>
                  </a:rPr>
                  <a:pPr algn="r"/>
                  <a:t>7.53%</a:t>
                </a:fld>
                <a:endParaRPr lang="en-CA" sz="1100">
                  <a:solidFill>
                    <a:schemeClr val="bg1"/>
                  </a:solidFill>
                  <a:latin typeface="Avenir Next LT Pro" panose="020B0504020202020204" pitchFamily="34" charset="0"/>
                </a:endParaRPr>
              </a:p>
            </xdr:txBody>
          </xdr:sp>
          <xdr:sp macro="" textlink="Pivot_tables!N21">
            <xdr:nvSpPr>
              <xdr:cNvPr id="111" name="TextBox 110">
                <a:extLst>
                  <a:ext uri="{FF2B5EF4-FFF2-40B4-BE49-F238E27FC236}">
                    <a16:creationId xmlns:a16="http://schemas.microsoft.com/office/drawing/2014/main" id="{00000000-0008-0000-0000-00006F000000}"/>
                  </a:ext>
                </a:extLst>
              </xdr:cNvPr>
              <xdr:cNvSpPr txBox="1"/>
            </xdr:nvSpPr>
            <xdr:spPr>
              <a:xfrm>
                <a:off x="3552525" y="7839675"/>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3D34AB39-88B2-43C7-8FBC-883571B72547}" type="TxLink">
                  <a:rPr lang="en-US" sz="1100" b="0" i="0" u="none" strike="noStrike">
                    <a:solidFill>
                      <a:schemeClr val="bg1"/>
                    </a:solidFill>
                    <a:latin typeface="Avenir Next LT Pro"/>
                    <a:cs typeface="Arial"/>
                  </a:rPr>
                  <a:pPr algn="r"/>
                  <a:t>3.51%</a:t>
                </a:fld>
                <a:endParaRPr lang="en-CA" sz="1100">
                  <a:solidFill>
                    <a:schemeClr val="bg1"/>
                  </a:solidFill>
                  <a:latin typeface="Avenir Next LT Pro" panose="020B0504020202020204" pitchFamily="34" charset="0"/>
                </a:endParaRPr>
              </a:p>
            </xdr:txBody>
          </xdr:sp>
          <xdr:sp macro="" textlink="Pivot_tables!N22">
            <xdr:nvSpPr>
              <xdr:cNvPr id="112" name="TextBox 111">
                <a:extLst>
                  <a:ext uri="{FF2B5EF4-FFF2-40B4-BE49-F238E27FC236}">
                    <a16:creationId xmlns:a16="http://schemas.microsoft.com/office/drawing/2014/main" id="{00000000-0008-0000-0000-000070000000}"/>
                  </a:ext>
                </a:extLst>
              </xdr:cNvPr>
              <xdr:cNvSpPr txBox="1"/>
            </xdr:nvSpPr>
            <xdr:spPr>
              <a:xfrm>
                <a:off x="3552525" y="807720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5CBF5C3C-9F7B-47A6-B2D3-3A407E13A96F}" type="TxLink">
                  <a:rPr lang="en-US" sz="1100" b="0" i="0" u="none" strike="noStrike">
                    <a:solidFill>
                      <a:schemeClr val="bg1"/>
                    </a:solidFill>
                    <a:latin typeface="Avenir Next LT Pro"/>
                    <a:cs typeface="Arial"/>
                  </a:rPr>
                  <a:pPr algn="r"/>
                  <a:t>9.39%</a:t>
                </a:fld>
                <a:endParaRPr lang="en-CA" sz="1100">
                  <a:solidFill>
                    <a:schemeClr val="bg1"/>
                  </a:solidFill>
                  <a:latin typeface="Avenir Next LT Pro" panose="020B0504020202020204" pitchFamily="34" charset="0"/>
                </a:endParaRPr>
              </a:p>
            </xdr:txBody>
          </xdr:sp>
          <xdr:sp macro="" textlink="Pivot_tables!N6">
            <xdr:nvSpPr>
              <xdr:cNvPr id="113" name="TextBox 112">
                <a:extLst>
                  <a:ext uri="{FF2B5EF4-FFF2-40B4-BE49-F238E27FC236}">
                    <a16:creationId xmlns:a16="http://schemas.microsoft.com/office/drawing/2014/main" id="{00000000-0008-0000-0000-000071000000}"/>
                  </a:ext>
                </a:extLst>
              </xdr:cNvPr>
              <xdr:cNvSpPr txBox="1"/>
            </xdr:nvSpPr>
            <xdr:spPr>
              <a:xfrm>
                <a:off x="3552525" y="4286250"/>
                <a:ext cx="742950" cy="2381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FF5C124B-A3F2-4213-960B-D89266D6F483}" type="TxLink">
                  <a:rPr lang="en-US" sz="1100" b="0" i="0" u="none" strike="noStrike">
                    <a:solidFill>
                      <a:schemeClr val="bg1"/>
                    </a:solidFill>
                    <a:latin typeface="Avenir Next LT Pro"/>
                    <a:cs typeface="Arial"/>
                  </a:rPr>
                  <a:pPr algn="r"/>
                  <a:t>4.73%</a:t>
                </a:fld>
                <a:endParaRPr lang="en-CA" sz="1100">
                  <a:solidFill>
                    <a:schemeClr val="bg1"/>
                  </a:solidFill>
                  <a:latin typeface="Avenir Next LT Pro" panose="020B0504020202020204" pitchFamily="34" charset="0"/>
                </a:endParaRPr>
              </a:p>
            </xdr:txBody>
          </xdr:sp>
        </xdr:grpSp>
        <xdr:sp macro="" textlink="">
          <xdr:nvSpPr>
            <xdr:cNvPr id="114" name="TextBox 113">
              <a:extLst>
                <a:ext uri="{FF2B5EF4-FFF2-40B4-BE49-F238E27FC236}">
                  <a16:creationId xmlns:a16="http://schemas.microsoft.com/office/drawing/2014/main" id="{00000000-0008-0000-0000-000072000000}"/>
                </a:ext>
              </a:extLst>
            </xdr:cNvPr>
            <xdr:cNvSpPr txBox="1"/>
          </xdr:nvSpPr>
          <xdr:spPr>
            <a:xfrm>
              <a:off x="3205014" y="3905250"/>
              <a:ext cx="1090462" cy="2857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r>
                <a:rPr lang="en-US" sz="1400" u="none">
                  <a:solidFill>
                    <a:srgbClr val="B1F5F1"/>
                  </a:solidFill>
                  <a:latin typeface="Avenir Next LT Pro" panose="020B0504020202020204" pitchFamily="34" charset="0"/>
                </a:rPr>
                <a:t>Quantity %</a:t>
              </a:r>
            </a:p>
          </xdr:txBody>
        </xdr:sp>
      </xdr:grpSp>
    </xdr:grpSp>
    <xdr:clientData/>
  </xdr:twoCellAnchor>
  <mc:AlternateContent xmlns:mc="http://schemas.openxmlformats.org/markup-compatibility/2006">
    <mc:Choice xmlns:a14="http://schemas.microsoft.com/office/drawing/2010/main" Requires="a14">
      <xdr:twoCellAnchor editAs="oneCell">
        <xdr:from>
          <xdr:col>9</xdr:col>
          <xdr:colOff>0</xdr:colOff>
          <xdr:row>6</xdr:row>
          <xdr:rowOff>0</xdr:rowOff>
        </xdr:from>
        <xdr:to>
          <xdr:col>15</xdr:col>
          <xdr:colOff>161925</xdr:colOff>
          <xdr:row>13</xdr:row>
          <xdr:rowOff>142875</xdr:rowOff>
        </xdr:to>
        <xdr:pic>
          <xdr:nvPicPr>
            <xdr:cNvPr id="123" name="CustomTooltip" hidden="1">
              <a:extLst>
                <a:ext uri="{FF2B5EF4-FFF2-40B4-BE49-F238E27FC236}">
                  <a16:creationId xmlns:a16="http://schemas.microsoft.com/office/drawing/2014/main" id="{00000000-0008-0000-0000-00007B000000}"/>
                </a:ext>
              </a:extLst>
            </xdr:cNvPr>
            <xdr:cNvPicPr>
              <a:picLocks noChangeAspect="1" noChangeArrowheads="1"/>
              <a:extLst>
                <a:ext uri="{84589F7E-364E-4C9E-8A38-B11213B215E9}">
                  <a14:cameraTool cellRange="Pivot_tables!$B$47:$D$51" spid="_x0000_s1852"/>
                </a:ext>
              </a:extLst>
            </xdr:cNvPicPr>
          </xdr:nvPicPr>
          <xdr:blipFill>
            <a:blip xmlns:r="http://schemas.openxmlformats.org/officeDocument/2006/relationships" r:embed="rId14"/>
            <a:srcRect/>
            <a:stretch>
              <a:fillRect/>
            </a:stretch>
          </xdr:blipFill>
          <xdr:spPr bwMode="auto">
            <a:xfrm>
              <a:off x="5486400" y="971550"/>
              <a:ext cx="3819525" cy="1276350"/>
            </a:xfrm>
            <a:prstGeom prst="rect">
              <a:avLst/>
            </a:prstGeom>
            <a:ln w="88900" cap="sq" cmpd="thickThin">
              <a:solidFill>
                <a:srgbClr val="000000"/>
              </a:solidFill>
              <a:prstDash val="solid"/>
              <a:miter lim="800000"/>
            </a:ln>
            <a:effectLst>
              <a:innerShdw blurRad="76200">
                <a:srgbClr val="000000"/>
              </a:innerShdw>
            </a:effectLst>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27</xdr:col>
      <xdr:colOff>9525</xdr:colOff>
      <xdr:row>48</xdr:row>
      <xdr:rowOff>114300</xdr:rowOff>
    </xdr:from>
    <xdr:to>
      <xdr:col>30</xdr:col>
      <xdr:colOff>9525</xdr:colOff>
      <xdr:row>55</xdr:row>
      <xdr:rowOff>66675</xdr:rowOff>
    </xdr:to>
    <xdr:pic>
      <xdr:nvPicPr>
        <xdr:cNvPr id="5" name="Picture 4">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a:alphaModFix amt="40000"/>
          <a:extLst>
            <a:ext uri="{28A0092B-C50C-407E-A947-70E740481C1C}">
              <a14:useLocalDpi xmlns:a14="http://schemas.microsoft.com/office/drawing/2010/main" val="0"/>
            </a:ext>
          </a:extLst>
        </a:blip>
        <a:srcRect/>
        <a:stretch>
          <a:fillRect/>
        </a:stretch>
      </xdr:blipFill>
      <xdr:spPr bwMode="auto">
        <a:xfrm>
          <a:off x="16468725" y="8315325"/>
          <a:ext cx="1828800" cy="1285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66675</xdr:colOff>
      <xdr:row>14</xdr:row>
      <xdr:rowOff>19050</xdr:rowOff>
    </xdr:from>
    <xdr:to>
      <xdr:col>16</xdr:col>
      <xdr:colOff>66675</xdr:colOff>
      <xdr:row>22</xdr:row>
      <xdr:rowOff>9525</xdr:rowOff>
    </xdr:to>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alphaModFix amt="40000"/>
          <a:extLst>
            <a:ext uri="{28A0092B-C50C-407E-A947-70E740481C1C}">
              <a14:useLocalDpi xmlns:a14="http://schemas.microsoft.com/office/drawing/2010/main" val="0"/>
            </a:ext>
          </a:extLst>
        </a:blip>
        <a:srcRect/>
        <a:stretch>
          <a:fillRect/>
        </a:stretch>
      </xdr:blipFill>
      <xdr:spPr bwMode="auto">
        <a:xfrm>
          <a:off x="7991475" y="2286000"/>
          <a:ext cx="1828800" cy="1285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373779</xdr:colOff>
      <xdr:row>6</xdr:row>
      <xdr:rowOff>114300</xdr:rowOff>
    </xdr:from>
    <xdr:to>
      <xdr:col>28</xdr:col>
      <xdr:colOff>584979</xdr:colOff>
      <xdr:row>26</xdr:row>
      <xdr:rowOff>58649</xdr:rowOff>
    </xdr:to>
    <xdr:graphicFrame macro="">
      <xdr:nvGraphicFramePr>
        <xdr:cNvPr id="32" name="Chart 31">
          <a:extLst>
            <a:ext uri="{FF2B5EF4-FFF2-40B4-BE49-F238E27FC236}">
              <a16:creationId xmlns:a16="http://schemas.microsoft.com/office/drawing/2014/main" id="{00000000-0008-0000-0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475125</xdr:colOff>
      <xdr:row>27</xdr:row>
      <xdr:rowOff>86025</xdr:rowOff>
    </xdr:from>
    <xdr:to>
      <xdr:col>18</xdr:col>
      <xdr:colOff>458325</xdr:colOff>
      <xdr:row>33</xdr:row>
      <xdr:rowOff>14475</xdr:rowOff>
    </xdr:to>
    <mc:AlternateContent xmlns:mc="http://schemas.openxmlformats.org/markup-compatibility/2006" xmlns:a14="http://schemas.microsoft.com/office/drawing/2010/main">
      <mc:Choice Requires="a14">
        <xdr:graphicFrame macro="">
          <xdr:nvGraphicFramePr>
            <xdr:cNvPr id="14" name="Customer Segment">
              <a:extLst>
                <a:ext uri="{FF2B5EF4-FFF2-40B4-BE49-F238E27FC236}">
                  <a16:creationId xmlns:a16="http://schemas.microsoft.com/office/drawing/2014/main" id="{00000000-0008-0000-0100-00000E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ustomer Segment"/>
            </a:graphicData>
          </a:graphic>
        </xdr:graphicFrame>
      </mc:Choice>
      <mc:Fallback xmlns="">
        <xdr:sp macro="" textlink="">
          <xdr:nvSpPr>
            <xdr:cNvPr id="0" name=""/>
            <xdr:cNvSpPr>
              <a:spLocks noTextEdit="1"/>
            </xdr:cNvSpPr>
          </xdr:nvSpPr>
          <xdr:spPr>
            <a:xfrm>
              <a:off x="6571125" y="4458000"/>
              <a:ext cx="4860000" cy="90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xdr:col>
      <xdr:colOff>391854</xdr:colOff>
      <xdr:row>27</xdr:row>
      <xdr:rowOff>57450</xdr:rowOff>
    </xdr:from>
    <xdr:to>
      <xdr:col>8</xdr:col>
      <xdr:colOff>444654</xdr:colOff>
      <xdr:row>32</xdr:row>
      <xdr:rowOff>147825</xdr:rowOff>
    </xdr:to>
    <mc:AlternateContent xmlns:mc="http://schemas.openxmlformats.org/markup-compatibility/2006" xmlns:a14="http://schemas.microsoft.com/office/drawing/2010/main">
      <mc:Choice Requires="a14">
        <xdr:graphicFrame macro="">
          <xdr:nvGraphicFramePr>
            <xdr:cNvPr id="19" name="Order Date (Month) 1">
              <a:extLst>
                <a:ext uri="{FF2B5EF4-FFF2-40B4-BE49-F238E27FC236}">
                  <a16:creationId xmlns:a16="http://schemas.microsoft.com/office/drawing/2014/main" id="{00000000-0008-0000-0100-000013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Order Date (Month) 1"/>
            </a:graphicData>
          </a:graphic>
        </xdr:graphicFrame>
      </mc:Choice>
      <mc:Fallback xmlns="">
        <xdr:sp macro="" textlink="">
          <xdr:nvSpPr>
            <xdr:cNvPr id="0" name=""/>
            <xdr:cNvSpPr>
              <a:spLocks noTextEdit="1"/>
            </xdr:cNvSpPr>
          </xdr:nvSpPr>
          <xdr:spPr>
            <a:xfrm>
              <a:off x="1001454" y="4429425"/>
              <a:ext cx="4320000" cy="90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20</xdr:col>
      <xdr:colOff>504579</xdr:colOff>
      <xdr:row>27</xdr:row>
      <xdr:rowOff>86025</xdr:rowOff>
    </xdr:from>
    <xdr:to>
      <xdr:col>27</xdr:col>
      <xdr:colOff>557379</xdr:colOff>
      <xdr:row>33</xdr:row>
      <xdr:rowOff>14475</xdr:rowOff>
    </xdr:to>
    <mc:AlternateContent xmlns:mc="http://schemas.openxmlformats.org/markup-compatibility/2006" xmlns:a14="http://schemas.microsoft.com/office/drawing/2010/main">
      <mc:Choice Requires="a14">
        <xdr:graphicFrame macro="">
          <xdr:nvGraphicFramePr>
            <xdr:cNvPr id="16" name="Manager">
              <a:extLst>
                <a:ext uri="{FF2B5EF4-FFF2-40B4-BE49-F238E27FC236}">
                  <a16:creationId xmlns:a16="http://schemas.microsoft.com/office/drawing/2014/main" id="{00000000-0008-0000-0100-000010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anager"/>
            </a:graphicData>
          </a:graphic>
        </xdr:graphicFrame>
      </mc:Choice>
      <mc:Fallback xmlns="">
        <xdr:sp macro="" textlink="">
          <xdr:nvSpPr>
            <xdr:cNvPr id="0" name=""/>
            <xdr:cNvSpPr>
              <a:spLocks noTextEdit="1"/>
            </xdr:cNvSpPr>
          </xdr:nvSpPr>
          <xdr:spPr>
            <a:xfrm>
              <a:off x="12696579" y="4458000"/>
              <a:ext cx="4320000" cy="90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xdr:col>
      <xdr:colOff>507981</xdr:colOff>
      <xdr:row>33</xdr:row>
      <xdr:rowOff>62643</xdr:rowOff>
    </xdr:from>
    <xdr:to>
      <xdr:col>6</xdr:col>
      <xdr:colOff>339981</xdr:colOff>
      <xdr:row>41</xdr:row>
      <xdr:rowOff>158643</xdr:rowOff>
    </xdr:to>
    <xdr:grpSp>
      <xdr:nvGrpSpPr>
        <xdr:cNvPr id="2255" name="Group 2254">
          <a:extLst>
            <a:ext uri="{FF2B5EF4-FFF2-40B4-BE49-F238E27FC236}">
              <a16:creationId xmlns:a16="http://schemas.microsoft.com/office/drawing/2014/main" id="{00000000-0008-0000-0100-0000CF080000}"/>
            </a:ext>
          </a:extLst>
        </xdr:cNvPr>
        <xdr:cNvGrpSpPr/>
      </xdr:nvGrpSpPr>
      <xdr:grpSpPr>
        <a:xfrm>
          <a:off x="1117581" y="5406168"/>
          <a:ext cx="2880000" cy="1620000"/>
          <a:chOff x="402354" y="5301393"/>
          <a:chExt cx="2880000" cy="1620000"/>
        </a:xfrm>
      </xdr:grpSpPr>
      <xdr:grpSp>
        <xdr:nvGrpSpPr>
          <xdr:cNvPr id="2245" name="Group 2244">
            <a:extLst>
              <a:ext uri="{FF2B5EF4-FFF2-40B4-BE49-F238E27FC236}">
                <a16:creationId xmlns:a16="http://schemas.microsoft.com/office/drawing/2014/main" id="{00000000-0008-0000-0100-0000C5080000}"/>
              </a:ext>
            </a:extLst>
          </xdr:cNvPr>
          <xdr:cNvGrpSpPr/>
        </xdr:nvGrpSpPr>
        <xdr:grpSpPr>
          <a:xfrm>
            <a:off x="402354" y="5301393"/>
            <a:ext cx="2880000" cy="1620000"/>
            <a:chOff x="497604" y="5301393"/>
            <a:chExt cx="2880000" cy="1620000"/>
          </a:xfrm>
        </xdr:grpSpPr>
        <xdr:sp macro="" textlink="">
          <xdr:nvSpPr>
            <xdr:cNvPr id="2131" name="Rectangle: Rounded Corners 2130">
              <a:extLst>
                <a:ext uri="{FF2B5EF4-FFF2-40B4-BE49-F238E27FC236}">
                  <a16:creationId xmlns:a16="http://schemas.microsoft.com/office/drawing/2014/main" id="{00000000-0008-0000-0100-000053080000}"/>
                </a:ext>
              </a:extLst>
            </xdr:cNvPr>
            <xdr:cNvSpPr/>
          </xdr:nvSpPr>
          <xdr:spPr>
            <a:xfrm>
              <a:off x="497604" y="5301393"/>
              <a:ext cx="2880000" cy="1620000"/>
            </a:xfrm>
            <a:prstGeom prst="roundRect">
              <a:avLst>
                <a:gd name="adj" fmla="val 13791"/>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2132" name="Rectangle: Rounded Corners 2131">
              <a:extLst>
                <a:ext uri="{FF2B5EF4-FFF2-40B4-BE49-F238E27FC236}">
                  <a16:creationId xmlns:a16="http://schemas.microsoft.com/office/drawing/2014/main" id="{00000000-0008-0000-0100-000054080000}"/>
                </a:ext>
              </a:extLst>
            </xdr:cNvPr>
            <xdr:cNvSpPr/>
          </xdr:nvSpPr>
          <xdr:spPr>
            <a:xfrm>
              <a:off x="587604" y="5391393"/>
              <a:ext cx="2700000" cy="1440000"/>
            </a:xfrm>
            <a:prstGeom prst="roundRect">
              <a:avLst>
                <a:gd name="adj" fmla="val 13727"/>
              </a:avLst>
            </a:prstGeom>
            <a:gradFill>
              <a:gsLst>
                <a:gs pos="0">
                  <a:srgbClr val="DC25FA"/>
                </a:gs>
                <a:gs pos="63000">
                  <a:srgbClr val="9947F7">
                    <a:alpha val="36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2133" name="Rectangle: Rounded Corners 2132">
              <a:extLst>
                <a:ext uri="{FF2B5EF4-FFF2-40B4-BE49-F238E27FC236}">
                  <a16:creationId xmlns:a16="http://schemas.microsoft.com/office/drawing/2014/main" id="{00000000-0008-0000-0100-000055080000}"/>
                </a:ext>
              </a:extLst>
            </xdr:cNvPr>
            <xdr:cNvSpPr/>
          </xdr:nvSpPr>
          <xdr:spPr>
            <a:xfrm>
              <a:off x="677604" y="5481393"/>
              <a:ext cx="2520000" cy="1260000"/>
            </a:xfrm>
            <a:prstGeom prst="roundRect">
              <a:avLst>
                <a:gd name="adj" fmla="val 10561"/>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grpSp>
        <xdr:nvGrpSpPr>
          <xdr:cNvPr id="2138" name="Group 2137">
            <a:extLst>
              <a:ext uri="{FF2B5EF4-FFF2-40B4-BE49-F238E27FC236}">
                <a16:creationId xmlns:a16="http://schemas.microsoft.com/office/drawing/2014/main" id="{00000000-0008-0000-0100-00005A080000}"/>
              </a:ext>
            </a:extLst>
          </xdr:cNvPr>
          <xdr:cNvGrpSpPr/>
        </xdr:nvGrpSpPr>
        <xdr:grpSpPr>
          <a:xfrm>
            <a:off x="762354" y="5680443"/>
            <a:ext cx="2160000" cy="861900"/>
            <a:chOff x="600075" y="5481412"/>
            <a:chExt cx="2160000" cy="823187"/>
          </a:xfrm>
        </xdr:grpSpPr>
        <xdr:sp macro="" textlink="Pivot_tables!AR3">
          <xdr:nvSpPr>
            <xdr:cNvPr id="2097" name="TextBox 2096">
              <a:extLst>
                <a:ext uri="{FF2B5EF4-FFF2-40B4-BE49-F238E27FC236}">
                  <a16:creationId xmlns:a16="http://schemas.microsoft.com/office/drawing/2014/main" id="{00000000-0008-0000-0100-000031080000}"/>
                </a:ext>
              </a:extLst>
            </xdr:cNvPr>
            <xdr:cNvSpPr txBox="1"/>
          </xdr:nvSpPr>
          <xdr:spPr>
            <a:xfrm>
              <a:off x="600075" y="5854599"/>
              <a:ext cx="2160000" cy="45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C357BF5-B8B6-4A63-9035-F19984F86E71}" type="TxLink">
                <a:rPr lang="en-US" sz="2400" b="0" i="0" u="none" strike="noStrike">
                  <a:solidFill>
                    <a:schemeClr val="bg1"/>
                  </a:solidFill>
                  <a:latin typeface="Avenir Next LT Pro"/>
                </a:rPr>
                <a:pPr algn="ctr"/>
                <a:t> 1,881,525 </a:t>
              </a:fld>
              <a:endParaRPr lang="en-CA" sz="2400">
                <a:solidFill>
                  <a:schemeClr val="bg1"/>
                </a:solidFill>
                <a:latin typeface="Avenir Next LT Pro" panose="020B0504020202020204" pitchFamily="34" charset="0"/>
              </a:endParaRPr>
            </a:p>
          </xdr:txBody>
        </xdr:sp>
        <xdr:sp macro="" textlink="">
          <xdr:nvSpPr>
            <xdr:cNvPr id="2102" name="TextBox 2101">
              <a:extLst>
                <a:ext uri="{FF2B5EF4-FFF2-40B4-BE49-F238E27FC236}">
                  <a16:creationId xmlns:a16="http://schemas.microsoft.com/office/drawing/2014/main" id="{00000000-0008-0000-0100-000036080000}"/>
                </a:ext>
              </a:extLst>
            </xdr:cNvPr>
            <xdr:cNvSpPr txBox="1"/>
          </xdr:nvSpPr>
          <xdr:spPr>
            <a:xfrm>
              <a:off x="600075" y="5481412"/>
              <a:ext cx="2160000" cy="45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800">
                  <a:solidFill>
                    <a:srgbClr val="D43260"/>
                  </a:solidFill>
                  <a:latin typeface="Avenir Next LT Pro" panose="020B0504020202020204" pitchFamily="34" charset="0"/>
                </a:rPr>
                <a:t>Total for Month/s</a:t>
              </a:r>
            </a:p>
          </xdr:txBody>
        </xdr:sp>
      </xdr:grpSp>
    </xdr:grpSp>
    <xdr:clientData/>
  </xdr:twoCellAnchor>
  <xdr:twoCellAnchor editAs="absolute">
    <xdr:from>
      <xdr:col>7</xdr:col>
      <xdr:colOff>79313</xdr:colOff>
      <xdr:row>33</xdr:row>
      <xdr:rowOff>62643</xdr:rowOff>
    </xdr:from>
    <xdr:to>
      <xdr:col>13</xdr:col>
      <xdr:colOff>381713</xdr:colOff>
      <xdr:row>52</xdr:row>
      <xdr:rowOff>43143</xdr:rowOff>
    </xdr:to>
    <xdr:grpSp>
      <xdr:nvGrpSpPr>
        <xdr:cNvPr id="2256" name="Group 2255">
          <a:extLst>
            <a:ext uri="{FF2B5EF4-FFF2-40B4-BE49-F238E27FC236}">
              <a16:creationId xmlns:a16="http://schemas.microsoft.com/office/drawing/2014/main" id="{00000000-0008-0000-0100-0000D0080000}"/>
            </a:ext>
          </a:extLst>
        </xdr:cNvPr>
        <xdr:cNvGrpSpPr/>
      </xdr:nvGrpSpPr>
      <xdr:grpSpPr>
        <a:xfrm>
          <a:off x="4346513" y="5406168"/>
          <a:ext cx="3960000" cy="3600000"/>
          <a:chOff x="3733114" y="5396643"/>
          <a:chExt cx="3960000" cy="3600000"/>
        </a:xfrm>
      </xdr:grpSpPr>
      <xdr:sp macro="" textlink="">
        <xdr:nvSpPr>
          <xdr:cNvPr id="2172" name="Rectangle: Rounded Corners 2171">
            <a:extLst>
              <a:ext uri="{FF2B5EF4-FFF2-40B4-BE49-F238E27FC236}">
                <a16:creationId xmlns:a16="http://schemas.microsoft.com/office/drawing/2014/main" id="{00000000-0008-0000-0100-00007C080000}"/>
              </a:ext>
            </a:extLst>
          </xdr:cNvPr>
          <xdr:cNvSpPr/>
        </xdr:nvSpPr>
        <xdr:spPr>
          <a:xfrm>
            <a:off x="3733114" y="5396643"/>
            <a:ext cx="3960000" cy="3600000"/>
          </a:xfrm>
          <a:prstGeom prst="roundRect">
            <a:avLst>
              <a:gd name="adj" fmla="val 8995"/>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2173" name="Rectangle: Rounded Corners 2172">
            <a:extLst>
              <a:ext uri="{FF2B5EF4-FFF2-40B4-BE49-F238E27FC236}">
                <a16:creationId xmlns:a16="http://schemas.microsoft.com/office/drawing/2014/main" id="{00000000-0008-0000-0100-00007D080000}"/>
              </a:ext>
            </a:extLst>
          </xdr:cNvPr>
          <xdr:cNvSpPr/>
        </xdr:nvSpPr>
        <xdr:spPr>
          <a:xfrm>
            <a:off x="3823114" y="5486643"/>
            <a:ext cx="3780000" cy="3420000"/>
          </a:xfrm>
          <a:prstGeom prst="roundRect">
            <a:avLst>
              <a:gd name="adj" fmla="val 7259"/>
            </a:avLst>
          </a:prstGeom>
          <a:gradFill>
            <a:gsLst>
              <a:gs pos="0">
                <a:srgbClr val="DC25FA"/>
              </a:gs>
              <a:gs pos="63000">
                <a:srgbClr val="9947F7">
                  <a:alpha val="36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2174" name="Rectangle: Rounded Corners 2173">
            <a:extLst>
              <a:ext uri="{FF2B5EF4-FFF2-40B4-BE49-F238E27FC236}">
                <a16:creationId xmlns:a16="http://schemas.microsoft.com/office/drawing/2014/main" id="{00000000-0008-0000-0100-00007E080000}"/>
              </a:ext>
            </a:extLst>
          </xdr:cNvPr>
          <xdr:cNvSpPr/>
        </xdr:nvSpPr>
        <xdr:spPr>
          <a:xfrm>
            <a:off x="3913114" y="5576643"/>
            <a:ext cx="3600000" cy="3240000"/>
          </a:xfrm>
          <a:prstGeom prst="roundRect">
            <a:avLst>
              <a:gd name="adj" fmla="val 5422"/>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clientData/>
  </xdr:twoCellAnchor>
  <xdr:twoCellAnchor editAs="absolute">
    <xdr:from>
      <xdr:col>1</xdr:col>
      <xdr:colOff>507981</xdr:colOff>
      <xdr:row>43</xdr:row>
      <xdr:rowOff>137643</xdr:rowOff>
    </xdr:from>
    <xdr:to>
      <xdr:col>6</xdr:col>
      <xdr:colOff>339981</xdr:colOff>
      <xdr:row>52</xdr:row>
      <xdr:rowOff>43143</xdr:rowOff>
    </xdr:to>
    <xdr:grpSp>
      <xdr:nvGrpSpPr>
        <xdr:cNvPr id="2254" name="Group 2253">
          <a:extLst>
            <a:ext uri="{FF2B5EF4-FFF2-40B4-BE49-F238E27FC236}">
              <a16:creationId xmlns:a16="http://schemas.microsoft.com/office/drawing/2014/main" id="{00000000-0008-0000-0100-0000CE080000}"/>
            </a:ext>
          </a:extLst>
        </xdr:cNvPr>
        <xdr:cNvGrpSpPr/>
      </xdr:nvGrpSpPr>
      <xdr:grpSpPr>
        <a:xfrm>
          <a:off x="1117581" y="7386168"/>
          <a:ext cx="2880000" cy="1620000"/>
          <a:chOff x="402354" y="7281393"/>
          <a:chExt cx="2880000" cy="1620000"/>
        </a:xfrm>
      </xdr:grpSpPr>
      <xdr:grpSp>
        <xdr:nvGrpSpPr>
          <xdr:cNvPr id="2250" name="Group 2249">
            <a:extLst>
              <a:ext uri="{FF2B5EF4-FFF2-40B4-BE49-F238E27FC236}">
                <a16:creationId xmlns:a16="http://schemas.microsoft.com/office/drawing/2014/main" id="{00000000-0008-0000-0100-0000CA080000}"/>
              </a:ext>
            </a:extLst>
          </xdr:cNvPr>
          <xdr:cNvGrpSpPr/>
        </xdr:nvGrpSpPr>
        <xdr:grpSpPr>
          <a:xfrm>
            <a:off x="402354" y="7281393"/>
            <a:ext cx="2880000" cy="1620000"/>
            <a:chOff x="497604" y="5301393"/>
            <a:chExt cx="2880000" cy="1620000"/>
          </a:xfrm>
        </xdr:grpSpPr>
        <xdr:sp macro="" textlink="">
          <xdr:nvSpPr>
            <xdr:cNvPr id="2251" name="Rectangle: Rounded Corners 2250">
              <a:extLst>
                <a:ext uri="{FF2B5EF4-FFF2-40B4-BE49-F238E27FC236}">
                  <a16:creationId xmlns:a16="http://schemas.microsoft.com/office/drawing/2014/main" id="{00000000-0008-0000-0100-0000CB080000}"/>
                </a:ext>
              </a:extLst>
            </xdr:cNvPr>
            <xdr:cNvSpPr/>
          </xdr:nvSpPr>
          <xdr:spPr>
            <a:xfrm>
              <a:off x="497604" y="5301393"/>
              <a:ext cx="2880000" cy="1620000"/>
            </a:xfrm>
            <a:prstGeom prst="roundRect">
              <a:avLst>
                <a:gd name="adj" fmla="val 13791"/>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2252" name="Rectangle: Rounded Corners 2251">
              <a:extLst>
                <a:ext uri="{FF2B5EF4-FFF2-40B4-BE49-F238E27FC236}">
                  <a16:creationId xmlns:a16="http://schemas.microsoft.com/office/drawing/2014/main" id="{00000000-0008-0000-0100-0000CC080000}"/>
                </a:ext>
              </a:extLst>
            </xdr:cNvPr>
            <xdr:cNvSpPr/>
          </xdr:nvSpPr>
          <xdr:spPr>
            <a:xfrm>
              <a:off x="587604" y="5391393"/>
              <a:ext cx="2700000" cy="1440000"/>
            </a:xfrm>
            <a:prstGeom prst="roundRect">
              <a:avLst>
                <a:gd name="adj" fmla="val 13727"/>
              </a:avLst>
            </a:prstGeom>
            <a:gradFill>
              <a:gsLst>
                <a:gs pos="0">
                  <a:srgbClr val="DC25FA"/>
                </a:gs>
                <a:gs pos="63000">
                  <a:srgbClr val="9947F7">
                    <a:alpha val="36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2253" name="Rectangle: Rounded Corners 2252">
              <a:extLst>
                <a:ext uri="{FF2B5EF4-FFF2-40B4-BE49-F238E27FC236}">
                  <a16:creationId xmlns:a16="http://schemas.microsoft.com/office/drawing/2014/main" id="{00000000-0008-0000-0100-0000CD080000}"/>
                </a:ext>
              </a:extLst>
            </xdr:cNvPr>
            <xdr:cNvSpPr/>
          </xdr:nvSpPr>
          <xdr:spPr>
            <a:xfrm>
              <a:off x="677604" y="5481393"/>
              <a:ext cx="2520000" cy="1260000"/>
            </a:xfrm>
            <a:prstGeom prst="roundRect">
              <a:avLst>
                <a:gd name="adj" fmla="val 10561"/>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grpSp>
        <xdr:nvGrpSpPr>
          <xdr:cNvPr id="2147" name="Group 2146">
            <a:extLst>
              <a:ext uri="{FF2B5EF4-FFF2-40B4-BE49-F238E27FC236}">
                <a16:creationId xmlns:a16="http://schemas.microsoft.com/office/drawing/2014/main" id="{00000000-0008-0000-0100-000063080000}"/>
              </a:ext>
            </a:extLst>
          </xdr:cNvPr>
          <xdr:cNvGrpSpPr/>
        </xdr:nvGrpSpPr>
        <xdr:grpSpPr>
          <a:xfrm>
            <a:off x="733778" y="7680656"/>
            <a:ext cx="2256219" cy="821475"/>
            <a:chOff x="571499" y="5481412"/>
            <a:chExt cx="2256219" cy="821475"/>
          </a:xfrm>
        </xdr:grpSpPr>
        <xdr:sp macro="" textlink="Pivot_tables!AR2">
          <xdr:nvSpPr>
            <xdr:cNvPr id="2148" name="TextBox 2147">
              <a:extLst>
                <a:ext uri="{FF2B5EF4-FFF2-40B4-BE49-F238E27FC236}">
                  <a16:creationId xmlns:a16="http://schemas.microsoft.com/office/drawing/2014/main" id="{00000000-0008-0000-0100-000064080000}"/>
                </a:ext>
              </a:extLst>
            </xdr:cNvPr>
            <xdr:cNvSpPr txBox="1"/>
          </xdr:nvSpPr>
          <xdr:spPr>
            <a:xfrm>
              <a:off x="600075" y="5852887"/>
              <a:ext cx="2160000" cy="45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6EE9F27-6A9D-48DF-A119-496A2516F565}" type="TxLink">
                <a:rPr lang="en-US" sz="2400" b="0" i="0" u="none" strike="noStrike">
                  <a:solidFill>
                    <a:schemeClr val="bg1"/>
                  </a:solidFill>
                  <a:latin typeface="Avenir Next LT Pro"/>
                </a:rPr>
                <a:pPr algn="ctr"/>
                <a:t> 10,511 </a:t>
              </a:fld>
              <a:endParaRPr lang="en-CA" sz="2400">
                <a:solidFill>
                  <a:schemeClr val="bg1"/>
                </a:solidFill>
                <a:latin typeface="Avenir Next LT Pro" panose="020B0504020202020204" pitchFamily="34" charset="0"/>
              </a:endParaRPr>
            </a:p>
          </xdr:txBody>
        </xdr:sp>
        <xdr:sp macro="" textlink="">
          <xdr:nvSpPr>
            <xdr:cNvPr id="2149" name="TextBox 2148">
              <a:extLst>
                <a:ext uri="{FF2B5EF4-FFF2-40B4-BE49-F238E27FC236}">
                  <a16:creationId xmlns:a16="http://schemas.microsoft.com/office/drawing/2014/main" id="{00000000-0008-0000-0100-000065080000}"/>
                </a:ext>
              </a:extLst>
            </xdr:cNvPr>
            <xdr:cNvSpPr txBox="1"/>
          </xdr:nvSpPr>
          <xdr:spPr>
            <a:xfrm>
              <a:off x="571499" y="5481412"/>
              <a:ext cx="2256219" cy="45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CA" sz="1800">
                  <a:solidFill>
                    <a:srgbClr val="D43260"/>
                  </a:solidFill>
                  <a:effectLst/>
                  <a:latin typeface="+mn-lt"/>
                  <a:ea typeface="+mn-ea"/>
                  <a:cs typeface="+mn-cs"/>
                </a:rPr>
                <a:t>Average for</a:t>
              </a:r>
              <a:r>
                <a:rPr lang="en-CA" sz="1800" baseline="0">
                  <a:solidFill>
                    <a:srgbClr val="D43260"/>
                  </a:solidFill>
                  <a:effectLst/>
                  <a:latin typeface="+mn-lt"/>
                  <a:ea typeface="+mn-ea"/>
                  <a:cs typeface="+mn-cs"/>
                </a:rPr>
                <a:t> Month/s</a:t>
              </a:r>
              <a:endParaRPr lang="en-CA" sz="1800">
                <a:solidFill>
                  <a:srgbClr val="D43260"/>
                </a:solidFill>
                <a:effectLst/>
              </a:endParaRPr>
            </a:p>
          </xdr:txBody>
        </xdr:sp>
      </xdr:grpSp>
    </xdr:grpSp>
    <xdr:clientData/>
  </xdr:twoCellAnchor>
  <xdr:twoCellAnchor editAs="absolute">
    <xdr:from>
      <xdr:col>14</xdr:col>
      <xdr:colOff>121045</xdr:colOff>
      <xdr:row>33</xdr:row>
      <xdr:rowOff>62643</xdr:rowOff>
    </xdr:from>
    <xdr:to>
      <xdr:col>20</xdr:col>
      <xdr:colOff>423445</xdr:colOff>
      <xdr:row>52</xdr:row>
      <xdr:rowOff>43143</xdr:rowOff>
    </xdr:to>
    <xdr:grpSp>
      <xdr:nvGrpSpPr>
        <xdr:cNvPr id="2261" name="Group 2260">
          <a:extLst>
            <a:ext uri="{FF2B5EF4-FFF2-40B4-BE49-F238E27FC236}">
              <a16:creationId xmlns:a16="http://schemas.microsoft.com/office/drawing/2014/main" id="{00000000-0008-0000-0100-0000D5080000}"/>
            </a:ext>
          </a:extLst>
        </xdr:cNvPr>
        <xdr:cNvGrpSpPr/>
      </xdr:nvGrpSpPr>
      <xdr:grpSpPr>
        <a:xfrm rot="10800000">
          <a:off x="8655445" y="5406168"/>
          <a:ext cx="3960000" cy="3600000"/>
          <a:chOff x="3733114" y="5396643"/>
          <a:chExt cx="3960000" cy="3600000"/>
        </a:xfrm>
      </xdr:grpSpPr>
      <xdr:sp macro="" textlink="">
        <xdr:nvSpPr>
          <xdr:cNvPr id="2262" name="Rectangle: Rounded Corners 2261">
            <a:extLst>
              <a:ext uri="{FF2B5EF4-FFF2-40B4-BE49-F238E27FC236}">
                <a16:creationId xmlns:a16="http://schemas.microsoft.com/office/drawing/2014/main" id="{00000000-0008-0000-0100-0000D6080000}"/>
              </a:ext>
            </a:extLst>
          </xdr:cNvPr>
          <xdr:cNvSpPr/>
        </xdr:nvSpPr>
        <xdr:spPr>
          <a:xfrm>
            <a:off x="3733114" y="5396643"/>
            <a:ext cx="3960000" cy="3600000"/>
          </a:xfrm>
          <a:prstGeom prst="roundRect">
            <a:avLst>
              <a:gd name="adj" fmla="val 8995"/>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2263" name="Rectangle: Rounded Corners 2262">
            <a:extLst>
              <a:ext uri="{FF2B5EF4-FFF2-40B4-BE49-F238E27FC236}">
                <a16:creationId xmlns:a16="http://schemas.microsoft.com/office/drawing/2014/main" id="{00000000-0008-0000-0100-0000D7080000}"/>
              </a:ext>
            </a:extLst>
          </xdr:cNvPr>
          <xdr:cNvSpPr/>
        </xdr:nvSpPr>
        <xdr:spPr>
          <a:xfrm>
            <a:off x="3823114" y="5486643"/>
            <a:ext cx="3780000" cy="3420000"/>
          </a:xfrm>
          <a:prstGeom prst="roundRect">
            <a:avLst>
              <a:gd name="adj" fmla="val 7259"/>
            </a:avLst>
          </a:prstGeom>
          <a:gradFill>
            <a:gsLst>
              <a:gs pos="0">
                <a:srgbClr val="DC25FA"/>
              </a:gs>
              <a:gs pos="63000">
                <a:srgbClr val="9947F7">
                  <a:alpha val="36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2264" name="Rectangle: Rounded Corners 2263">
            <a:extLst>
              <a:ext uri="{FF2B5EF4-FFF2-40B4-BE49-F238E27FC236}">
                <a16:creationId xmlns:a16="http://schemas.microsoft.com/office/drawing/2014/main" id="{00000000-0008-0000-0100-0000D8080000}"/>
              </a:ext>
            </a:extLst>
          </xdr:cNvPr>
          <xdr:cNvSpPr/>
        </xdr:nvSpPr>
        <xdr:spPr>
          <a:xfrm>
            <a:off x="3913114" y="5576643"/>
            <a:ext cx="3600000" cy="3240000"/>
          </a:xfrm>
          <a:prstGeom prst="roundRect">
            <a:avLst>
              <a:gd name="adj" fmla="val 5422"/>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clientData/>
  </xdr:twoCellAnchor>
  <xdr:twoCellAnchor editAs="absolute">
    <xdr:from>
      <xdr:col>21</xdr:col>
      <xdr:colOff>162777</xdr:colOff>
      <xdr:row>33</xdr:row>
      <xdr:rowOff>62643</xdr:rowOff>
    </xdr:from>
    <xdr:to>
      <xdr:col>27</xdr:col>
      <xdr:colOff>465177</xdr:colOff>
      <xdr:row>52</xdr:row>
      <xdr:rowOff>43143</xdr:rowOff>
    </xdr:to>
    <xdr:grpSp>
      <xdr:nvGrpSpPr>
        <xdr:cNvPr id="2265" name="Group 2264">
          <a:extLst>
            <a:ext uri="{FF2B5EF4-FFF2-40B4-BE49-F238E27FC236}">
              <a16:creationId xmlns:a16="http://schemas.microsoft.com/office/drawing/2014/main" id="{00000000-0008-0000-0100-0000D9080000}"/>
            </a:ext>
          </a:extLst>
        </xdr:cNvPr>
        <xdr:cNvGrpSpPr/>
      </xdr:nvGrpSpPr>
      <xdr:grpSpPr>
        <a:xfrm>
          <a:off x="12964377" y="5406168"/>
          <a:ext cx="3960000" cy="3600000"/>
          <a:chOff x="3733114" y="5396643"/>
          <a:chExt cx="3960000" cy="3600000"/>
        </a:xfrm>
      </xdr:grpSpPr>
      <xdr:sp macro="" textlink="">
        <xdr:nvSpPr>
          <xdr:cNvPr id="2266" name="Rectangle: Rounded Corners 2265">
            <a:extLst>
              <a:ext uri="{FF2B5EF4-FFF2-40B4-BE49-F238E27FC236}">
                <a16:creationId xmlns:a16="http://schemas.microsoft.com/office/drawing/2014/main" id="{00000000-0008-0000-0100-0000DA080000}"/>
              </a:ext>
            </a:extLst>
          </xdr:cNvPr>
          <xdr:cNvSpPr/>
        </xdr:nvSpPr>
        <xdr:spPr>
          <a:xfrm>
            <a:off x="3733114" y="5396643"/>
            <a:ext cx="3960000" cy="3600000"/>
          </a:xfrm>
          <a:prstGeom prst="roundRect">
            <a:avLst>
              <a:gd name="adj" fmla="val 8995"/>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2267" name="Rectangle: Rounded Corners 2266">
            <a:extLst>
              <a:ext uri="{FF2B5EF4-FFF2-40B4-BE49-F238E27FC236}">
                <a16:creationId xmlns:a16="http://schemas.microsoft.com/office/drawing/2014/main" id="{00000000-0008-0000-0100-0000DB080000}"/>
              </a:ext>
            </a:extLst>
          </xdr:cNvPr>
          <xdr:cNvSpPr/>
        </xdr:nvSpPr>
        <xdr:spPr>
          <a:xfrm>
            <a:off x="3823114" y="5486643"/>
            <a:ext cx="3780000" cy="3420000"/>
          </a:xfrm>
          <a:prstGeom prst="roundRect">
            <a:avLst>
              <a:gd name="adj" fmla="val 7259"/>
            </a:avLst>
          </a:prstGeom>
          <a:gradFill>
            <a:gsLst>
              <a:gs pos="0">
                <a:srgbClr val="DC25FA"/>
              </a:gs>
              <a:gs pos="63000">
                <a:srgbClr val="9947F7">
                  <a:alpha val="36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2268" name="Rectangle: Rounded Corners 2267">
            <a:extLst>
              <a:ext uri="{FF2B5EF4-FFF2-40B4-BE49-F238E27FC236}">
                <a16:creationId xmlns:a16="http://schemas.microsoft.com/office/drawing/2014/main" id="{00000000-0008-0000-0100-0000DC080000}"/>
              </a:ext>
            </a:extLst>
          </xdr:cNvPr>
          <xdr:cNvSpPr/>
        </xdr:nvSpPr>
        <xdr:spPr>
          <a:xfrm>
            <a:off x="3913114" y="5576643"/>
            <a:ext cx="3600000" cy="3240000"/>
          </a:xfrm>
          <a:prstGeom prst="roundRect">
            <a:avLst>
              <a:gd name="adj" fmla="val 5422"/>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clientData/>
  </xdr:twoCellAnchor>
  <xdr:twoCellAnchor editAs="absolute">
    <xdr:from>
      <xdr:col>14</xdr:col>
      <xdr:colOff>323850</xdr:colOff>
      <xdr:row>35</xdr:row>
      <xdr:rowOff>104774</xdr:rowOff>
    </xdr:from>
    <xdr:to>
      <xdr:col>18</xdr:col>
      <xdr:colOff>533400</xdr:colOff>
      <xdr:row>37</xdr:row>
      <xdr:rowOff>25827</xdr:rowOff>
    </xdr:to>
    <xdr:sp macro="" textlink="">
      <xdr:nvSpPr>
        <xdr:cNvPr id="2247" name="Arrow: Pentagon 2246">
          <a:extLst>
            <a:ext uri="{FF2B5EF4-FFF2-40B4-BE49-F238E27FC236}">
              <a16:creationId xmlns:a16="http://schemas.microsoft.com/office/drawing/2014/main" id="{00000000-0008-0000-0100-0000C7080000}"/>
            </a:ext>
          </a:extLst>
        </xdr:cNvPr>
        <xdr:cNvSpPr/>
      </xdr:nvSpPr>
      <xdr:spPr>
        <a:xfrm>
          <a:off x="8858250" y="5829299"/>
          <a:ext cx="2647950" cy="302053"/>
        </a:xfrm>
        <a:prstGeom prst="homePlate">
          <a:avLst/>
        </a:prstGeom>
        <a:solidFill>
          <a:srgbClr val="070E2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editAs="absolute">
    <xdr:from>
      <xdr:col>14</xdr:col>
      <xdr:colOff>323850</xdr:colOff>
      <xdr:row>42</xdr:row>
      <xdr:rowOff>190499</xdr:rowOff>
    </xdr:from>
    <xdr:to>
      <xdr:col>18</xdr:col>
      <xdr:colOff>533400</xdr:colOff>
      <xdr:row>44</xdr:row>
      <xdr:rowOff>111552</xdr:rowOff>
    </xdr:to>
    <xdr:sp macro="" textlink="">
      <xdr:nvSpPr>
        <xdr:cNvPr id="2248" name="Arrow: Pentagon 2247">
          <a:extLst>
            <a:ext uri="{FF2B5EF4-FFF2-40B4-BE49-F238E27FC236}">
              <a16:creationId xmlns:a16="http://schemas.microsoft.com/office/drawing/2014/main" id="{00000000-0008-0000-0100-0000C8080000}"/>
            </a:ext>
          </a:extLst>
        </xdr:cNvPr>
        <xdr:cNvSpPr/>
      </xdr:nvSpPr>
      <xdr:spPr>
        <a:xfrm>
          <a:off x="8858250" y="7248524"/>
          <a:ext cx="2647950" cy="302053"/>
        </a:xfrm>
        <a:prstGeom prst="homePlate">
          <a:avLst/>
        </a:prstGeom>
        <a:solidFill>
          <a:srgbClr val="070E2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editAs="absolute">
    <xdr:from>
      <xdr:col>7</xdr:col>
      <xdr:colOff>266700</xdr:colOff>
      <xdr:row>35</xdr:row>
      <xdr:rowOff>104775</xdr:rowOff>
    </xdr:from>
    <xdr:to>
      <xdr:col>10</xdr:col>
      <xdr:colOff>304800</xdr:colOff>
      <xdr:row>37</xdr:row>
      <xdr:rowOff>25828</xdr:rowOff>
    </xdr:to>
    <xdr:sp macro="" textlink="">
      <xdr:nvSpPr>
        <xdr:cNvPr id="2249" name="Arrow: Pentagon 2248">
          <a:extLst>
            <a:ext uri="{FF2B5EF4-FFF2-40B4-BE49-F238E27FC236}">
              <a16:creationId xmlns:a16="http://schemas.microsoft.com/office/drawing/2014/main" id="{00000000-0008-0000-0100-0000C9080000}"/>
            </a:ext>
          </a:extLst>
        </xdr:cNvPr>
        <xdr:cNvSpPr/>
      </xdr:nvSpPr>
      <xdr:spPr>
        <a:xfrm>
          <a:off x="4533900" y="5829300"/>
          <a:ext cx="1866900" cy="302053"/>
        </a:xfrm>
        <a:prstGeom prst="homePlate">
          <a:avLst/>
        </a:prstGeom>
        <a:solidFill>
          <a:srgbClr val="070E2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editAs="absolute">
    <xdr:from>
      <xdr:col>7</xdr:col>
      <xdr:colOff>266700</xdr:colOff>
      <xdr:row>43</xdr:row>
      <xdr:rowOff>0</xdr:rowOff>
    </xdr:from>
    <xdr:to>
      <xdr:col>10</xdr:col>
      <xdr:colOff>304800</xdr:colOff>
      <xdr:row>44</xdr:row>
      <xdr:rowOff>111553</xdr:rowOff>
    </xdr:to>
    <xdr:sp macro="" textlink="">
      <xdr:nvSpPr>
        <xdr:cNvPr id="2257" name="Arrow: Pentagon 2256">
          <a:extLst>
            <a:ext uri="{FF2B5EF4-FFF2-40B4-BE49-F238E27FC236}">
              <a16:creationId xmlns:a16="http://schemas.microsoft.com/office/drawing/2014/main" id="{00000000-0008-0000-0100-0000D1080000}"/>
            </a:ext>
          </a:extLst>
        </xdr:cNvPr>
        <xdr:cNvSpPr/>
      </xdr:nvSpPr>
      <xdr:spPr>
        <a:xfrm>
          <a:off x="4533900" y="7248525"/>
          <a:ext cx="1866900" cy="302053"/>
        </a:xfrm>
        <a:prstGeom prst="homePlate">
          <a:avLst/>
        </a:prstGeom>
        <a:solidFill>
          <a:srgbClr val="070E2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editAs="absolute">
    <xdr:from>
      <xdr:col>7</xdr:col>
      <xdr:colOff>439313</xdr:colOff>
      <xdr:row>35</xdr:row>
      <xdr:rowOff>70221</xdr:rowOff>
    </xdr:from>
    <xdr:to>
      <xdr:col>13</xdr:col>
      <xdr:colOff>21713</xdr:colOff>
      <xdr:row>50</xdr:row>
      <xdr:rowOff>35565</xdr:rowOff>
    </xdr:to>
    <xdr:grpSp>
      <xdr:nvGrpSpPr>
        <xdr:cNvPr id="2221" name="Group 2220">
          <a:extLst>
            <a:ext uri="{FF2B5EF4-FFF2-40B4-BE49-F238E27FC236}">
              <a16:creationId xmlns:a16="http://schemas.microsoft.com/office/drawing/2014/main" id="{00000000-0008-0000-0100-0000AD080000}"/>
            </a:ext>
          </a:extLst>
        </xdr:cNvPr>
        <xdr:cNvGrpSpPr/>
      </xdr:nvGrpSpPr>
      <xdr:grpSpPr>
        <a:xfrm>
          <a:off x="4706513" y="5794746"/>
          <a:ext cx="3240000" cy="2822844"/>
          <a:chOff x="4273114" y="5804710"/>
          <a:chExt cx="2880000" cy="2646971"/>
        </a:xfrm>
      </xdr:grpSpPr>
      <xdr:grpSp>
        <xdr:nvGrpSpPr>
          <xdr:cNvPr id="48" name="Group 47">
            <a:extLst>
              <a:ext uri="{FF2B5EF4-FFF2-40B4-BE49-F238E27FC236}">
                <a16:creationId xmlns:a16="http://schemas.microsoft.com/office/drawing/2014/main" id="{00000000-0008-0000-0100-000030000000}"/>
              </a:ext>
            </a:extLst>
          </xdr:cNvPr>
          <xdr:cNvGrpSpPr/>
        </xdr:nvGrpSpPr>
        <xdr:grpSpPr>
          <a:xfrm>
            <a:off x="4273114" y="5804710"/>
            <a:ext cx="2880000" cy="1313471"/>
            <a:chOff x="2505075" y="5813599"/>
            <a:chExt cx="2538300" cy="1015826"/>
          </a:xfrm>
        </xdr:grpSpPr>
        <xdr:grpSp>
          <xdr:nvGrpSpPr>
            <xdr:cNvPr id="42" name="Group 41">
              <a:extLst>
                <a:ext uri="{FF2B5EF4-FFF2-40B4-BE49-F238E27FC236}">
                  <a16:creationId xmlns:a16="http://schemas.microsoft.com/office/drawing/2014/main" id="{00000000-0008-0000-0100-00002A000000}"/>
                </a:ext>
              </a:extLst>
            </xdr:cNvPr>
            <xdr:cNvGrpSpPr/>
          </xdr:nvGrpSpPr>
          <xdr:grpSpPr>
            <a:xfrm>
              <a:off x="2505075" y="5813599"/>
              <a:ext cx="1620000" cy="1015826"/>
              <a:chOff x="3038475" y="7270924"/>
              <a:chExt cx="1620000" cy="1015826"/>
            </a:xfrm>
          </xdr:grpSpPr>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3038475" y="7270924"/>
                <a:ext cx="1066174"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CA" sz="1400">
                    <a:solidFill>
                      <a:srgbClr val="D43260"/>
                    </a:solidFill>
                    <a:latin typeface="Avenir Next LT Pro" panose="020B0504020202020204" pitchFamily="34" charset="0"/>
                  </a:rPr>
                  <a:t>Best Sale Days</a:t>
                </a:r>
              </a:p>
            </xdr:txBody>
          </xdr:sp>
          <xdr:sp macro="" textlink="Pivot_tables!AV16">
            <xdr:nvSpPr>
              <xdr:cNvPr id="23" name="TextBox 22">
                <a:extLst>
                  <a:ext uri="{FF2B5EF4-FFF2-40B4-BE49-F238E27FC236}">
                    <a16:creationId xmlns:a16="http://schemas.microsoft.com/office/drawing/2014/main" id="{00000000-0008-0000-0100-000017000000}"/>
                  </a:ext>
                </a:extLst>
              </xdr:cNvPr>
              <xdr:cNvSpPr txBox="1"/>
            </xdr:nvSpPr>
            <xdr:spPr>
              <a:xfrm>
                <a:off x="3038475" y="77628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E2D72A2E-8D7B-4A9A-BCFF-5CE1B3B81805}" type="TxLink">
                  <a:rPr lang="en-US" sz="1200" b="0" i="0" u="none" strike="noStrike">
                    <a:solidFill>
                      <a:schemeClr val="bg1"/>
                    </a:solidFill>
                    <a:latin typeface="Avenir Next LT Pro"/>
                  </a:rPr>
                  <a:pPr/>
                  <a:t>February 21, 2015</a:t>
                </a:fld>
                <a:endParaRPr lang="en-CA" sz="1400">
                  <a:solidFill>
                    <a:schemeClr val="bg1"/>
                  </a:solidFill>
                  <a:latin typeface="Avenir Next LT Pro" panose="020B0504020202020204" pitchFamily="34" charset="0"/>
                </a:endParaRPr>
              </a:p>
            </xdr:txBody>
          </xdr:sp>
          <xdr:sp macro="" textlink="Pivot_tables!AV15">
            <xdr:nvSpPr>
              <xdr:cNvPr id="24" name="TextBox 23">
                <a:extLst>
                  <a:ext uri="{FF2B5EF4-FFF2-40B4-BE49-F238E27FC236}">
                    <a16:creationId xmlns:a16="http://schemas.microsoft.com/office/drawing/2014/main" id="{00000000-0008-0000-0100-000018000000}"/>
                  </a:ext>
                </a:extLst>
              </xdr:cNvPr>
              <xdr:cNvSpPr txBox="1"/>
            </xdr:nvSpPr>
            <xdr:spPr>
              <a:xfrm>
                <a:off x="3038475" y="74961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330F874C-4C58-413D-B31B-7FE8D3AE190B}" type="TxLink">
                  <a:rPr lang="en-US" sz="1200" b="0" i="0" u="none" strike="noStrike">
                    <a:solidFill>
                      <a:schemeClr val="bg1"/>
                    </a:solidFill>
                    <a:latin typeface="Avenir Next LT Pro"/>
                  </a:rPr>
                  <a:pPr/>
                  <a:t>April 4, 2015</a:t>
                </a:fld>
                <a:endParaRPr lang="en-CA" sz="1400">
                  <a:solidFill>
                    <a:schemeClr val="bg1"/>
                  </a:solidFill>
                  <a:latin typeface="Avenir Next LT Pro" panose="020B0504020202020204" pitchFamily="34" charset="0"/>
                </a:endParaRPr>
              </a:p>
            </xdr:txBody>
          </xdr:sp>
          <xdr:sp macro="" textlink="Pivot_tables!AV17">
            <xdr:nvSpPr>
              <xdr:cNvPr id="25" name="TextBox 24">
                <a:extLst>
                  <a:ext uri="{FF2B5EF4-FFF2-40B4-BE49-F238E27FC236}">
                    <a16:creationId xmlns:a16="http://schemas.microsoft.com/office/drawing/2014/main" id="{00000000-0008-0000-0100-000019000000}"/>
                  </a:ext>
                </a:extLst>
              </xdr:cNvPr>
              <xdr:cNvSpPr txBox="1"/>
            </xdr:nvSpPr>
            <xdr:spPr>
              <a:xfrm>
                <a:off x="3038475" y="80295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53C4800-0C9E-46BE-BE43-D2D33A6C32DB}" type="TxLink">
                  <a:rPr lang="en-US" sz="1200" b="0" i="0" u="none" strike="noStrike">
                    <a:solidFill>
                      <a:schemeClr val="bg1"/>
                    </a:solidFill>
                    <a:latin typeface="Avenir Next LT Pro"/>
                  </a:rPr>
                  <a:pPr/>
                  <a:t>June 20, 2015</a:t>
                </a:fld>
                <a:endParaRPr lang="en-CA" sz="1400">
                  <a:solidFill>
                    <a:schemeClr val="bg1"/>
                  </a:solidFill>
                  <a:latin typeface="Avenir Next LT Pro" panose="020B0504020202020204" pitchFamily="34" charset="0"/>
                </a:endParaRPr>
              </a:p>
            </xdr:txBody>
          </xdr:sp>
        </xdr:grpSp>
        <xdr:grpSp>
          <xdr:nvGrpSpPr>
            <xdr:cNvPr id="43" name="Group 42">
              <a:extLst>
                <a:ext uri="{FF2B5EF4-FFF2-40B4-BE49-F238E27FC236}">
                  <a16:creationId xmlns:a16="http://schemas.microsoft.com/office/drawing/2014/main" id="{00000000-0008-0000-0100-00002B000000}"/>
                </a:ext>
              </a:extLst>
            </xdr:cNvPr>
            <xdr:cNvGrpSpPr/>
          </xdr:nvGrpSpPr>
          <xdr:grpSpPr>
            <a:xfrm>
              <a:off x="4143375" y="6038851"/>
              <a:ext cx="900000" cy="790574"/>
              <a:chOff x="3038475" y="7496176"/>
              <a:chExt cx="1620000" cy="790574"/>
            </a:xfrm>
          </xdr:grpSpPr>
          <xdr:sp macro="" textlink="Pivot_tables!AU16">
            <xdr:nvSpPr>
              <xdr:cNvPr id="45" name="TextBox 44">
                <a:extLst>
                  <a:ext uri="{FF2B5EF4-FFF2-40B4-BE49-F238E27FC236}">
                    <a16:creationId xmlns:a16="http://schemas.microsoft.com/office/drawing/2014/main" id="{00000000-0008-0000-0100-00002D000000}"/>
                  </a:ext>
                </a:extLst>
              </xdr:cNvPr>
              <xdr:cNvSpPr txBox="1"/>
            </xdr:nvSpPr>
            <xdr:spPr>
              <a:xfrm>
                <a:off x="3038475" y="77628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C3B6A5B-478D-4DE7-B2D5-F44E79C3DF8D}" type="TxLink">
                  <a:rPr lang="en-US" sz="1200" b="0" i="0" u="none" strike="noStrike">
                    <a:solidFill>
                      <a:schemeClr val="bg1"/>
                    </a:solidFill>
                    <a:latin typeface="Avenir Next LT Pro"/>
                  </a:rPr>
                  <a:pPr algn="r"/>
                  <a:t> 56,765 </a:t>
                </a:fld>
                <a:endParaRPr lang="en-CA" sz="1400">
                  <a:solidFill>
                    <a:schemeClr val="bg1"/>
                  </a:solidFill>
                  <a:latin typeface="Avenir Next LT Pro" panose="020B0504020202020204" pitchFamily="34" charset="0"/>
                </a:endParaRPr>
              </a:p>
            </xdr:txBody>
          </xdr:sp>
          <xdr:sp macro="" textlink="Pivot_tables!AU15">
            <xdr:nvSpPr>
              <xdr:cNvPr id="46" name="TextBox 45">
                <a:extLst>
                  <a:ext uri="{FF2B5EF4-FFF2-40B4-BE49-F238E27FC236}">
                    <a16:creationId xmlns:a16="http://schemas.microsoft.com/office/drawing/2014/main" id="{00000000-0008-0000-0100-00002E000000}"/>
                  </a:ext>
                </a:extLst>
              </xdr:cNvPr>
              <xdr:cNvSpPr txBox="1"/>
            </xdr:nvSpPr>
            <xdr:spPr>
              <a:xfrm>
                <a:off x="3038475" y="74961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108F922-944A-4E8F-BE5A-168348542E6F}" type="TxLink">
                  <a:rPr lang="en-US" sz="1200" b="0" i="0" u="none" strike="noStrike">
                    <a:solidFill>
                      <a:schemeClr val="bg1"/>
                    </a:solidFill>
                    <a:latin typeface="Avenir Next LT Pro"/>
                  </a:rPr>
                  <a:pPr algn="r"/>
                  <a:t> 67,268 </a:t>
                </a:fld>
                <a:endParaRPr lang="en-CA" sz="1400">
                  <a:solidFill>
                    <a:schemeClr val="bg1"/>
                  </a:solidFill>
                  <a:latin typeface="Avenir Next LT Pro" panose="020B0504020202020204" pitchFamily="34" charset="0"/>
                </a:endParaRPr>
              </a:p>
            </xdr:txBody>
          </xdr:sp>
          <xdr:sp macro="" textlink="Pivot_tables!AU17">
            <xdr:nvSpPr>
              <xdr:cNvPr id="47" name="TextBox 46">
                <a:extLst>
                  <a:ext uri="{FF2B5EF4-FFF2-40B4-BE49-F238E27FC236}">
                    <a16:creationId xmlns:a16="http://schemas.microsoft.com/office/drawing/2014/main" id="{00000000-0008-0000-0100-00002F000000}"/>
                  </a:ext>
                </a:extLst>
              </xdr:cNvPr>
              <xdr:cNvSpPr txBox="1"/>
            </xdr:nvSpPr>
            <xdr:spPr>
              <a:xfrm>
                <a:off x="3038475" y="80295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479C203-0495-4377-AF68-166E163BE501}" type="TxLink">
                  <a:rPr lang="en-US" sz="1200" b="0" i="0" u="none" strike="noStrike">
                    <a:solidFill>
                      <a:schemeClr val="bg1"/>
                    </a:solidFill>
                    <a:latin typeface="Avenir Next LT Pro"/>
                  </a:rPr>
                  <a:pPr algn="r"/>
                  <a:t> 49,028 </a:t>
                </a:fld>
                <a:endParaRPr lang="en-CA" sz="1400">
                  <a:solidFill>
                    <a:schemeClr val="bg1"/>
                  </a:solidFill>
                  <a:latin typeface="Avenir Next LT Pro" panose="020B0504020202020204" pitchFamily="34" charset="0"/>
                </a:endParaRPr>
              </a:p>
            </xdr:txBody>
          </xdr:sp>
        </xdr:grpSp>
      </xdr:grpSp>
      <xdr:grpSp>
        <xdr:nvGrpSpPr>
          <xdr:cNvPr id="2211" name="Group 2210">
            <a:extLst>
              <a:ext uri="{FF2B5EF4-FFF2-40B4-BE49-F238E27FC236}">
                <a16:creationId xmlns:a16="http://schemas.microsoft.com/office/drawing/2014/main" id="{00000000-0008-0000-0100-0000A3080000}"/>
              </a:ext>
            </a:extLst>
          </xdr:cNvPr>
          <xdr:cNvGrpSpPr/>
        </xdr:nvGrpSpPr>
        <xdr:grpSpPr>
          <a:xfrm>
            <a:off x="4273114" y="7138210"/>
            <a:ext cx="2880000" cy="1313471"/>
            <a:chOff x="2505075" y="5813599"/>
            <a:chExt cx="2538300" cy="1015826"/>
          </a:xfrm>
        </xdr:grpSpPr>
        <xdr:grpSp>
          <xdr:nvGrpSpPr>
            <xdr:cNvPr id="2212" name="Group 2211">
              <a:extLst>
                <a:ext uri="{FF2B5EF4-FFF2-40B4-BE49-F238E27FC236}">
                  <a16:creationId xmlns:a16="http://schemas.microsoft.com/office/drawing/2014/main" id="{00000000-0008-0000-0100-0000A4080000}"/>
                </a:ext>
              </a:extLst>
            </xdr:cNvPr>
            <xdr:cNvGrpSpPr/>
          </xdr:nvGrpSpPr>
          <xdr:grpSpPr>
            <a:xfrm>
              <a:off x="2505075" y="5813599"/>
              <a:ext cx="1620000" cy="1015826"/>
              <a:chOff x="3038475" y="7270924"/>
              <a:chExt cx="1620000" cy="1015826"/>
            </a:xfrm>
          </xdr:grpSpPr>
          <xdr:sp macro="" textlink="">
            <xdr:nvSpPr>
              <xdr:cNvPr id="2217" name="TextBox 2216">
                <a:extLst>
                  <a:ext uri="{FF2B5EF4-FFF2-40B4-BE49-F238E27FC236}">
                    <a16:creationId xmlns:a16="http://schemas.microsoft.com/office/drawing/2014/main" id="{00000000-0008-0000-0100-0000A9080000}"/>
                  </a:ext>
                </a:extLst>
              </xdr:cNvPr>
              <xdr:cNvSpPr txBox="1"/>
            </xdr:nvSpPr>
            <xdr:spPr>
              <a:xfrm>
                <a:off x="3038475" y="7270924"/>
                <a:ext cx="1125871"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CA" sz="1400">
                    <a:solidFill>
                      <a:srgbClr val="D43260"/>
                    </a:solidFill>
                    <a:latin typeface="Avenir Next LT Pro" panose="020B0504020202020204" pitchFamily="34" charset="0"/>
                  </a:rPr>
                  <a:t>Least Sale Days</a:t>
                </a:r>
              </a:p>
            </xdr:txBody>
          </xdr:sp>
          <xdr:sp macro="" textlink="Pivot_tables!AV21">
            <xdr:nvSpPr>
              <xdr:cNvPr id="2218" name="TextBox 2217">
                <a:extLst>
                  <a:ext uri="{FF2B5EF4-FFF2-40B4-BE49-F238E27FC236}">
                    <a16:creationId xmlns:a16="http://schemas.microsoft.com/office/drawing/2014/main" id="{00000000-0008-0000-0100-0000AA080000}"/>
                  </a:ext>
                </a:extLst>
              </xdr:cNvPr>
              <xdr:cNvSpPr txBox="1"/>
            </xdr:nvSpPr>
            <xdr:spPr>
              <a:xfrm>
                <a:off x="3038475" y="77628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EB00A890-C015-4B9B-A2C3-B8F1F875C2F7}" type="TxLink">
                  <a:rPr lang="en-US" sz="1200" b="0" i="0" u="none" strike="noStrike">
                    <a:solidFill>
                      <a:schemeClr val="bg1"/>
                    </a:solidFill>
                    <a:latin typeface="Avenir Next LT Pro"/>
                  </a:rPr>
                  <a:pPr/>
                  <a:t>March 3, 2015</a:t>
                </a:fld>
                <a:endParaRPr lang="en-CA" sz="1400">
                  <a:solidFill>
                    <a:schemeClr val="bg1"/>
                  </a:solidFill>
                  <a:latin typeface="Avenir Next LT Pro" panose="020B0504020202020204" pitchFamily="34" charset="0"/>
                </a:endParaRPr>
              </a:p>
            </xdr:txBody>
          </xdr:sp>
          <xdr:sp macro="" textlink="Pivot_tables!AV20">
            <xdr:nvSpPr>
              <xdr:cNvPr id="2219" name="TextBox 2218">
                <a:extLst>
                  <a:ext uri="{FF2B5EF4-FFF2-40B4-BE49-F238E27FC236}">
                    <a16:creationId xmlns:a16="http://schemas.microsoft.com/office/drawing/2014/main" id="{00000000-0008-0000-0100-0000AB080000}"/>
                  </a:ext>
                </a:extLst>
              </xdr:cNvPr>
              <xdr:cNvSpPr txBox="1"/>
            </xdr:nvSpPr>
            <xdr:spPr>
              <a:xfrm>
                <a:off x="3038475" y="74961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F799C927-36C0-4FB5-AB35-EC8CA00864E8}" type="TxLink">
                  <a:rPr lang="en-US" sz="1200" b="0" i="0" u="none" strike="noStrike">
                    <a:solidFill>
                      <a:schemeClr val="bg1"/>
                    </a:solidFill>
                    <a:latin typeface="Avenir Next LT Pro"/>
                  </a:rPr>
                  <a:pPr/>
                  <a:t>March 31, 2015</a:t>
                </a:fld>
                <a:endParaRPr lang="en-CA" sz="1400">
                  <a:solidFill>
                    <a:schemeClr val="bg1"/>
                  </a:solidFill>
                  <a:latin typeface="Avenir Next LT Pro" panose="020B0504020202020204" pitchFamily="34" charset="0"/>
                </a:endParaRPr>
              </a:p>
            </xdr:txBody>
          </xdr:sp>
          <xdr:sp macro="" textlink="Pivot_tables!AV22">
            <xdr:nvSpPr>
              <xdr:cNvPr id="2220" name="TextBox 2219">
                <a:extLst>
                  <a:ext uri="{FF2B5EF4-FFF2-40B4-BE49-F238E27FC236}">
                    <a16:creationId xmlns:a16="http://schemas.microsoft.com/office/drawing/2014/main" id="{00000000-0008-0000-0100-0000AC080000}"/>
                  </a:ext>
                </a:extLst>
              </xdr:cNvPr>
              <xdr:cNvSpPr txBox="1"/>
            </xdr:nvSpPr>
            <xdr:spPr>
              <a:xfrm>
                <a:off x="3038475" y="80295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05953B16-2A7E-47C0-BA0B-D783865CA86B}" type="TxLink">
                  <a:rPr lang="en-US" sz="1200" b="0" i="0" u="none" strike="noStrike">
                    <a:solidFill>
                      <a:schemeClr val="bg1"/>
                    </a:solidFill>
                    <a:latin typeface="Avenir Next LT Pro"/>
                  </a:rPr>
                  <a:pPr/>
                  <a:t>June 27, 2015</a:t>
                </a:fld>
                <a:endParaRPr lang="en-CA" sz="1400">
                  <a:solidFill>
                    <a:schemeClr val="bg1"/>
                  </a:solidFill>
                  <a:latin typeface="Avenir Next LT Pro" panose="020B0504020202020204" pitchFamily="34" charset="0"/>
                </a:endParaRPr>
              </a:p>
            </xdr:txBody>
          </xdr:sp>
        </xdr:grpSp>
        <xdr:grpSp>
          <xdr:nvGrpSpPr>
            <xdr:cNvPr id="2213" name="Group 2212">
              <a:extLst>
                <a:ext uri="{FF2B5EF4-FFF2-40B4-BE49-F238E27FC236}">
                  <a16:creationId xmlns:a16="http://schemas.microsoft.com/office/drawing/2014/main" id="{00000000-0008-0000-0100-0000A5080000}"/>
                </a:ext>
              </a:extLst>
            </xdr:cNvPr>
            <xdr:cNvGrpSpPr/>
          </xdr:nvGrpSpPr>
          <xdr:grpSpPr>
            <a:xfrm>
              <a:off x="4143375" y="6038851"/>
              <a:ext cx="900000" cy="790574"/>
              <a:chOff x="3038475" y="7496176"/>
              <a:chExt cx="1620000" cy="790574"/>
            </a:xfrm>
          </xdr:grpSpPr>
          <xdr:sp macro="" textlink="Pivot_tables!AU21">
            <xdr:nvSpPr>
              <xdr:cNvPr id="2214" name="TextBox 2213">
                <a:extLst>
                  <a:ext uri="{FF2B5EF4-FFF2-40B4-BE49-F238E27FC236}">
                    <a16:creationId xmlns:a16="http://schemas.microsoft.com/office/drawing/2014/main" id="{00000000-0008-0000-0100-0000A6080000}"/>
                  </a:ext>
                </a:extLst>
              </xdr:cNvPr>
              <xdr:cNvSpPr txBox="1"/>
            </xdr:nvSpPr>
            <xdr:spPr>
              <a:xfrm>
                <a:off x="3038475" y="77628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0E4E9E1-5F89-4612-89B0-2BF3F12EEAAE}" type="TxLink">
                  <a:rPr lang="en-US" sz="1200" b="0" i="0" u="none" strike="noStrike">
                    <a:solidFill>
                      <a:schemeClr val="bg1"/>
                    </a:solidFill>
                    <a:latin typeface="Avenir Next LT Pro"/>
                  </a:rPr>
                  <a:pPr algn="r"/>
                  <a:t> 263 </a:t>
                </a:fld>
                <a:endParaRPr lang="en-CA" sz="1400">
                  <a:solidFill>
                    <a:schemeClr val="bg1"/>
                  </a:solidFill>
                  <a:latin typeface="Avenir Next LT Pro" panose="020B0504020202020204" pitchFamily="34" charset="0"/>
                </a:endParaRPr>
              </a:p>
            </xdr:txBody>
          </xdr:sp>
          <xdr:sp macro="" textlink="Pivot_tables!AU20">
            <xdr:nvSpPr>
              <xdr:cNvPr id="2215" name="TextBox 2214">
                <a:extLst>
                  <a:ext uri="{FF2B5EF4-FFF2-40B4-BE49-F238E27FC236}">
                    <a16:creationId xmlns:a16="http://schemas.microsoft.com/office/drawing/2014/main" id="{00000000-0008-0000-0100-0000A7080000}"/>
                  </a:ext>
                </a:extLst>
              </xdr:cNvPr>
              <xdr:cNvSpPr txBox="1"/>
            </xdr:nvSpPr>
            <xdr:spPr>
              <a:xfrm>
                <a:off x="3038475" y="74961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4DB2BCB-1A9E-49CD-B8C6-065AAB579474}" type="TxLink">
                  <a:rPr lang="en-US" sz="1200" b="0" i="0" u="none" strike="noStrike">
                    <a:solidFill>
                      <a:schemeClr val="bg1"/>
                    </a:solidFill>
                    <a:latin typeface="Avenir Next LT Pro"/>
                  </a:rPr>
                  <a:pPr algn="r"/>
                  <a:t> 102 </a:t>
                </a:fld>
                <a:endParaRPr lang="en-CA" sz="1400">
                  <a:solidFill>
                    <a:schemeClr val="bg1"/>
                  </a:solidFill>
                  <a:latin typeface="Avenir Next LT Pro" panose="020B0504020202020204" pitchFamily="34" charset="0"/>
                </a:endParaRPr>
              </a:p>
            </xdr:txBody>
          </xdr:sp>
          <xdr:sp macro="" textlink="Pivot_tables!AU22">
            <xdr:nvSpPr>
              <xdr:cNvPr id="2216" name="TextBox 2215">
                <a:extLst>
                  <a:ext uri="{FF2B5EF4-FFF2-40B4-BE49-F238E27FC236}">
                    <a16:creationId xmlns:a16="http://schemas.microsoft.com/office/drawing/2014/main" id="{00000000-0008-0000-0100-0000A8080000}"/>
                  </a:ext>
                </a:extLst>
              </xdr:cNvPr>
              <xdr:cNvSpPr txBox="1"/>
            </xdr:nvSpPr>
            <xdr:spPr>
              <a:xfrm>
                <a:off x="3038475" y="80295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35DA16B-1F80-4A5E-A9DA-80939AA281BC}" type="TxLink">
                  <a:rPr lang="en-US" sz="1200" b="0" i="0" u="none" strike="noStrike">
                    <a:solidFill>
                      <a:schemeClr val="bg1"/>
                    </a:solidFill>
                    <a:latin typeface="Avenir Next LT Pro"/>
                  </a:rPr>
                  <a:pPr algn="r"/>
                  <a:t> 338 </a:t>
                </a:fld>
                <a:endParaRPr lang="en-CA" sz="1400">
                  <a:solidFill>
                    <a:schemeClr val="bg1"/>
                  </a:solidFill>
                  <a:latin typeface="Avenir Next LT Pro" panose="020B0504020202020204" pitchFamily="34" charset="0"/>
                </a:endParaRPr>
              </a:p>
            </xdr:txBody>
          </xdr:sp>
        </xdr:grpSp>
      </xdr:grpSp>
    </xdr:grpSp>
    <xdr:clientData/>
  </xdr:twoCellAnchor>
  <xdr:twoCellAnchor editAs="absolute">
    <xdr:from>
      <xdr:col>14</xdr:col>
      <xdr:colOff>481044</xdr:colOff>
      <xdr:row>35</xdr:row>
      <xdr:rowOff>70221</xdr:rowOff>
    </xdr:from>
    <xdr:to>
      <xdr:col>20</xdr:col>
      <xdr:colOff>63444</xdr:colOff>
      <xdr:row>50</xdr:row>
      <xdr:rowOff>35565</xdr:rowOff>
    </xdr:to>
    <xdr:grpSp>
      <xdr:nvGrpSpPr>
        <xdr:cNvPr id="49" name="Group 48">
          <a:extLst>
            <a:ext uri="{FF2B5EF4-FFF2-40B4-BE49-F238E27FC236}">
              <a16:creationId xmlns:a16="http://schemas.microsoft.com/office/drawing/2014/main" id="{00000000-0008-0000-0100-000031000000}"/>
            </a:ext>
          </a:extLst>
        </xdr:cNvPr>
        <xdr:cNvGrpSpPr/>
      </xdr:nvGrpSpPr>
      <xdr:grpSpPr>
        <a:xfrm>
          <a:off x="9015444" y="5794746"/>
          <a:ext cx="3240000" cy="2822844"/>
          <a:chOff x="4273114" y="5804710"/>
          <a:chExt cx="2880000" cy="2646971"/>
        </a:xfrm>
      </xdr:grpSpPr>
      <xdr:grpSp>
        <xdr:nvGrpSpPr>
          <xdr:cNvPr id="50" name="Group 49">
            <a:extLst>
              <a:ext uri="{FF2B5EF4-FFF2-40B4-BE49-F238E27FC236}">
                <a16:creationId xmlns:a16="http://schemas.microsoft.com/office/drawing/2014/main" id="{00000000-0008-0000-0100-000032000000}"/>
              </a:ext>
            </a:extLst>
          </xdr:cNvPr>
          <xdr:cNvGrpSpPr/>
        </xdr:nvGrpSpPr>
        <xdr:grpSpPr>
          <a:xfrm>
            <a:off x="4273114" y="5804710"/>
            <a:ext cx="2880000" cy="1313471"/>
            <a:chOff x="2505075" y="5813599"/>
            <a:chExt cx="2538300" cy="1015826"/>
          </a:xfrm>
        </xdr:grpSpPr>
        <xdr:grpSp>
          <xdr:nvGrpSpPr>
            <xdr:cNvPr id="61" name="Group 60">
              <a:extLst>
                <a:ext uri="{FF2B5EF4-FFF2-40B4-BE49-F238E27FC236}">
                  <a16:creationId xmlns:a16="http://schemas.microsoft.com/office/drawing/2014/main" id="{00000000-0008-0000-0100-00003D000000}"/>
                </a:ext>
              </a:extLst>
            </xdr:cNvPr>
            <xdr:cNvGrpSpPr/>
          </xdr:nvGrpSpPr>
          <xdr:grpSpPr>
            <a:xfrm>
              <a:off x="2505075" y="5813599"/>
              <a:ext cx="2357112" cy="1015826"/>
              <a:chOff x="3038475" y="7270924"/>
              <a:chExt cx="2357112" cy="1015826"/>
            </a:xfrm>
          </xdr:grpSpPr>
          <xdr:sp macro="" textlink="">
            <xdr:nvSpPr>
              <xdr:cNvPr id="2242" name="TextBox 2241">
                <a:extLst>
                  <a:ext uri="{FF2B5EF4-FFF2-40B4-BE49-F238E27FC236}">
                    <a16:creationId xmlns:a16="http://schemas.microsoft.com/office/drawing/2014/main" id="{00000000-0008-0000-0100-0000C2080000}"/>
                  </a:ext>
                </a:extLst>
              </xdr:cNvPr>
              <xdr:cNvSpPr txBox="1"/>
            </xdr:nvSpPr>
            <xdr:spPr>
              <a:xfrm>
                <a:off x="3038475" y="7270924"/>
                <a:ext cx="2357112"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CA" sz="1400">
                    <a:solidFill>
                      <a:srgbClr val="D43260"/>
                    </a:solidFill>
                    <a:latin typeface="Avenir Next LT Pro" panose="020B0504020202020204" pitchFamily="34" charset="0"/>
                  </a:rPr>
                  <a:t>Best Performing Products</a:t>
                </a:r>
              </a:p>
            </xdr:txBody>
          </xdr:sp>
          <xdr:sp macro="" textlink="Pivot_tables!AX16">
            <xdr:nvSpPr>
              <xdr:cNvPr id="2243" name="TextBox 2242">
                <a:extLst>
                  <a:ext uri="{FF2B5EF4-FFF2-40B4-BE49-F238E27FC236}">
                    <a16:creationId xmlns:a16="http://schemas.microsoft.com/office/drawing/2014/main" id="{00000000-0008-0000-0100-0000C3080000}"/>
                  </a:ext>
                </a:extLst>
              </xdr:cNvPr>
              <xdr:cNvSpPr txBox="1"/>
            </xdr:nvSpPr>
            <xdr:spPr>
              <a:xfrm>
                <a:off x="3038475" y="7762876"/>
                <a:ext cx="1928936"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766C2540-5EB6-4021-ABE5-F912556BDF90}" type="TxLink">
                  <a:rPr lang="en-US" sz="1200" b="0" i="0" u="none" strike="noStrike">
                    <a:solidFill>
                      <a:schemeClr val="bg1"/>
                    </a:solidFill>
                    <a:latin typeface="Avenir Next LT Pro"/>
                  </a:rPr>
                  <a:pPr/>
                  <a:t>Chairs &amp; Chairmats</a:t>
                </a:fld>
                <a:endParaRPr lang="en-CA" sz="1400">
                  <a:solidFill>
                    <a:schemeClr val="bg1"/>
                  </a:solidFill>
                  <a:latin typeface="Avenir Next LT Pro" panose="020B0504020202020204" pitchFamily="34" charset="0"/>
                </a:endParaRPr>
              </a:p>
            </xdr:txBody>
          </xdr:sp>
          <xdr:sp macro="" textlink="Pivot_tables!AX15">
            <xdr:nvSpPr>
              <xdr:cNvPr id="2244" name="TextBox 2243">
                <a:extLst>
                  <a:ext uri="{FF2B5EF4-FFF2-40B4-BE49-F238E27FC236}">
                    <a16:creationId xmlns:a16="http://schemas.microsoft.com/office/drawing/2014/main" id="{00000000-0008-0000-0100-0000C4080000}"/>
                  </a:ext>
                </a:extLst>
              </xdr:cNvPr>
              <xdr:cNvSpPr txBox="1"/>
            </xdr:nvSpPr>
            <xdr:spPr>
              <a:xfrm>
                <a:off x="3038475" y="74961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4E956EE-A4A9-4A85-90FD-AEAE4C859EA3}" type="TxLink">
                  <a:rPr lang="en-US" sz="1200" b="0" i="0" u="none" strike="noStrike">
                    <a:solidFill>
                      <a:schemeClr val="bg1"/>
                    </a:solidFill>
                    <a:latin typeface="Avenir Next LT Pro"/>
                  </a:rPr>
                  <a:pPr/>
                  <a:t>Office Machines</a:t>
                </a:fld>
                <a:endParaRPr lang="en-CA" sz="1400">
                  <a:solidFill>
                    <a:schemeClr val="bg1"/>
                  </a:solidFill>
                  <a:latin typeface="Avenir Next LT Pro" panose="020B0504020202020204" pitchFamily="34" charset="0"/>
                </a:endParaRPr>
              </a:p>
            </xdr:txBody>
          </xdr:sp>
          <xdr:sp macro="" textlink="Pivot_tables!AX17">
            <xdr:nvSpPr>
              <xdr:cNvPr id="2246" name="TextBox 2245">
                <a:extLst>
                  <a:ext uri="{FF2B5EF4-FFF2-40B4-BE49-F238E27FC236}">
                    <a16:creationId xmlns:a16="http://schemas.microsoft.com/office/drawing/2014/main" id="{00000000-0008-0000-0100-0000C6080000}"/>
                  </a:ext>
                </a:extLst>
              </xdr:cNvPr>
              <xdr:cNvSpPr txBox="1"/>
            </xdr:nvSpPr>
            <xdr:spPr>
              <a:xfrm>
                <a:off x="3038475" y="8029576"/>
                <a:ext cx="1973709"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F15C2C18-CC6E-43C4-AFA5-D060E8EED1A6}" type="TxLink">
                  <a:rPr lang="en-US" sz="1200" b="0" i="0" u="none" strike="noStrike">
                    <a:solidFill>
                      <a:schemeClr val="bg1"/>
                    </a:solidFill>
                    <a:latin typeface="Avenir Next LT Pro"/>
                  </a:rPr>
                  <a:pPr/>
                  <a:t>Telephones and Communication</a:t>
                </a:fld>
                <a:endParaRPr lang="en-CA" sz="1400">
                  <a:solidFill>
                    <a:schemeClr val="bg1"/>
                  </a:solidFill>
                  <a:latin typeface="Avenir Next LT Pro" panose="020B0504020202020204" pitchFamily="34" charset="0"/>
                </a:endParaRPr>
              </a:p>
            </xdr:txBody>
          </xdr:sp>
        </xdr:grpSp>
        <xdr:grpSp>
          <xdr:nvGrpSpPr>
            <xdr:cNvPr id="62" name="Group 61">
              <a:extLst>
                <a:ext uri="{FF2B5EF4-FFF2-40B4-BE49-F238E27FC236}">
                  <a16:creationId xmlns:a16="http://schemas.microsoft.com/office/drawing/2014/main" id="{00000000-0008-0000-0100-00003E000000}"/>
                </a:ext>
              </a:extLst>
            </xdr:cNvPr>
            <xdr:cNvGrpSpPr/>
          </xdr:nvGrpSpPr>
          <xdr:grpSpPr>
            <a:xfrm>
              <a:off x="4143375" y="6038851"/>
              <a:ext cx="900000" cy="790574"/>
              <a:chOff x="3038475" y="7496176"/>
              <a:chExt cx="1620000" cy="790574"/>
            </a:xfrm>
          </xdr:grpSpPr>
          <xdr:sp macro="" textlink="Pivot_tables!AW16">
            <xdr:nvSpPr>
              <xdr:cNvPr id="63" name="TextBox 62">
                <a:extLst>
                  <a:ext uri="{FF2B5EF4-FFF2-40B4-BE49-F238E27FC236}">
                    <a16:creationId xmlns:a16="http://schemas.microsoft.com/office/drawing/2014/main" id="{00000000-0008-0000-0100-00003F000000}"/>
                  </a:ext>
                </a:extLst>
              </xdr:cNvPr>
              <xdr:cNvSpPr txBox="1"/>
            </xdr:nvSpPr>
            <xdr:spPr>
              <a:xfrm>
                <a:off x="3038475" y="77628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F6C3E88-1DFD-46EE-8190-93CBBFAE769D}" type="TxLink">
                  <a:rPr lang="en-US" sz="1200" b="0" i="0" u="none" strike="noStrike">
                    <a:solidFill>
                      <a:schemeClr val="bg1"/>
                    </a:solidFill>
                    <a:latin typeface="Avenir Next LT Pro"/>
                  </a:rPr>
                  <a:pPr algn="r"/>
                  <a:t> 241,200 </a:t>
                </a:fld>
                <a:endParaRPr lang="en-CA" sz="1600">
                  <a:solidFill>
                    <a:schemeClr val="bg1"/>
                  </a:solidFill>
                  <a:latin typeface="Avenir Next LT Pro" panose="020B0504020202020204" pitchFamily="34" charset="0"/>
                </a:endParaRPr>
              </a:p>
            </xdr:txBody>
          </xdr:sp>
          <xdr:sp macro="" textlink="Pivot_tables!AW15">
            <xdr:nvSpPr>
              <xdr:cNvPr id="2240" name="TextBox 2239">
                <a:extLst>
                  <a:ext uri="{FF2B5EF4-FFF2-40B4-BE49-F238E27FC236}">
                    <a16:creationId xmlns:a16="http://schemas.microsoft.com/office/drawing/2014/main" id="{00000000-0008-0000-0100-0000C0080000}"/>
                  </a:ext>
                </a:extLst>
              </xdr:cNvPr>
              <xdr:cNvSpPr txBox="1"/>
            </xdr:nvSpPr>
            <xdr:spPr>
              <a:xfrm>
                <a:off x="3038475" y="74961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0929295-2125-40B0-9508-B53B4F3EA2BF}" type="TxLink">
                  <a:rPr lang="en-US" sz="1200" b="0" i="0" u="none" strike="noStrike">
                    <a:solidFill>
                      <a:schemeClr val="bg1"/>
                    </a:solidFill>
                    <a:latin typeface="Avenir Next LT Pro"/>
                  </a:rPr>
                  <a:pPr algn="r"/>
                  <a:t> 318,170 </a:t>
                </a:fld>
                <a:endParaRPr lang="en-CA" sz="1600">
                  <a:solidFill>
                    <a:schemeClr val="bg1"/>
                  </a:solidFill>
                  <a:latin typeface="Avenir Next LT Pro" panose="020B0504020202020204" pitchFamily="34" charset="0"/>
                </a:endParaRPr>
              </a:p>
            </xdr:txBody>
          </xdr:sp>
          <xdr:sp macro="" textlink="Pivot_tables!AW17">
            <xdr:nvSpPr>
              <xdr:cNvPr id="2241" name="TextBox 2240">
                <a:extLst>
                  <a:ext uri="{FF2B5EF4-FFF2-40B4-BE49-F238E27FC236}">
                    <a16:creationId xmlns:a16="http://schemas.microsoft.com/office/drawing/2014/main" id="{00000000-0008-0000-0100-0000C1080000}"/>
                  </a:ext>
                </a:extLst>
              </xdr:cNvPr>
              <xdr:cNvSpPr txBox="1"/>
            </xdr:nvSpPr>
            <xdr:spPr>
              <a:xfrm>
                <a:off x="3038475" y="80295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B4B0428-2D74-4D15-AE19-4B3A2D7EFD34}" type="TxLink">
                  <a:rPr lang="en-US" sz="1200" b="0" i="0" u="none" strike="noStrike">
                    <a:solidFill>
                      <a:schemeClr val="bg1"/>
                    </a:solidFill>
                    <a:latin typeface="Avenir Next LT Pro"/>
                  </a:rPr>
                  <a:pPr algn="r"/>
                  <a:t> 198,764 </a:t>
                </a:fld>
                <a:endParaRPr lang="en-CA" sz="1600">
                  <a:solidFill>
                    <a:schemeClr val="bg1"/>
                  </a:solidFill>
                  <a:latin typeface="Avenir Next LT Pro" panose="020B0504020202020204" pitchFamily="34" charset="0"/>
                </a:endParaRPr>
              </a:p>
            </xdr:txBody>
          </xdr:sp>
        </xdr:grpSp>
      </xdr:grpSp>
      <xdr:grpSp>
        <xdr:nvGrpSpPr>
          <xdr:cNvPr id="51" name="Group 50">
            <a:extLst>
              <a:ext uri="{FF2B5EF4-FFF2-40B4-BE49-F238E27FC236}">
                <a16:creationId xmlns:a16="http://schemas.microsoft.com/office/drawing/2014/main" id="{00000000-0008-0000-0100-000033000000}"/>
              </a:ext>
            </a:extLst>
          </xdr:cNvPr>
          <xdr:cNvGrpSpPr/>
        </xdr:nvGrpSpPr>
        <xdr:grpSpPr>
          <a:xfrm>
            <a:off x="4273114" y="7138210"/>
            <a:ext cx="2880000" cy="1313471"/>
            <a:chOff x="2505075" y="5813599"/>
            <a:chExt cx="2538300" cy="1015826"/>
          </a:xfrm>
        </xdr:grpSpPr>
        <xdr:grpSp>
          <xdr:nvGrpSpPr>
            <xdr:cNvPr id="52" name="Group 51">
              <a:extLst>
                <a:ext uri="{FF2B5EF4-FFF2-40B4-BE49-F238E27FC236}">
                  <a16:creationId xmlns:a16="http://schemas.microsoft.com/office/drawing/2014/main" id="{00000000-0008-0000-0100-000034000000}"/>
                </a:ext>
              </a:extLst>
            </xdr:cNvPr>
            <xdr:cNvGrpSpPr/>
          </xdr:nvGrpSpPr>
          <xdr:grpSpPr>
            <a:xfrm>
              <a:off x="2505075" y="5813599"/>
              <a:ext cx="2309706" cy="1015826"/>
              <a:chOff x="3038475" y="7270924"/>
              <a:chExt cx="2309706" cy="1015826"/>
            </a:xfrm>
          </xdr:grpSpPr>
          <xdr:sp macro="" textlink="">
            <xdr:nvSpPr>
              <xdr:cNvPr id="57" name="TextBox 56">
                <a:extLst>
                  <a:ext uri="{FF2B5EF4-FFF2-40B4-BE49-F238E27FC236}">
                    <a16:creationId xmlns:a16="http://schemas.microsoft.com/office/drawing/2014/main" id="{00000000-0008-0000-0100-000039000000}"/>
                  </a:ext>
                </a:extLst>
              </xdr:cNvPr>
              <xdr:cNvSpPr txBox="1"/>
            </xdr:nvSpPr>
            <xdr:spPr>
              <a:xfrm>
                <a:off x="3038475" y="7270924"/>
                <a:ext cx="2309706"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CA" sz="1400">
                    <a:solidFill>
                      <a:srgbClr val="D43260"/>
                    </a:solidFill>
                    <a:latin typeface="Avenir Next LT Pro" panose="020B0504020202020204" pitchFamily="34" charset="0"/>
                  </a:rPr>
                  <a:t>Least Performing Products</a:t>
                </a:r>
              </a:p>
            </xdr:txBody>
          </xdr:sp>
          <xdr:sp macro="" textlink="Pivot_tables!AX21">
            <xdr:nvSpPr>
              <xdr:cNvPr id="58" name="TextBox 57">
                <a:extLst>
                  <a:ext uri="{FF2B5EF4-FFF2-40B4-BE49-F238E27FC236}">
                    <a16:creationId xmlns:a16="http://schemas.microsoft.com/office/drawing/2014/main" id="{00000000-0008-0000-0100-00003A000000}"/>
                  </a:ext>
                </a:extLst>
              </xdr:cNvPr>
              <xdr:cNvSpPr txBox="1"/>
            </xdr:nvSpPr>
            <xdr:spPr>
              <a:xfrm>
                <a:off x="3038475" y="77628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92D30DFF-0C53-44ED-A810-A0A70AF5EEC0}" type="TxLink">
                  <a:rPr lang="en-US" sz="1200" b="0" i="0" u="none" strike="noStrike">
                    <a:solidFill>
                      <a:schemeClr val="bg1"/>
                    </a:solidFill>
                    <a:latin typeface="Avenir Next LT Pro"/>
                  </a:rPr>
                  <a:pPr/>
                  <a:t>Labels</a:t>
                </a:fld>
                <a:endParaRPr lang="en-CA" sz="1400">
                  <a:solidFill>
                    <a:schemeClr val="bg1"/>
                  </a:solidFill>
                  <a:latin typeface="Avenir Next LT Pro" panose="020B0504020202020204" pitchFamily="34" charset="0"/>
                </a:endParaRPr>
              </a:p>
            </xdr:txBody>
          </xdr:sp>
          <xdr:sp macro="" textlink="Pivot_tables!AX20">
            <xdr:nvSpPr>
              <xdr:cNvPr id="59" name="TextBox 58">
                <a:extLst>
                  <a:ext uri="{FF2B5EF4-FFF2-40B4-BE49-F238E27FC236}">
                    <a16:creationId xmlns:a16="http://schemas.microsoft.com/office/drawing/2014/main" id="{00000000-0008-0000-0100-00003B000000}"/>
                  </a:ext>
                </a:extLst>
              </xdr:cNvPr>
              <xdr:cNvSpPr txBox="1"/>
            </xdr:nvSpPr>
            <xdr:spPr>
              <a:xfrm>
                <a:off x="3038475" y="74961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7405F9CF-25A4-45AA-BAA7-70013A265618}" type="TxLink">
                  <a:rPr lang="en-US" sz="1200" b="0" i="0" u="none" strike="noStrike">
                    <a:solidFill>
                      <a:schemeClr val="bg1"/>
                    </a:solidFill>
                    <a:latin typeface="Avenir Next LT Pro"/>
                  </a:rPr>
                  <a:pPr/>
                  <a:t>Rubber Bands</a:t>
                </a:fld>
                <a:endParaRPr lang="en-CA" sz="1400">
                  <a:solidFill>
                    <a:schemeClr val="bg1"/>
                  </a:solidFill>
                  <a:latin typeface="Avenir Next LT Pro" panose="020B0504020202020204" pitchFamily="34" charset="0"/>
                </a:endParaRPr>
              </a:p>
            </xdr:txBody>
          </xdr:sp>
          <xdr:sp macro="" textlink="Pivot_tables!AX22">
            <xdr:nvSpPr>
              <xdr:cNvPr id="60" name="TextBox 59">
                <a:extLst>
                  <a:ext uri="{FF2B5EF4-FFF2-40B4-BE49-F238E27FC236}">
                    <a16:creationId xmlns:a16="http://schemas.microsoft.com/office/drawing/2014/main" id="{00000000-0008-0000-0100-00003C000000}"/>
                  </a:ext>
                </a:extLst>
              </xdr:cNvPr>
              <xdr:cNvSpPr txBox="1"/>
            </xdr:nvSpPr>
            <xdr:spPr>
              <a:xfrm>
                <a:off x="3038475" y="8029576"/>
                <a:ext cx="19214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2B13961E-2D77-4D9D-85D0-D1E4477FDCED}" type="TxLink">
                  <a:rPr lang="en-US" sz="1200" b="0" i="0" u="none" strike="noStrike">
                    <a:solidFill>
                      <a:schemeClr val="bg1"/>
                    </a:solidFill>
                    <a:latin typeface="Avenir Next LT Pro"/>
                  </a:rPr>
                  <a:pPr/>
                  <a:t>Scissors, Rulers and Trimmers</a:t>
                </a:fld>
                <a:endParaRPr lang="en-CA" sz="1400">
                  <a:solidFill>
                    <a:schemeClr val="bg1"/>
                  </a:solidFill>
                  <a:latin typeface="Avenir Next LT Pro" panose="020B0504020202020204" pitchFamily="34" charset="0"/>
                </a:endParaRPr>
              </a:p>
            </xdr:txBody>
          </xdr:sp>
        </xdr:grpSp>
        <xdr:grpSp>
          <xdr:nvGrpSpPr>
            <xdr:cNvPr id="53" name="Group 52">
              <a:extLst>
                <a:ext uri="{FF2B5EF4-FFF2-40B4-BE49-F238E27FC236}">
                  <a16:creationId xmlns:a16="http://schemas.microsoft.com/office/drawing/2014/main" id="{00000000-0008-0000-0100-000035000000}"/>
                </a:ext>
              </a:extLst>
            </xdr:cNvPr>
            <xdr:cNvGrpSpPr/>
          </xdr:nvGrpSpPr>
          <xdr:grpSpPr>
            <a:xfrm>
              <a:off x="4143375" y="6038851"/>
              <a:ext cx="900000" cy="790574"/>
              <a:chOff x="3038475" y="7496176"/>
              <a:chExt cx="1620000" cy="790574"/>
            </a:xfrm>
          </xdr:grpSpPr>
          <xdr:sp macro="" textlink="Pivot_tables!AW21">
            <xdr:nvSpPr>
              <xdr:cNvPr id="54" name="TextBox 53">
                <a:extLst>
                  <a:ext uri="{FF2B5EF4-FFF2-40B4-BE49-F238E27FC236}">
                    <a16:creationId xmlns:a16="http://schemas.microsoft.com/office/drawing/2014/main" id="{00000000-0008-0000-0100-000036000000}"/>
                  </a:ext>
                </a:extLst>
              </xdr:cNvPr>
              <xdr:cNvSpPr txBox="1"/>
            </xdr:nvSpPr>
            <xdr:spPr>
              <a:xfrm>
                <a:off x="3038475" y="77628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FE1AD60-A701-47A4-A62D-78BB7CADD5BD}" type="TxLink">
                  <a:rPr lang="en-US" sz="1200" b="0" i="0" u="none" strike="noStrike">
                    <a:solidFill>
                      <a:schemeClr val="bg1"/>
                    </a:solidFill>
                    <a:latin typeface="Avenir Next LT Pro"/>
                  </a:rPr>
                  <a:pPr algn="r"/>
                  <a:t> 4,915 </a:t>
                </a:fld>
                <a:endParaRPr lang="en-CA" sz="1600">
                  <a:solidFill>
                    <a:schemeClr val="bg1"/>
                  </a:solidFill>
                  <a:latin typeface="Avenir Next LT Pro" panose="020B0504020202020204" pitchFamily="34" charset="0"/>
                </a:endParaRPr>
              </a:p>
            </xdr:txBody>
          </xdr:sp>
          <xdr:sp macro="" textlink="Pivot_tables!AW20">
            <xdr:nvSpPr>
              <xdr:cNvPr id="55" name="TextBox 54">
                <a:extLst>
                  <a:ext uri="{FF2B5EF4-FFF2-40B4-BE49-F238E27FC236}">
                    <a16:creationId xmlns:a16="http://schemas.microsoft.com/office/drawing/2014/main" id="{00000000-0008-0000-0100-000037000000}"/>
                  </a:ext>
                </a:extLst>
              </xdr:cNvPr>
              <xdr:cNvSpPr txBox="1"/>
            </xdr:nvSpPr>
            <xdr:spPr>
              <a:xfrm>
                <a:off x="3038475" y="74961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911899B-A892-4F07-910E-EAA5BA73B9CA}" type="TxLink">
                  <a:rPr lang="en-US" sz="1200" b="0" i="0" u="none" strike="noStrike">
                    <a:solidFill>
                      <a:schemeClr val="bg1"/>
                    </a:solidFill>
                    <a:latin typeface="Avenir Next LT Pro"/>
                  </a:rPr>
                  <a:pPr algn="r"/>
                  <a:t> 1,789 </a:t>
                </a:fld>
                <a:endParaRPr lang="en-CA" sz="1600">
                  <a:solidFill>
                    <a:schemeClr val="bg1"/>
                  </a:solidFill>
                  <a:latin typeface="Avenir Next LT Pro" panose="020B0504020202020204" pitchFamily="34" charset="0"/>
                </a:endParaRPr>
              </a:p>
            </xdr:txBody>
          </xdr:sp>
          <xdr:sp macro="" textlink="Pivot_tables!AW22">
            <xdr:nvSpPr>
              <xdr:cNvPr id="56" name="TextBox 55">
                <a:extLst>
                  <a:ext uri="{FF2B5EF4-FFF2-40B4-BE49-F238E27FC236}">
                    <a16:creationId xmlns:a16="http://schemas.microsoft.com/office/drawing/2014/main" id="{00000000-0008-0000-0100-000038000000}"/>
                  </a:ext>
                </a:extLst>
              </xdr:cNvPr>
              <xdr:cNvSpPr txBox="1"/>
            </xdr:nvSpPr>
            <xdr:spPr>
              <a:xfrm>
                <a:off x="3038475" y="8029576"/>
                <a:ext cx="16200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79D9877-8131-4A6B-850D-82A08022CADF}" type="TxLink">
                  <a:rPr lang="en-US" sz="1200" b="0" i="0" u="none" strike="noStrike">
                    <a:solidFill>
                      <a:schemeClr val="bg1"/>
                    </a:solidFill>
                    <a:latin typeface="Avenir Next LT Pro"/>
                  </a:rPr>
                  <a:pPr algn="r"/>
                  <a:t> 6,752 </a:t>
                </a:fld>
                <a:endParaRPr lang="en-CA" sz="1600">
                  <a:solidFill>
                    <a:schemeClr val="bg1"/>
                  </a:solidFill>
                  <a:latin typeface="Avenir Next LT Pro" panose="020B0504020202020204" pitchFamily="34" charset="0"/>
                </a:endParaRPr>
              </a:p>
            </xdr:txBody>
          </xdr:sp>
        </xdr:grpSp>
      </xdr:grpSp>
    </xdr:grpSp>
    <xdr:clientData/>
  </xdr:twoCellAnchor>
  <xdr:twoCellAnchor editAs="absolute">
    <xdr:from>
      <xdr:col>21</xdr:col>
      <xdr:colOff>394939</xdr:colOff>
      <xdr:row>37</xdr:row>
      <xdr:rowOff>114300</xdr:rowOff>
    </xdr:from>
    <xdr:to>
      <xdr:col>27</xdr:col>
      <xdr:colOff>233015</xdr:colOff>
      <xdr:row>50</xdr:row>
      <xdr:rowOff>171450</xdr:rowOff>
    </xdr:to>
    <xdr:graphicFrame macro="">
      <xdr:nvGraphicFramePr>
        <xdr:cNvPr id="2282" name="Chart 2281">
          <a:extLst>
            <a:ext uri="{FF2B5EF4-FFF2-40B4-BE49-F238E27FC236}">
              <a16:creationId xmlns:a16="http://schemas.microsoft.com/office/drawing/2014/main" id="{00000000-0008-0000-0100-0000EA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333375</xdr:colOff>
      <xdr:row>3</xdr:row>
      <xdr:rowOff>38100</xdr:rowOff>
    </xdr:from>
    <xdr:to>
      <xdr:col>19</xdr:col>
      <xdr:colOff>9525</xdr:colOff>
      <xdr:row>6</xdr:row>
      <xdr:rowOff>95250</xdr:rowOff>
    </xdr:to>
    <xdr:grpSp>
      <xdr:nvGrpSpPr>
        <xdr:cNvPr id="2271" name="Group 2270">
          <a:extLst>
            <a:ext uri="{FF2B5EF4-FFF2-40B4-BE49-F238E27FC236}">
              <a16:creationId xmlns:a16="http://schemas.microsoft.com/office/drawing/2014/main" id="{00000000-0008-0000-0100-0000DF080000}"/>
            </a:ext>
          </a:extLst>
        </xdr:cNvPr>
        <xdr:cNvGrpSpPr/>
      </xdr:nvGrpSpPr>
      <xdr:grpSpPr>
        <a:xfrm>
          <a:off x="6429375" y="523875"/>
          <a:ext cx="5162550" cy="542925"/>
          <a:chOff x="6429375" y="523875"/>
          <a:chExt cx="5162550" cy="542925"/>
        </a:xfrm>
      </xdr:grpSpPr>
      <xdr:grpSp>
        <xdr:nvGrpSpPr>
          <xdr:cNvPr id="2270" name="Group 2269">
            <a:extLst>
              <a:ext uri="{FF2B5EF4-FFF2-40B4-BE49-F238E27FC236}">
                <a16:creationId xmlns:a16="http://schemas.microsoft.com/office/drawing/2014/main" id="{00000000-0008-0000-0100-0000DE080000}"/>
              </a:ext>
            </a:extLst>
          </xdr:cNvPr>
          <xdr:cNvGrpSpPr/>
        </xdr:nvGrpSpPr>
        <xdr:grpSpPr>
          <a:xfrm>
            <a:off x="6561381" y="671719"/>
            <a:ext cx="4792419" cy="261525"/>
            <a:chOff x="6561381" y="671719"/>
            <a:chExt cx="4792419" cy="261525"/>
          </a:xfrm>
        </xdr:grpSpPr>
        <xdr:grpSp>
          <xdr:nvGrpSpPr>
            <xdr:cNvPr id="2259" name="Group 2258">
              <a:extLst>
                <a:ext uri="{FF2B5EF4-FFF2-40B4-BE49-F238E27FC236}">
                  <a16:creationId xmlns:a16="http://schemas.microsoft.com/office/drawing/2014/main" id="{00000000-0008-0000-0100-0000D3080000}"/>
                </a:ext>
              </a:extLst>
            </xdr:cNvPr>
            <xdr:cNvGrpSpPr/>
          </xdr:nvGrpSpPr>
          <xdr:grpSpPr>
            <a:xfrm>
              <a:off x="6561381" y="671719"/>
              <a:ext cx="4792419" cy="259350"/>
              <a:chOff x="6561381" y="671719"/>
              <a:chExt cx="4792419" cy="259350"/>
            </a:xfrm>
          </xdr:grpSpPr>
          <xdr:sp macro="" textlink="">
            <xdr:nvSpPr>
              <xdr:cNvPr id="27" name="TextBox 26">
                <a:extLst>
                  <a:ext uri="{FF2B5EF4-FFF2-40B4-BE49-F238E27FC236}">
                    <a16:creationId xmlns:a16="http://schemas.microsoft.com/office/drawing/2014/main" id="{00000000-0008-0000-0100-00001B000000}"/>
                  </a:ext>
                </a:extLst>
              </xdr:cNvPr>
              <xdr:cNvSpPr txBox="1"/>
            </xdr:nvSpPr>
            <xdr:spPr>
              <a:xfrm>
                <a:off x="6561381" y="671719"/>
                <a:ext cx="1525344"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600" b="0" i="0" u="none" strike="noStrike">
                    <a:solidFill>
                      <a:srgbClr val="B1F5F1"/>
                    </a:solidFill>
                    <a:latin typeface="Avenir Next LT Pro"/>
                  </a:rPr>
                  <a:t>Sales Trend</a:t>
                </a:r>
              </a:p>
            </xdr:txBody>
          </xdr:sp>
          <xdr:sp macro="" textlink="">
            <xdr:nvSpPr>
              <xdr:cNvPr id="30" name="TextBox 29">
                <a:extLst>
                  <a:ext uri="{FF2B5EF4-FFF2-40B4-BE49-F238E27FC236}">
                    <a16:creationId xmlns:a16="http://schemas.microsoft.com/office/drawing/2014/main" id="{00000000-0008-0000-0100-00001E000000}"/>
                  </a:ext>
                </a:extLst>
              </xdr:cNvPr>
              <xdr:cNvSpPr txBox="1"/>
            </xdr:nvSpPr>
            <xdr:spPr>
              <a:xfrm>
                <a:off x="8035029" y="673894"/>
                <a:ext cx="1509021"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600" b="0" i="0" u="none" strike="noStrike">
                    <a:solidFill>
                      <a:srgbClr val="B1F5F1"/>
                    </a:solidFill>
                    <a:latin typeface="Avenir Next LT Pro"/>
                  </a:rPr>
                  <a:t>Profit Trend</a:t>
                </a:r>
              </a:p>
            </xdr:txBody>
          </xdr:sp>
          <xdr:sp macro="" textlink="">
            <xdr:nvSpPr>
              <xdr:cNvPr id="33" name="TextBox 32">
                <a:extLst>
                  <a:ext uri="{FF2B5EF4-FFF2-40B4-BE49-F238E27FC236}">
                    <a16:creationId xmlns:a16="http://schemas.microsoft.com/office/drawing/2014/main" id="{00000000-0008-0000-0100-000021000000}"/>
                  </a:ext>
                </a:extLst>
              </xdr:cNvPr>
              <xdr:cNvSpPr txBox="1"/>
            </xdr:nvSpPr>
            <xdr:spPr>
              <a:xfrm>
                <a:off x="9542706" y="671719"/>
                <a:ext cx="1811094"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600" b="0" i="0" u="none" strike="noStrike">
                    <a:solidFill>
                      <a:srgbClr val="B1F5F1"/>
                    </a:solidFill>
                    <a:latin typeface="Avenir Next LT Pro"/>
                  </a:rPr>
                  <a:t>Quantity Trend</a:t>
                </a:r>
              </a:p>
            </xdr:txBody>
          </xdr:sp>
        </xdr:grpSp>
        <mc:AlternateContent xmlns:mc="http://schemas.openxmlformats.org/markup-compatibility/2006">
          <mc:Choice xmlns:a14="http://schemas.microsoft.com/office/drawing/2010/main" Requires="a14">
            <xdr:grpSp>
              <xdr:nvGrpSpPr>
                <xdr:cNvPr id="2260" name="Group 2259">
                  <a:extLst>
                    <a:ext uri="{FF2B5EF4-FFF2-40B4-BE49-F238E27FC236}">
                      <a16:creationId xmlns:a16="http://schemas.microsoft.com/office/drawing/2014/main" id="{00000000-0008-0000-0100-0000D4080000}"/>
                    </a:ext>
                  </a:extLst>
                </xdr:cNvPr>
                <xdr:cNvGrpSpPr/>
              </xdr:nvGrpSpPr>
              <xdr:grpSpPr>
                <a:xfrm>
                  <a:off x="6657705" y="678655"/>
                  <a:ext cx="4486545" cy="254589"/>
                  <a:chOff x="6657705" y="678655"/>
                  <a:chExt cx="4486545" cy="254589"/>
                </a:xfrm>
              </xdr:grpSpPr>
              <xdr:sp macro="" textlink="">
                <xdr:nvSpPr>
                  <xdr:cNvPr id="2050" name="Option 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6657705" y="681243"/>
                    <a:ext cx="1190895" cy="252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8112303" y="678655"/>
                    <a:ext cx="1222198" cy="252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9629506" y="681244"/>
                    <a:ext cx="1514744" cy="252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mc:Choice>
          <mc:Fallback/>
        </mc:AlternateContent>
      </xdr:grpSp>
      <mc:AlternateContent xmlns:mc="http://schemas.openxmlformats.org/markup-compatibility/2006">
        <mc:Choice xmlns:a14="http://schemas.microsoft.com/office/drawing/2010/main" Requires="a14">
          <xdr:sp macro="" textlink="">
            <xdr:nvSpPr>
              <xdr:cNvPr id="2049" name="Group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6429375" y="523875"/>
                <a:ext cx="5162550" cy="542925"/>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CA" sz="800" b="0" i="0" u="none" strike="noStrike" baseline="0">
                    <a:solidFill>
                      <a:srgbClr val="000000"/>
                    </a:solidFill>
                    <a:latin typeface="Segoe UI"/>
                    <a:cs typeface="Segoe UI"/>
                  </a:rPr>
                  <a:t>Group Box 1</a:t>
                </a:r>
              </a:p>
            </xdr:txBody>
          </xdr:sp>
        </mc:Choice>
        <mc:Fallback/>
      </mc:AlternateContent>
    </xdr:grpSp>
    <xdr:clientData/>
  </xdr:twoCellAnchor>
  <xdr:twoCellAnchor>
    <xdr:from>
      <xdr:col>21</xdr:col>
      <xdr:colOff>445350</xdr:colOff>
      <xdr:row>34</xdr:row>
      <xdr:rowOff>104775</xdr:rowOff>
    </xdr:from>
    <xdr:to>
      <xdr:col>27</xdr:col>
      <xdr:colOff>197700</xdr:colOff>
      <xdr:row>37</xdr:row>
      <xdr:rowOff>123825</xdr:rowOff>
    </xdr:to>
    <xdr:grpSp>
      <xdr:nvGrpSpPr>
        <xdr:cNvPr id="2274" name="Group 2273">
          <a:extLst>
            <a:ext uri="{FF2B5EF4-FFF2-40B4-BE49-F238E27FC236}">
              <a16:creationId xmlns:a16="http://schemas.microsoft.com/office/drawing/2014/main" id="{00000000-0008-0000-0100-0000E2080000}"/>
            </a:ext>
          </a:extLst>
        </xdr:cNvPr>
        <xdr:cNvGrpSpPr/>
      </xdr:nvGrpSpPr>
      <xdr:grpSpPr>
        <a:xfrm>
          <a:off x="13246950" y="5638800"/>
          <a:ext cx="3409950" cy="590550"/>
          <a:chOff x="13246950" y="5638800"/>
          <a:chExt cx="3409950" cy="590550"/>
        </a:xfrm>
      </xdr:grpSpPr>
      <mc:AlternateContent xmlns:mc="http://schemas.openxmlformats.org/markup-compatibility/2006">
        <mc:Choice xmlns:a14="http://schemas.microsoft.com/office/drawing/2010/main" Requires="a14">
          <xdr:sp macro="" textlink="">
            <xdr:nvSpPr>
              <xdr:cNvPr id="2058" name="Group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13246950" y="5638800"/>
                <a:ext cx="3409950" cy="5905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CA" sz="800" b="0" i="0" u="none" strike="noStrike" baseline="0">
                    <a:solidFill>
                      <a:srgbClr val="000000"/>
                    </a:solidFill>
                    <a:latin typeface="Segoe UI"/>
                    <a:cs typeface="Segoe UI"/>
                  </a:rPr>
                  <a:t>Group Box 10</a:t>
                </a:r>
              </a:p>
            </xdr:txBody>
          </xdr:sp>
        </mc:Choice>
        <mc:Fallback/>
      </mc:AlternateContent>
      <xdr:grpSp>
        <xdr:nvGrpSpPr>
          <xdr:cNvPr id="2273" name="Group 2272">
            <a:extLst>
              <a:ext uri="{FF2B5EF4-FFF2-40B4-BE49-F238E27FC236}">
                <a16:creationId xmlns:a16="http://schemas.microsoft.com/office/drawing/2014/main" id="{00000000-0008-0000-0100-0000E1080000}"/>
              </a:ext>
            </a:extLst>
          </xdr:cNvPr>
          <xdr:cNvGrpSpPr/>
        </xdr:nvGrpSpPr>
        <xdr:grpSpPr>
          <a:xfrm>
            <a:off x="13472765" y="5753100"/>
            <a:ext cx="3072160" cy="354623"/>
            <a:chOff x="13472765" y="5753100"/>
            <a:chExt cx="3072160" cy="354623"/>
          </a:xfrm>
        </xdr:grpSpPr>
        <xdr:grpSp>
          <xdr:nvGrpSpPr>
            <xdr:cNvPr id="2279" name="Group 2278">
              <a:extLst>
                <a:ext uri="{FF2B5EF4-FFF2-40B4-BE49-F238E27FC236}">
                  <a16:creationId xmlns:a16="http://schemas.microsoft.com/office/drawing/2014/main" id="{00000000-0008-0000-0100-0000E7080000}"/>
                </a:ext>
              </a:extLst>
            </xdr:cNvPr>
            <xdr:cNvGrpSpPr/>
          </xdr:nvGrpSpPr>
          <xdr:grpSpPr>
            <a:xfrm>
              <a:off x="13634690" y="5753100"/>
              <a:ext cx="2910235" cy="354623"/>
              <a:chOff x="13696950" y="5791200"/>
              <a:chExt cx="2910235" cy="354623"/>
            </a:xfrm>
          </xdr:grpSpPr>
          <xdr:sp macro="" textlink="">
            <xdr:nvSpPr>
              <xdr:cNvPr id="2276" name="TextBox 2275">
                <a:extLst>
                  <a:ext uri="{FF2B5EF4-FFF2-40B4-BE49-F238E27FC236}">
                    <a16:creationId xmlns:a16="http://schemas.microsoft.com/office/drawing/2014/main" id="{00000000-0008-0000-0100-0000E4080000}"/>
                  </a:ext>
                </a:extLst>
              </xdr:cNvPr>
              <xdr:cNvSpPr txBox="1"/>
            </xdr:nvSpPr>
            <xdr:spPr>
              <a:xfrm>
                <a:off x="13696950" y="5791200"/>
                <a:ext cx="690910" cy="3546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CA" sz="1400">
                    <a:solidFill>
                      <a:srgbClr val="D43260"/>
                    </a:solidFill>
                    <a:latin typeface="Avenir Next LT Pro" panose="020B0504020202020204" pitchFamily="34" charset="0"/>
                  </a:rPr>
                  <a:t>Profit</a:t>
                </a:r>
              </a:p>
            </xdr:txBody>
          </xdr:sp>
          <xdr:sp macro="" textlink="">
            <xdr:nvSpPr>
              <xdr:cNvPr id="2277" name="TextBox 2276">
                <a:extLst>
                  <a:ext uri="{FF2B5EF4-FFF2-40B4-BE49-F238E27FC236}">
                    <a16:creationId xmlns:a16="http://schemas.microsoft.com/office/drawing/2014/main" id="{00000000-0008-0000-0100-0000E5080000}"/>
                  </a:ext>
                </a:extLst>
              </xdr:cNvPr>
              <xdr:cNvSpPr txBox="1"/>
            </xdr:nvSpPr>
            <xdr:spPr>
              <a:xfrm>
                <a:off x="14692313" y="5791200"/>
                <a:ext cx="886172" cy="3546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CA" sz="1400">
                    <a:solidFill>
                      <a:srgbClr val="D43260"/>
                    </a:solidFill>
                    <a:latin typeface="Avenir Next LT Pro" panose="020B0504020202020204" pitchFamily="34" charset="0"/>
                  </a:rPr>
                  <a:t>Quantity</a:t>
                </a:r>
                <a:endParaRPr lang="en-CA" sz="1100">
                  <a:solidFill>
                    <a:srgbClr val="D43260"/>
                  </a:solidFill>
                  <a:latin typeface="Avenir Next LT Pro" panose="020B0504020202020204" pitchFamily="34" charset="0"/>
                </a:endParaRPr>
              </a:p>
            </xdr:txBody>
          </xdr:sp>
          <xdr:sp macro="" textlink="">
            <xdr:nvSpPr>
              <xdr:cNvPr id="2278" name="TextBox 2277">
                <a:extLst>
                  <a:ext uri="{FF2B5EF4-FFF2-40B4-BE49-F238E27FC236}">
                    <a16:creationId xmlns:a16="http://schemas.microsoft.com/office/drawing/2014/main" id="{00000000-0008-0000-0100-0000E6080000}"/>
                  </a:ext>
                </a:extLst>
              </xdr:cNvPr>
              <xdr:cNvSpPr txBox="1"/>
            </xdr:nvSpPr>
            <xdr:spPr>
              <a:xfrm>
                <a:off x="15716251" y="5791200"/>
                <a:ext cx="890934" cy="3546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CA" sz="1400">
                    <a:solidFill>
                      <a:srgbClr val="D43260"/>
                    </a:solidFill>
                    <a:latin typeface="Avenir Next LT Pro" panose="020B0504020202020204" pitchFamily="34" charset="0"/>
                  </a:rPr>
                  <a:t>Sale</a:t>
                </a:r>
                <a:endParaRPr lang="en-CA" sz="1100">
                  <a:solidFill>
                    <a:srgbClr val="D43260"/>
                  </a:solidFill>
                  <a:latin typeface="Avenir Next LT Pro" panose="020B0504020202020204" pitchFamily="34" charset="0"/>
                </a:endParaRPr>
              </a:p>
            </xdr:txBody>
          </xdr:sp>
        </xdr:grpSp>
        <mc:AlternateContent xmlns:mc="http://schemas.openxmlformats.org/markup-compatibility/2006">
          <mc:Choice xmlns:a14="http://schemas.microsoft.com/office/drawing/2010/main" Requires="a14">
            <xdr:grpSp>
              <xdr:nvGrpSpPr>
                <xdr:cNvPr id="2272" name="Group 2271">
                  <a:extLst>
                    <a:ext uri="{FF2B5EF4-FFF2-40B4-BE49-F238E27FC236}">
                      <a16:creationId xmlns:a16="http://schemas.microsoft.com/office/drawing/2014/main" id="{00000000-0008-0000-0100-0000E0080000}"/>
                    </a:ext>
                  </a:extLst>
                </xdr:cNvPr>
                <xdr:cNvGrpSpPr/>
              </xdr:nvGrpSpPr>
              <xdr:grpSpPr>
                <a:xfrm>
                  <a:off x="13472765" y="5800725"/>
                  <a:ext cx="2529236" cy="257175"/>
                  <a:chOff x="13472765" y="5800725"/>
                  <a:chExt cx="2529236" cy="257175"/>
                </a:xfrm>
              </xdr:grpSpPr>
              <xdr:sp macro="" textlink="">
                <xdr:nvSpPr>
                  <xdr:cNvPr id="2060" name="Option Button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14453840" y="5800725"/>
                    <a:ext cx="87188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61" name="Option 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15501591" y="5800725"/>
                    <a:ext cx="500410"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9" name="Option 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13472765" y="5800725"/>
                    <a:ext cx="62423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mc:Choice>
          <mc:Fallback/>
        </mc:AlternateContent>
      </xdr:grpSp>
    </xdr:grpSp>
    <xdr:clientData/>
  </xdr:twoCellAnchor>
  <xdr:twoCellAnchor>
    <xdr:from>
      <xdr:col>0</xdr:col>
      <xdr:colOff>0</xdr:colOff>
      <xdr:row>0</xdr:row>
      <xdr:rowOff>0</xdr:rowOff>
    </xdr:from>
    <xdr:to>
      <xdr:col>37</xdr:col>
      <xdr:colOff>361950</xdr:colOff>
      <xdr:row>3</xdr:row>
      <xdr:rowOff>95250</xdr:rowOff>
    </xdr:to>
    <xdr:grpSp>
      <xdr:nvGrpSpPr>
        <xdr:cNvPr id="12" name="Group 11">
          <a:extLst>
            <a:ext uri="{FF2B5EF4-FFF2-40B4-BE49-F238E27FC236}">
              <a16:creationId xmlns:a16="http://schemas.microsoft.com/office/drawing/2014/main" id="{00000000-0008-0000-0100-00000C000000}"/>
            </a:ext>
          </a:extLst>
        </xdr:cNvPr>
        <xdr:cNvGrpSpPr/>
      </xdr:nvGrpSpPr>
      <xdr:grpSpPr>
        <a:xfrm>
          <a:off x="0" y="0"/>
          <a:ext cx="22917150" cy="581025"/>
          <a:chOff x="0" y="0"/>
          <a:chExt cx="22917150" cy="581025"/>
        </a:xfrm>
      </xdr:grpSpPr>
      <xdr:grpSp>
        <xdr:nvGrpSpPr>
          <xdr:cNvPr id="13" name="Group 12">
            <a:extLst>
              <a:ext uri="{FF2B5EF4-FFF2-40B4-BE49-F238E27FC236}">
                <a16:creationId xmlns:a16="http://schemas.microsoft.com/office/drawing/2014/main" id="{00000000-0008-0000-0100-00000D000000}"/>
              </a:ext>
            </a:extLst>
          </xdr:cNvPr>
          <xdr:cNvGrpSpPr/>
        </xdr:nvGrpSpPr>
        <xdr:grpSpPr>
          <a:xfrm>
            <a:off x="0" y="0"/>
            <a:ext cx="22917150" cy="581025"/>
            <a:chOff x="0" y="0"/>
            <a:chExt cx="22917150" cy="581025"/>
          </a:xfrm>
        </xdr:grpSpPr>
        <xdr:sp macro="" textlink="">
          <xdr:nvSpPr>
            <xdr:cNvPr id="17" name="Rectangle 16">
              <a:extLst>
                <a:ext uri="{FF2B5EF4-FFF2-40B4-BE49-F238E27FC236}">
                  <a16:creationId xmlns:a16="http://schemas.microsoft.com/office/drawing/2014/main" id="{00000000-0008-0000-0100-000011000000}"/>
                </a:ext>
              </a:extLst>
            </xdr:cNvPr>
            <xdr:cNvSpPr/>
          </xdr:nvSpPr>
          <xdr:spPr>
            <a:xfrm>
              <a:off x="0" y="0"/>
              <a:ext cx="22917150" cy="457200"/>
            </a:xfrm>
            <a:prstGeom prst="rect">
              <a:avLst/>
            </a:prstGeom>
            <a:solidFill>
              <a:srgbClr val="1D1D3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pic>
          <xdr:nvPicPr>
            <xdr:cNvPr id="18" name="Picture 17" descr="Superstore - NBC.com">
              <a:extLst>
                <a:ext uri="{FF2B5EF4-FFF2-40B4-BE49-F238E27FC236}">
                  <a16:creationId xmlns:a16="http://schemas.microsoft.com/office/drawing/2014/main" id="{00000000-0008-0000-0100-000012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38126" y="142875"/>
              <a:ext cx="1314450" cy="438150"/>
            </a:xfrm>
            <a:prstGeom prst="rect">
              <a:avLst/>
            </a:prstGeom>
            <a:noFill/>
            <a:effectLst>
              <a:outerShdw blurRad="50800" dist="38100" dir="2700000" algn="tl" rotWithShape="0">
                <a:schemeClr val="tx1">
                  <a:alpha val="40000"/>
                </a:schemeClr>
              </a:outerShdw>
            </a:effectLst>
            <a:extLst>
              <a:ext uri="{909E8E84-426E-40DD-AFC4-6F175D3DCCD1}">
                <a14:hiddenFill xmlns:a14="http://schemas.microsoft.com/office/drawing/2010/main">
                  <a:solidFill>
                    <a:srgbClr val="FFFFFF"/>
                  </a:solidFill>
                </a14:hiddenFill>
              </a:ext>
            </a:extLst>
          </xdr:spPr>
        </xdr:pic>
        <xdr:sp macro="" textlink="">
          <xdr:nvSpPr>
            <xdr:cNvPr id="20" name="TextBox 19">
              <a:hlinkClick xmlns:r="http://schemas.openxmlformats.org/officeDocument/2006/relationships" r:id="rId5" tooltip="Distribution"/>
              <a:extLst>
                <a:ext uri="{FF2B5EF4-FFF2-40B4-BE49-F238E27FC236}">
                  <a16:creationId xmlns:a16="http://schemas.microsoft.com/office/drawing/2014/main" id="{00000000-0008-0000-0100-000014000000}"/>
                </a:ext>
              </a:extLst>
            </xdr:cNvPr>
            <xdr:cNvSpPr txBox="1"/>
          </xdr:nvSpPr>
          <xdr:spPr>
            <a:xfrm>
              <a:off x="12355214" y="73558"/>
              <a:ext cx="1222374"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Distribution</a:t>
              </a:r>
            </a:p>
          </xdr:txBody>
        </xdr:sp>
        <xdr:sp macro="" textlink="">
          <xdr:nvSpPr>
            <xdr:cNvPr id="21" name="TextBox 20">
              <a:hlinkClick xmlns:r="http://schemas.openxmlformats.org/officeDocument/2006/relationships" r:id="rId6" tooltip="Sales &amp; Profit"/>
              <a:extLst>
                <a:ext uri="{FF2B5EF4-FFF2-40B4-BE49-F238E27FC236}">
                  <a16:creationId xmlns:a16="http://schemas.microsoft.com/office/drawing/2014/main" id="{00000000-0008-0000-0100-000015000000}"/>
                </a:ext>
              </a:extLst>
            </xdr:cNvPr>
            <xdr:cNvSpPr txBox="1"/>
          </xdr:nvSpPr>
          <xdr:spPr>
            <a:xfrm>
              <a:off x="10029825" y="73558"/>
              <a:ext cx="1266824"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Sales &amp;</a:t>
              </a:r>
              <a:r>
                <a:rPr lang="en-CA" sz="1400" baseline="0">
                  <a:solidFill>
                    <a:schemeClr val="bg1"/>
                  </a:solidFill>
                  <a:latin typeface="Avenir Next LT Pro" panose="020B0504020202020204" pitchFamily="34" charset="0"/>
                </a:rPr>
                <a:t> Profit</a:t>
              </a:r>
              <a:endParaRPr lang="en-CA" sz="1400">
                <a:solidFill>
                  <a:schemeClr val="bg1"/>
                </a:solidFill>
                <a:latin typeface="Avenir Next LT Pro" panose="020B0504020202020204" pitchFamily="34" charset="0"/>
              </a:endParaRPr>
            </a:p>
          </xdr:txBody>
        </xdr:sp>
        <xdr:sp macro="" textlink="">
          <xdr:nvSpPr>
            <xdr:cNvPr id="26" name="TextBox 25">
              <a:hlinkClick xmlns:r="http://schemas.openxmlformats.org/officeDocument/2006/relationships" r:id="rId7" tooltip="Trends"/>
              <a:extLst>
                <a:ext uri="{FF2B5EF4-FFF2-40B4-BE49-F238E27FC236}">
                  <a16:creationId xmlns:a16="http://schemas.microsoft.com/office/drawing/2014/main" id="{00000000-0008-0000-0100-00001A000000}"/>
                </a:ext>
              </a:extLst>
            </xdr:cNvPr>
            <xdr:cNvSpPr txBox="1"/>
          </xdr:nvSpPr>
          <xdr:spPr>
            <a:xfrm>
              <a:off x="11441757" y="73558"/>
              <a:ext cx="768349"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Trends</a:t>
              </a:r>
            </a:p>
          </xdr:txBody>
        </xdr:sp>
        <xdr:sp macro="" textlink="">
          <xdr:nvSpPr>
            <xdr:cNvPr id="28" name="TextBox 27">
              <a:extLst>
                <a:ext uri="{FF2B5EF4-FFF2-40B4-BE49-F238E27FC236}">
                  <a16:creationId xmlns:a16="http://schemas.microsoft.com/office/drawing/2014/main" id="{00000000-0008-0000-0100-00001C000000}"/>
                </a:ext>
              </a:extLst>
            </xdr:cNvPr>
            <xdr:cNvSpPr txBox="1"/>
          </xdr:nvSpPr>
          <xdr:spPr>
            <a:xfrm>
              <a:off x="2505075" y="95979"/>
              <a:ext cx="2619375"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Sales Performance  - FY 2015</a:t>
              </a:r>
            </a:p>
          </xdr:txBody>
        </xdr:sp>
        <xdr:sp macro="" textlink="">
          <xdr:nvSpPr>
            <xdr:cNvPr id="29" name="Rectangle: Rounded Corners 28">
              <a:extLst>
                <a:ext uri="{FF2B5EF4-FFF2-40B4-BE49-F238E27FC236}">
                  <a16:creationId xmlns:a16="http://schemas.microsoft.com/office/drawing/2014/main" id="{00000000-0008-0000-0100-00001D000000}"/>
                </a:ext>
              </a:extLst>
            </xdr:cNvPr>
            <xdr:cNvSpPr/>
          </xdr:nvSpPr>
          <xdr:spPr>
            <a:xfrm>
              <a:off x="11591287" y="361950"/>
              <a:ext cx="468000" cy="36000"/>
            </a:xfrm>
            <a:prstGeom prst="roundRect">
              <a:avLst/>
            </a:prstGeom>
            <a:solidFill>
              <a:srgbClr val="194AF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31" name="TextBox 30">
              <a:hlinkClick xmlns:r="http://schemas.openxmlformats.org/officeDocument/2006/relationships" r:id="rId8" tooltip="Sales Map"/>
              <a:extLst>
                <a:ext uri="{FF2B5EF4-FFF2-40B4-BE49-F238E27FC236}">
                  <a16:creationId xmlns:a16="http://schemas.microsoft.com/office/drawing/2014/main" id="{00000000-0008-0000-0100-00001F000000}"/>
                </a:ext>
              </a:extLst>
            </xdr:cNvPr>
            <xdr:cNvSpPr txBox="1"/>
          </xdr:nvSpPr>
          <xdr:spPr>
            <a:xfrm>
              <a:off x="13722696" y="73558"/>
              <a:ext cx="1019769"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Sales Map</a:t>
              </a:r>
            </a:p>
          </xdr:txBody>
        </xdr:sp>
      </xdr:grpSp>
      <xdr:pic>
        <xdr:nvPicPr>
          <xdr:cNvPr id="15" name="Picture 14">
            <a:hlinkClick xmlns:r="http://schemas.openxmlformats.org/officeDocument/2006/relationships" r:id="rId9"/>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6144875" y="114300"/>
            <a:ext cx="1680593" cy="252000"/>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37</xdr:row>
      <xdr:rowOff>104775</xdr:rowOff>
    </xdr:from>
    <xdr:to>
      <xdr:col>29</xdr:col>
      <xdr:colOff>514350</xdr:colOff>
      <xdr:row>56</xdr:row>
      <xdr:rowOff>9525</xdr:rowOff>
    </xdr:to>
    <xdr:grpSp>
      <xdr:nvGrpSpPr>
        <xdr:cNvPr id="3242" name="Group 3241">
          <a:extLst>
            <a:ext uri="{FF2B5EF4-FFF2-40B4-BE49-F238E27FC236}">
              <a16:creationId xmlns:a16="http://schemas.microsoft.com/office/drawing/2014/main" id="{00000000-0008-0000-0200-0000AA0C0000}"/>
            </a:ext>
          </a:extLst>
        </xdr:cNvPr>
        <xdr:cNvGrpSpPr>
          <a:grpSpLocks noChangeAspect="1"/>
        </xdr:cNvGrpSpPr>
      </xdr:nvGrpSpPr>
      <xdr:grpSpPr>
        <a:xfrm>
          <a:off x="0" y="6238875"/>
          <a:ext cx="18192750" cy="2981325"/>
          <a:chOff x="0" y="6353175"/>
          <a:chExt cx="17887950" cy="2981325"/>
        </a:xfrm>
      </xdr:grpSpPr>
      <xdr:pic>
        <xdr:nvPicPr>
          <xdr:cNvPr id="3239" name="Picture 3238">
            <a:extLst>
              <a:ext uri="{FF2B5EF4-FFF2-40B4-BE49-F238E27FC236}">
                <a16:creationId xmlns:a16="http://schemas.microsoft.com/office/drawing/2014/main" id="{00000000-0008-0000-0200-0000A70C0000}"/>
              </a:ext>
            </a:extLst>
          </xdr:cNvPr>
          <xdr:cNvPicPr>
            <a:picLocks noChangeAspect="1" noChangeArrowheads="1"/>
          </xdr:cNvPicPr>
        </xdr:nvPicPr>
        <xdr:blipFill>
          <a:blip xmlns:r="http://schemas.openxmlformats.org/officeDocument/2006/relationships" r:embed="rId1">
            <a:duotone>
              <a:prstClr val="black"/>
              <a:srgbClr val="DC25FA">
                <a:tint val="45000"/>
                <a:satMod val="400000"/>
              </a:srgbClr>
            </a:duotone>
            <a:alphaModFix amt="50000"/>
            <a:extLst>
              <a:ext uri="{28A0092B-C50C-407E-A947-70E740481C1C}">
                <a14:useLocalDpi xmlns:a14="http://schemas.microsoft.com/office/drawing/2010/main" val="0"/>
              </a:ext>
            </a:extLst>
          </a:blip>
          <a:srcRect/>
          <a:stretch>
            <a:fillRect/>
          </a:stretch>
        </xdr:blipFill>
        <xdr:spPr bwMode="auto">
          <a:xfrm>
            <a:off x="0" y="6353175"/>
            <a:ext cx="5962650" cy="298132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3240" name="Picture 3239">
            <a:extLst>
              <a:ext uri="{FF2B5EF4-FFF2-40B4-BE49-F238E27FC236}">
                <a16:creationId xmlns:a16="http://schemas.microsoft.com/office/drawing/2014/main" id="{00000000-0008-0000-0200-0000A80C0000}"/>
              </a:ext>
            </a:extLst>
          </xdr:cNvPr>
          <xdr:cNvPicPr>
            <a:picLocks noChangeAspect="1" noChangeArrowheads="1"/>
          </xdr:cNvPicPr>
        </xdr:nvPicPr>
        <xdr:blipFill>
          <a:blip xmlns:r="http://schemas.openxmlformats.org/officeDocument/2006/relationships" r:embed="rId1">
            <a:duotone>
              <a:prstClr val="black"/>
              <a:srgbClr val="DC25FA">
                <a:tint val="45000"/>
                <a:satMod val="400000"/>
              </a:srgbClr>
            </a:duotone>
            <a:alphaModFix amt="50000"/>
            <a:extLst>
              <a:ext uri="{28A0092B-C50C-407E-A947-70E740481C1C}">
                <a14:useLocalDpi xmlns:a14="http://schemas.microsoft.com/office/drawing/2010/main" val="0"/>
              </a:ext>
            </a:extLst>
          </a:blip>
          <a:srcRect/>
          <a:stretch>
            <a:fillRect/>
          </a:stretch>
        </xdr:blipFill>
        <xdr:spPr bwMode="auto">
          <a:xfrm flipH="1">
            <a:off x="5962650" y="6353175"/>
            <a:ext cx="5962650" cy="298132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3241" name="Picture 3240">
            <a:extLst>
              <a:ext uri="{FF2B5EF4-FFF2-40B4-BE49-F238E27FC236}">
                <a16:creationId xmlns:a16="http://schemas.microsoft.com/office/drawing/2014/main" id="{00000000-0008-0000-0200-0000A90C0000}"/>
              </a:ext>
            </a:extLst>
          </xdr:cNvPr>
          <xdr:cNvPicPr>
            <a:picLocks noChangeAspect="1" noChangeArrowheads="1"/>
          </xdr:cNvPicPr>
        </xdr:nvPicPr>
        <xdr:blipFill>
          <a:blip xmlns:r="http://schemas.openxmlformats.org/officeDocument/2006/relationships" r:embed="rId1">
            <a:duotone>
              <a:prstClr val="black"/>
              <a:srgbClr val="DC25FA">
                <a:tint val="45000"/>
                <a:satMod val="400000"/>
              </a:srgbClr>
            </a:duotone>
            <a:alphaModFix amt="50000"/>
            <a:extLst>
              <a:ext uri="{28A0092B-C50C-407E-A947-70E740481C1C}">
                <a14:useLocalDpi xmlns:a14="http://schemas.microsoft.com/office/drawing/2010/main" val="0"/>
              </a:ext>
            </a:extLst>
          </a:blip>
          <a:srcRect/>
          <a:stretch>
            <a:fillRect/>
          </a:stretch>
        </xdr:blipFill>
        <xdr:spPr bwMode="auto">
          <a:xfrm>
            <a:off x="11925300" y="6353175"/>
            <a:ext cx="5962650" cy="298132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0</xdr:col>
      <xdr:colOff>0</xdr:colOff>
      <xdr:row>30</xdr:row>
      <xdr:rowOff>152400</xdr:rowOff>
    </xdr:from>
    <xdr:to>
      <xdr:col>29</xdr:col>
      <xdr:colOff>428625</xdr:colOff>
      <xdr:row>50</xdr:row>
      <xdr:rowOff>57151</xdr:rowOff>
    </xdr:to>
    <xdr:grpSp>
      <xdr:nvGrpSpPr>
        <xdr:cNvPr id="3209" name="Group 3208">
          <a:extLst>
            <a:ext uri="{FF2B5EF4-FFF2-40B4-BE49-F238E27FC236}">
              <a16:creationId xmlns:a16="http://schemas.microsoft.com/office/drawing/2014/main" id="{00000000-0008-0000-0200-0000890C0000}"/>
            </a:ext>
          </a:extLst>
        </xdr:cNvPr>
        <xdr:cNvGrpSpPr/>
      </xdr:nvGrpSpPr>
      <xdr:grpSpPr>
        <a:xfrm>
          <a:off x="0" y="5153025"/>
          <a:ext cx="18107025" cy="3143251"/>
          <a:chOff x="561975" y="5295900"/>
          <a:chExt cx="18107025" cy="3143251"/>
        </a:xfrm>
      </xdr:grpSpPr>
      <xdr:grpSp>
        <xdr:nvGrpSpPr>
          <xdr:cNvPr id="3145" name="Group 3144">
            <a:extLst>
              <a:ext uri="{FF2B5EF4-FFF2-40B4-BE49-F238E27FC236}">
                <a16:creationId xmlns:a16="http://schemas.microsoft.com/office/drawing/2014/main" id="{00000000-0008-0000-0200-0000490C0000}"/>
              </a:ext>
            </a:extLst>
          </xdr:cNvPr>
          <xdr:cNvGrpSpPr/>
        </xdr:nvGrpSpPr>
        <xdr:grpSpPr>
          <a:xfrm flipH="1">
            <a:off x="9925050" y="5295900"/>
            <a:ext cx="8743950" cy="3143251"/>
            <a:chOff x="409575" y="5238750"/>
            <a:chExt cx="8743950" cy="3143251"/>
          </a:xfrm>
        </xdr:grpSpPr>
        <xdr:pic>
          <xdr:nvPicPr>
            <xdr:cNvPr id="3143" name="Picture 3142">
              <a:extLst>
                <a:ext uri="{FF2B5EF4-FFF2-40B4-BE49-F238E27FC236}">
                  <a16:creationId xmlns:a16="http://schemas.microsoft.com/office/drawing/2014/main" id="{00000000-0008-0000-0200-0000470C0000}"/>
                </a:ext>
              </a:extLst>
            </xdr:cNvPr>
            <xdr:cNvPicPr>
              <a:picLocks noChangeAspect="1" noChangeArrowheads="1"/>
            </xdr:cNvPicPr>
          </xdr:nvPicPr>
          <xdr:blipFill rotWithShape="1">
            <a:blip xmlns:r="http://schemas.openxmlformats.org/officeDocument/2006/relationships" r:embed="rId2">
              <a:duotone>
                <a:prstClr val="black"/>
                <a:srgbClr val="DC25FA">
                  <a:tint val="45000"/>
                  <a:satMod val="400000"/>
                </a:srgbClr>
              </a:duotone>
              <a:extLst>
                <a:ext uri="{28A0092B-C50C-407E-A947-70E740481C1C}">
                  <a14:useLocalDpi xmlns:a14="http://schemas.microsoft.com/office/drawing/2010/main" val="0"/>
                </a:ext>
              </a:extLst>
            </a:blip>
            <a:srcRect l="11275" t="8611" r="10948" b="8333"/>
            <a:stretch/>
          </xdr:blipFill>
          <xdr:spPr bwMode="auto">
            <a:xfrm>
              <a:off x="4619625" y="5238750"/>
              <a:ext cx="4533900" cy="284797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3144" name="Picture 3143">
              <a:extLst>
                <a:ext uri="{FF2B5EF4-FFF2-40B4-BE49-F238E27FC236}">
                  <a16:creationId xmlns:a16="http://schemas.microsoft.com/office/drawing/2014/main" id="{00000000-0008-0000-0200-0000480C0000}"/>
                </a:ext>
              </a:extLst>
            </xdr:cNvPr>
            <xdr:cNvPicPr>
              <a:picLocks noChangeAspect="1" noChangeArrowheads="1"/>
            </xdr:cNvPicPr>
          </xdr:nvPicPr>
          <xdr:blipFill rotWithShape="1">
            <a:blip xmlns:r="http://schemas.openxmlformats.org/officeDocument/2006/relationships" r:embed="rId2">
              <a:duotone>
                <a:prstClr val="black"/>
                <a:srgbClr val="DC25FA">
                  <a:tint val="45000"/>
                  <a:satMod val="400000"/>
                </a:srgbClr>
              </a:duotone>
              <a:extLst>
                <a:ext uri="{28A0092B-C50C-407E-A947-70E740481C1C}">
                  <a14:useLocalDpi xmlns:a14="http://schemas.microsoft.com/office/drawing/2010/main" val="0"/>
                </a:ext>
              </a:extLst>
            </a:blip>
            <a:srcRect l="11275" t="8611" r="10948" b="8333"/>
            <a:stretch/>
          </xdr:blipFill>
          <xdr:spPr bwMode="auto">
            <a:xfrm>
              <a:off x="409575" y="5534025"/>
              <a:ext cx="4533900" cy="2847976"/>
            </a:xfrm>
            <a:prstGeom prst="rect">
              <a:avLst/>
            </a:prstGeom>
            <a:noFill/>
            <a:ln>
              <a:noFill/>
            </a:ln>
            <a:extLst>
              <a:ext uri="{909E8E84-426E-40DD-AFC4-6F175D3DCCD1}">
                <a14:hiddenFill xmlns:a14="http://schemas.microsoft.com/office/drawing/2010/main">
                  <a:solidFill>
                    <a:srgbClr val="FFFFFF"/>
                  </a:solidFill>
                </a14:hiddenFill>
              </a:ext>
            </a:extLst>
          </xdr:spPr>
        </xdr:pic>
      </xdr:grpSp>
      <xdr:grpSp>
        <xdr:nvGrpSpPr>
          <xdr:cNvPr id="3198" name="Group 3197">
            <a:extLst>
              <a:ext uri="{FF2B5EF4-FFF2-40B4-BE49-F238E27FC236}">
                <a16:creationId xmlns:a16="http://schemas.microsoft.com/office/drawing/2014/main" id="{00000000-0008-0000-0200-00007E0C0000}"/>
              </a:ext>
            </a:extLst>
          </xdr:cNvPr>
          <xdr:cNvGrpSpPr/>
        </xdr:nvGrpSpPr>
        <xdr:grpSpPr>
          <a:xfrm>
            <a:off x="561975" y="5295900"/>
            <a:ext cx="8743950" cy="3143251"/>
            <a:chOff x="409575" y="5238750"/>
            <a:chExt cx="8743950" cy="3143251"/>
          </a:xfrm>
        </xdr:grpSpPr>
        <xdr:pic>
          <xdr:nvPicPr>
            <xdr:cNvPr id="3199" name="Picture 3198">
              <a:extLst>
                <a:ext uri="{FF2B5EF4-FFF2-40B4-BE49-F238E27FC236}">
                  <a16:creationId xmlns:a16="http://schemas.microsoft.com/office/drawing/2014/main" id="{00000000-0008-0000-0200-00007F0C0000}"/>
                </a:ext>
              </a:extLst>
            </xdr:cNvPr>
            <xdr:cNvPicPr>
              <a:picLocks noChangeAspect="1" noChangeArrowheads="1"/>
            </xdr:cNvPicPr>
          </xdr:nvPicPr>
          <xdr:blipFill rotWithShape="1">
            <a:blip xmlns:r="http://schemas.openxmlformats.org/officeDocument/2006/relationships" r:embed="rId2">
              <a:duotone>
                <a:prstClr val="black"/>
                <a:srgbClr val="DC25FA">
                  <a:tint val="45000"/>
                  <a:satMod val="400000"/>
                </a:srgbClr>
              </a:duotone>
              <a:extLst>
                <a:ext uri="{28A0092B-C50C-407E-A947-70E740481C1C}">
                  <a14:useLocalDpi xmlns:a14="http://schemas.microsoft.com/office/drawing/2010/main" val="0"/>
                </a:ext>
              </a:extLst>
            </a:blip>
            <a:srcRect l="11275" t="8611" r="10948" b="8333"/>
            <a:stretch/>
          </xdr:blipFill>
          <xdr:spPr bwMode="auto">
            <a:xfrm>
              <a:off x="4619625" y="5238750"/>
              <a:ext cx="4533900" cy="284797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3206" name="Picture 3205">
              <a:extLst>
                <a:ext uri="{FF2B5EF4-FFF2-40B4-BE49-F238E27FC236}">
                  <a16:creationId xmlns:a16="http://schemas.microsoft.com/office/drawing/2014/main" id="{00000000-0008-0000-0200-0000860C0000}"/>
                </a:ext>
              </a:extLst>
            </xdr:cNvPr>
            <xdr:cNvPicPr>
              <a:picLocks noChangeAspect="1" noChangeArrowheads="1"/>
            </xdr:cNvPicPr>
          </xdr:nvPicPr>
          <xdr:blipFill rotWithShape="1">
            <a:blip xmlns:r="http://schemas.openxmlformats.org/officeDocument/2006/relationships" r:embed="rId2">
              <a:duotone>
                <a:prstClr val="black"/>
                <a:srgbClr val="DC25FA">
                  <a:tint val="45000"/>
                  <a:satMod val="400000"/>
                </a:srgbClr>
              </a:duotone>
              <a:extLst>
                <a:ext uri="{28A0092B-C50C-407E-A947-70E740481C1C}">
                  <a14:useLocalDpi xmlns:a14="http://schemas.microsoft.com/office/drawing/2010/main" val="0"/>
                </a:ext>
              </a:extLst>
            </a:blip>
            <a:srcRect l="11275" t="8611" r="10948" b="8333"/>
            <a:stretch/>
          </xdr:blipFill>
          <xdr:spPr bwMode="auto">
            <a:xfrm>
              <a:off x="409575" y="5534025"/>
              <a:ext cx="4533900" cy="2847976"/>
            </a:xfrm>
            <a:prstGeom prst="rect">
              <a:avLst/>
            </a:prstGeom>
            <a:noFill/>
            <a:ln>
              <a:noFill/>
            </a:ln>
            <a:extLst>
              <a:ext uri="{909E8E84-426E-40DD-AFC4-6F175D3DCCD1}">
                <a14:hiddenFill xmlns:a14="http://schemas.microsoft.com/office/drawing/2010/main">
                  <a:solidFill>
                    <a:srgbClr val="FFFFFF"/>
                  </a:solidFill>
                </a14:hiddenFill>
              </a:ext>
            </a:extLst>
          </xdr:spPr>
        </xdr:pic>
      </xdr:grpSp>
    </xdr:grpSp>
    <xdr:clientData/>
  </xdr:twoCellAnchor>
  <xdr:twoCellAnchor>
    <xdr:from>
      <xdr:col>5</xdr:col>
      <xdr:colOff>607435</xdr:colOff>
      <xdr:row>12</xdr:row>
      <xdr:rowOff>2005</xdr:rowOff>
    </xdr:from>
    <xdr:to>
      <xdr:col>14</xdr:col>
      <xdr:colOff>166148</xdr:colOff>
      <xdr:row>27</xdr:row>
      <xdr:rowOff>58518</xdr:rowOff>
    </xdr:to>
    <xdr:grpSp>
      <xdr:nvGrpSpPr>
        <xdr:cNvPr id="58" name="Group 57">
          <a:extLst>
            <a:ext uri="{FF2B5EF4-FFF2-40B4-BE49-F238E27FC236}">
              <a16:creationId xmlns:a16="http://schemas.microsoft.com/office/drawing/2014/main" id="{00000000-0008-0000-0200-00003A000000}"/>
            </a:ext>
          </a:extLst>
        </xdr:cNvPr>
        <xdr:cNvGrpSpPr/>
      </xdr:nvGrpSpPr>
      <xdr:grpSpPr>
        <a:xfrm>
          <a:off x="3655435" y="1973680"/>
          <a:ext cx="5045113" cy="2599688"/>
          <a:chOff x="3655435" y="1973680"/>
          <a:chExt cx="5045113" cy="2599688"/>
        </a:xfrm>
      </xdr:grpSpPr>
      <xdr:grpSp>
        <xdr:nvGrpSpPr>
          <xdr:cNvPr id="9" name="Group 8">
            <a:extLst>
              <a:ext uri="{FF2B5EF4-FFF2-40B4-BE49-F238E27FC236}">
                <a16:creationId xmlns:a16="http://schemas.microsoft.com/office/drawing/2014/main" id="{00000000-0008-0000-0200-000009000000}"/>
              </a:ext>
            </a:extLst>
          </xdr:cNvPr>
          <xdr:cNvGrpSpPr/>
        </xdr:nvGrpSpPr>
        <xdr:grpSpPr>
          <a:xfrm>
            <a:off x="3655435" y="1973680"/>
            <a:ext cx="5045113" cy="2599688"/>
            <a:chOff x="3655435" y="1973680"/>
            <a:chExt cx="5045113" cy="2599688"/>
          </a:xfrm>
        </xdr:grpSpPr>
        <xdr:grpSp>
          <xdr:nvGrpSpPr>
            <xdr:cNvPr id="3205" name="Group 3204">
              <a:extLst>
                <a:ext uri="{FF2B5EF4-FFF2-40B4-BE49-F238E27FC236}">
                  <a16:creationId xmlns:a16="http://schemas.microsoft.com/office/drawing/2014/main" id="{00000000-0008-0000-0200-0000850C0000}"/>
                </a:ext>
              </a:extLst>
            </xdr:cNvPr>
            <xdr:cNvGrpSpPr/>
          </xdr:nvGrpSpPr>
          <xdr:grpSpPr>
            <a:xfrm>
              <a:off x="3655435" y="1973680"/>
              <a:ext cx="5045113" cy="2599688"/>
              <a:chOff x="5176487" y="4724400"/>
              <a:chExt cx="5045113" cy="2599688"/>
            </a:xfrm>
          </xdr:grpSpPr>
          <xdr:sp macro="" textlink="">
            <xdr:nvSpPr>
              <xdr:cNvPr id="8" name="Rectangle: Rounded Corners 40">
                <a:extLst>
                  <a:ext uri="{FF2B5EF4-FFF2-40B4-BE49-F238E27FC236}">
                    <a16:creationId xmlns:a16="http://schemas.microsoft.com/office/drawing/2014/main" id="{00000000-0008-0000-0200-000008000000}"/>
                  </a:ext>
                </a:extLst>
              </xdr:cNvPr>
              <xdr:cNvSpPr/>
            </xdr:nvSpPr>
            <xdr:spPr>
              <a:xfrm>
                <a:off x="5181600" y="4724400"/>
                <a:ext cx="5040000" cy="2599688"/>
              </a:xfrm>
              <a:prstGeom prst="roundRect">
                <a:avLst>
                  <a:gd name="adj" fmla="val 10439"/>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lvl="2" algn="ctr"/>
                <a:endParaRPr lang="en-US"/>
              </a:p>
            </xdr:txBody>
          </xdr:sp>
          <xdr:grpSp>
            <xdr:nvGrpSpPr>
              <xdr:cNvPr id="3204" name="Group 3203">
                <a:extLst>
                  <a:ext uri="{FF2B5EF4-FFF2-40B4-BE49-F238E27FC236}">
                    <a16:creationId xmlns:a16="http://schemas.microsoft.com/office/drawing/2014/main" id="{00000000-0008-0000-0200-0000840C0000}"/>
                  </a:ext>
                </a:extLst>
              </xdr:cNvPr>
              <xdr:cNvGrpSpPr/>
            </xdr:nvGrpSpPr>
            <xdr:grpSpPr>
              <a:xfrm>
                <a:off x="5176487" y="5416182"/>
                <a:ext cx="5040000" cy="1622793"/>
                <a:chOff x="5176487" y="5463807"/>
                <a:chExt cx="5040000" cy="1854870"/>
              </a:xfrm>
            </xdr:grpSpPr>
            <xdr:grpSp>
              <xdr:nvGrpSpPr>
                <xdr:cNvPr id="3200" name="Group 3199">
                  <a:extLst>
                    <a:ext uri="{FF2B5EF4-FFF2-40B4-BE49-F238E27FC236}">
                      <a16:creationId xmlns:a16="http://schemas.microsoft.com/office/drawing/2014/main" id="{00000000-0008-0000-0200-0000800C0000}"/>
                    </a:ext>
                  </a:extLst>
                </xdr:cNvPr>
                <xdr:cNvGrpSpPr/>
              </xdr:nvGrpSpPr>
              <xdr:grpSpPr>
                <a:xfrm>
                  <a:off x="8514791" y="5463807"/>
                  <a:ext cx="1701696" cy="1854870"/>
                  <a:chOff x="8514791" y="5463807"/>
                  <a:chExt cx="1701696" cy="1854870"/>
                </a:xfrm>
              </xdr:grpSpPr>
              <xdr:grpSp>
                <xdr:nvGrpSpPr>
                  <xdr:cNvPr id="3164" name="Group 3163">
                    <a:extLst>
                      <a:ext uri="{FF2B5EF4-FFF2-40B4-BE49-F238E27FC236}">
                        <a16:creationId xmlns:a16="http://schemas.microsoft.com/office/drawing/2014/main" id="{00000000-0008-0000-0200-00005C0C0000}"/>
                      </a:ext>
                    </a:extLst>
                  </xdr:cNvPr>
                  <xdr:cNvGrpSpPr/>
                </xdr:nvGrpSpPr>
                <xdr:grpSpPr>
                  <a:xfrm>
                    <a:off x="8514791" y="5463807"/>
                    <a:ext cx="1701696" cy="1575168"/>
                    <a:chOff x="8474036" y="5863857"/>
                    <a:chExt cx="1598400" cy="1216422"/>
                  </a:xfrm>
                </xdr:grpSpPr>
                <xdr:sp macro="" textlink="Pivot_tables!CC5">
                  <xdr:nvSpPr>
                    <xdr:cNvPr id="25" name="TextBox 24">
                      <a:extLst>
                        <a:ext uri="{FF2B5EF4-FFF2-40B4-BE49-F238E27FC236}">
                          <a16:creationId xmlns:a16="http://schemas.microsoft.com/office/drawing/2014/main" id="{00000000-0008-0000-0200-000019000000}"/>
                        </a:ext>
                      </a:extLst>
                    </xdr:cNvPr>
                    <xdr:cNvSpPr txBox="1"/>
                  </xdr:nvSpPr>
                  <xdr:spPr>
                    <a:xfrm>
                      <a:off x="8474036" y="5863857"/>
                      <a:ext cx="1598400" cy="352425"/>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BD65CB3-1A29-4192-8B5E-0D80CD395DD7}" type="TxLink">
                        <a:rPr lang="en-US" sz="1400" b="0" i="0" u="none" strike="noStrike">
                          <a:ln>
                            <a:noFill/>
                          </a:ln>
                          <a:solidFill>
                            <a:srgbClr val="D43260"/>
                          </a:solidFill>
                          <a:latin typeface="Avenir Next LT Pro"/>
                        </a:rPr>
                        <a:pPr algn="r"/>
                        <a:t>Cust. Segment</a:t>
                      </a:fld>
                      <a:endParaRPr lang="en-US" sz="3200" b="0" i="0" u="none" strike="noStrike">
                        <a:ln>
                          <a:noFill/>
                        </a:ln>
                        <a:solidFill>
                          <a:srgbClr val="D43260"/>
                        </a:solidFill>
                        <a:latin typeface="Avenir Next LT Pro"/>
                      </a:endParaRPr>
                    </a:p>
                  </xdr:txBody>
                </xdr:sp>
                <xdr:grpSp>
                  <xdr:nvGrpSpPr>
                    <xdr:cNvPr id="50" name="Group 49">
                      <a:extLst>
                        <a:ext uri="{FF2B5EF4-FFF2-40B4-BE49-F238E27FC236}">
                          <a16:creationId xmlns:a16="http://schemas.microsoft.com/office/drawing/2014/main" id="{00000000-0008-0000-0200-000032000000}"/>
                        </a:ext>
                      </a:extLst>
                    </xdr:cNvPr>
                    <xdr:cNvGrpSpPr/>
                  </xdr:nvGrpSpPr>
                  <xdr:grpSpPr>
                    <a:xfrm>
                      <a:off x="8474036" y="6216281"/>
                      <a:ext cx="1597789" cy="863998"/>
                      <a:chOff x="8991825" y="6240787"/>
                      <a:chExt cx="1080000" cy="863998"/>
                    </a:xfrm>
                  </xdr:grpSpPr>
                  <xdr:sp macro="" textlink="Pivot_tables!CD5">
                    <xdr:nvSpPr>
                      <xdr:cNvPr id="26" name="TextBox 25">
                        <a:extLst>
                          <a:ext uri="{FF2B5EF4-FFF2-40B4-BE49-F238E27FC236}">
                            <a16:creationId xmlns:a16="http://schemas.microsoft.com/office/drawing/2014/main" id="{00000000-0008-0000-0200-00001A000000}"/>
                          </a:ext>
                        </a:extLst>
                      </xdr:cNvPr>
                      <xdr:cNvSpPr txBox="1"/>
                    </xdr:nvSpPr>
                    <xdr:spPr>
                      <a:xfrm>
                        <a:off x="8991825" y="6240787"/>
                        <a:ext cx="108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lvl="1" algn="r"/>
                        <a:fld id="{113937E3-9FBA-4950-A447-E8AE9F07F568}" type="TxLink">
                          <a:rPr lang="en-US" sz="1100" b="0" i="0" u="none" strike="noStrike">
                            <a:ln>
                              <a:noFill/>
                            </a:ln>
                            <a:solidFill>
                              <a:schemeClr val="bg1"/>
                            </a:solidFill>
                            <a:latin typeface="Avenir Next LT Pro"/>
                          </a:rPr>
                          <a:pPr lvl="1" algn="r"/>
                          <a:t>Home Office</a:t>
                        </a:fld>
                        <a:endParaRPr lang="en-US" sz="1200" b="0" i="0" u="none" strike="noStrike">
                          <a:ln>
                            <a:noFill/>
                          </a:ln>
                          <a:solidFill>
                            <a:schemeClr val="bg1"/>
                          </a:solidFill>
                          <a:latin typeface="Avenir Next LT Pro"/>
                        </a:endParaRPr>
                      </a:p>
                    </xdr:txBody>
                  </xdr:sp>
                  <xdr:sp macro="" textlink="Pivot_tables!CE5">
                    <xdr:nvSpPr>
                      <xdr:cNvPr id="27" name="TextBox 26">
                        <a:extLst>
                          <a:ext uri="{FF2B5EF4-FFF2-40B4-BE49-F238E27FC236}">
                            <a16:creationId xmlns:a16="http://schemas.microsoft.com/office/drawing/2014/main" id="{00000000-0008-0000-0200-00001B000000}"/>
                          </a:ext>
                        </a:extLst>
                      </xdr:cNvPr>
                      <xdr:cNvSpPr txBox="1"/>
                    </xdr:nvSpPr>
                    <xdr:spPr>
                      <a:xfrm>
                        <a:off x="8991825" y="6456787"/>
                        <a:ext cx="108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9185862-6810-443A-A8AA-0400C6519284}" type="TxLink">
                          <a:rPr lang="en-US" sz="1100" b="0" i="0" u="none" strike="noStrike">
                            <a:ln>
                              <a:noFill/>
                            </a:ln>
                            <a:solidFill>
                              <a:schemeClr val="bg1"/>
                            </a:solidFill>
                            <a:latin typeface="Avenir Next LT Pro"/>
                          </a:rPr>
                          <a:pPr algn="r"/>
                          <a:t>Consumer</a:t>
                        </a:fld>
                        <a:endParaRPr lang="en-US" sz="1200" b="0" i="0" u="none" strike="noStrike">
                          <a:ln>
                            <a:noFill/>
                          </a:ln>
                          <a:solidFill>
                            <a:schemeClr val="bg1"/>
                          </a:solidFill>
                          <a:latin typeface="Avenir Next LT Pro"/>
                        </a:endParaRPr>
                      </a:p>
                    </xdr:txBody>
                  </xdr:sp>
                  <xdr:sp macro="" textlink="Pivot_tables!CF5">
                    <xdr:nvSpPr>
                      <xdr:cNvPr id="28" name="TextBox 27">
                        <a:extLst>
                          <a:ext uri="{FF2B5EF4-FFF2-40B4-BE49-F238E27FC236}">
                            <a16:creationId xmlns:a16="http://schemas.microsoft.com/office/drawing/2014/main" id="{00000000-0008-0000-0200-00001C000000}"/>
                          </a:ext>
                        </a:extLst>
                      </xdr:cNvPr>
                      <xdr:cNvSpPr txBox="1"/>
                    </xdr:nvSpPr>
                    <xdr:spPr>
                      <a:xfrm>
                        <a:off x="8991825" y="6672786"/>
                        <a:ext cx="108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192A286-4C33-4A12-8F2E-2D96CB91892A}" type="TxLink">
                          <a:rPr lang="en-US" sz="1100" b="0" i="0" u="none" strike="noStrike">
                            <a:ln>
                              <a:noFill/>
                            </a:ln>
                            <a:solidFill>
                              <a:schemeClr val="bg1"/>
                            </a:solidFill>
                            <a:latin typeface="Avenir Next LT Pro"/>
                          </a:rPr>
                          <a:pPr algn="r"/>
                          <a:t>Corporate</a:t>
                        </a:fld>
                        <a:endParaRPr lang="en-US" sz="1200" b="0" i="0" u="none" strike="noStrike">
                          <a:ln>
                            <a:noFill/>
                          </a:ln>
                          <a:solidFill>
                            <a:schemeClr val="bg1"/>
                          </a:solidFill>
                          <a:latin typeface="Avenir Next LT Pro"/>
                        </a:endParaRPr>
                      </a:p>
                    </xdr:txBody>
                  </xdr:sp>
                  <xdr:sp macro="" textlink="Pivot_tables!CG5">
                    <xdr:nvSpPr>
                      <xdr:cNvPr id="41" name="TextBox 40">
                        <a:extLst>
                          <a:ext uri="{FF2B5EF4-FFF2-40B4-BE49-F238E27FC236}">
                            <a16:creationId xmlns:a16="http://schemas.microsoft.com/office/drawing/2014/main" id="{00000000-0008-0000-0200-000029000000}"/>
                          </a:ext>
                        </a:extLst>
                      </xdr:cNvPr>
                      <xdr:cNvSpPr txBox="1"/>
                    </xdr:nvSpPr>
                    <xdr:spPr>
                      <a:xfrm>
                        <a:off x="8991825" y="6888785"/>
                        <a:ext cx="108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A2342A2-1B0F-42BB-A337-8D010E624A6D}" type="TxLink">
                          <a:rPr lang="en-US" sz="1100" b="0" i="0" u="none" strike="noStrike">
                            <a:ln>
                              <a:noFill/>
                            </a:ln>
                            <a:solidFill>
                              <a:schemeClr val="bg1"/>
                            </a:solidFill>
                            <a:latin typeface="Avenir Next LT Pro"/>
                          </a:rPr>
                          <a:pPr algn="r"/>
                          <a:t>Small Business</a:t>
                        </a:fld>
                        <a:endParaRPr lang="en-US" sz="1200" b="0" i="0" u="none" strike="noStrike">
                          <a:ln>
                            <a:noFill/>
                          </a:ln>
                          <a:solidFill>
                            <a:schemeClr val="bg1"/>
                          </a:solidFill>
                          <a:latin typeface="Avenir Next LT Pro"/>
                        </a:endParaRPr>
                      </a:p>
                    </xdr:txBody>
                  </xdr:sp>
                </xdr:grpSp>
              </xdr:grpSp>
              <xdr:sp macro="" textlink="">
                <xdr:nvSpPr>
                  <xdr:cNvPr id="3190" name="TextBox 3189">
                    <a:extLst>
                      <a:ext uri="{FF2B5EF4-FFF2-40B4-BE49-F238E27FC236}">
                        <a16:creationId xmlns:a16="http://schemas.microsoft.com/office/drawing/2014/main" id="{00000000-0008-0000-0200-0000760C0000}"/>
                      </a:ext>
                    </a:extLst>
                  </xdr:cNvPr>
                  <xdr:cNvSpPr txBox="1"/>
                </xdr:nvSpPr>
                <xdr:spPr>
                  <a:xfrm>
                    <a:off x="8515441" y="7038975"/>
                    <a:ext cx="1701046" cy="279702"/>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endParaRPr lang="en-US" sz="1100" b="0" i="0" u="none" strike="noStrike">
                      <a:ln>
                        <a:noFill/>
                      </a:ln>
                      <a:solidFill>
                        <a:schemeClr val="bg1"/>
                      </a:solidFill>
                      <a:latin typeface="Avenir Next LT Pro"/>
                    </a:endParaRPr>
                  </a:p>
                </xdr:txBody>
              </xdr:sp>
            </xdr:grpSp>
            <xdr:grpSp>
              <xdr:nvGrpSpPr>
                <xdr:cNvPr id="3201" name="Group 3200">
                  <a:extLst>
                    <a:ext uri="{FF2B5EF4-FFF2-40B4-BE49-F238E27FC236}">
                      <a16:creationId xmlns:a16="http://schemas.microsoft.com/office/drawing/2014/main" id="{00000000-0008-0000-0200-0000810C0000}"/>
                    </a:ext>
                  </a:extLst>
                </xdr:cNvPr>
                <xdr:cNvGrpSpPr/>
              </xdr:nvGrpSpPr>
              <xdr:grpSpPr>
                <a:xfrm>
                  <a:off x="7402023" y="5463807"/>
                  <a:ext cx="1112993" cy="1854870"/>
                  <a:chOff x="7402023" y="5463807"/>
                  <a:chExt cx="1112993" cy="1854870"/>
                </a:xfrm>
              </xdr:grpSpPr>
              <xdr:grpSp>
                <xdr:nvGrpSpPr>
                  <xdr:cNvPr id="3163" name="Group 3162">
                    <a:extLst>
                      <a:ext uri="{FF2B5EF4-FFF2-40B4-BE49-F238E27FC236}">
                        <a16:creationId xmlns:a16="http://schemas.microsoft.com/office/drawing/2014/main" id="{00000000-0008-0000-0200-00005B0C0000}"/>
                      </a:ext>
                    </a:extLst>
                  </xdr:cNvPr>
                  <xdr:cNvGrpSpPr/>
                </xdr:nvGrpSpPr>
                <xdr:grpSpPr>
                  <a:xfrm>
                    <a:off x="7402023" y="5463807"/>
                    <a:ext cx="1112768" cy="1575168"/>
                    <a:chOff x="7408843" y="5863857"/>
                    <a:chExt cx="1065600" cy="1216422"/>
                  </a:xfrm>
                </xdr:grpSpPr>
                <xdr:sp macro="" textlink="Pivot_tables!CC6">
                  <xdr:nvSpPr>
                    <xdr:cNvPr id="19" name="TextBox 18">
                      <a:extLst>
                        <a:ext uri="{FF2B5EF4-FFF2-40B4-BE49-F238E27FC236}">
                          <a16:creationId xmlns:a16="http://schemas.microsoft.com/office/drawing/2014/main" id="{00000000-0008-0000-0200-000013000000}"/>
                        </a:ext>
                      </a:extLst>
                    </xdr:cNvPr>
                    <xdr:cNvSpPr txBox="1"/>
                  </xdr:nvSpPr>
                  <xdr:spPr>
                    <a:xfrm>
                      <a:off x="7408843" y="5863857"/>
                      <a:ext cx="1065600" cy="352425"/>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3AA1E9B-CF31-4893-8430-EB0BCDC3409C}" type="TxLink">
                        <a:rPr lang="en-US" sz="1400" b="0" i="0" u="none" strike="noStrike">
                          <a:ln>
                            <a:noFill/>
                          </a:ln>
                          <a:solidFill>
                            <a:srgbClr val="D43260"/>
                          </a:solidFill>
                          <a:latin typeface="Avenir Next LT Pro"/>
                        </a:rPr>
                        <a:pPr algn="ctr"/>
                        <a:t>Sales</a:t>
                      </a:fld>
                      <a:endParaRPr lang="en-US" sz="1800" b="0" i="0" u="none" strike="noStrike">
                        <a:ln>
                          <a:noFill/>
                        </a:ln>
                        <a:solidFill>
                          <a:srgbClr val="D43260"/>
                        </a:solidFill>
                        <a:latin typeface="Avenir Next LT Pro"/>
                      </a:endParaRPr>
                    </a:p>
                  </xdr:txBody>
                </xdr:sp>
                <xdr:grpSp>
                  <xdr:nvGrpSpPr>
                    <xdr:cNvPr id="49" name="Group 48">
                      <a:extLst>
                        <a:ext uri="{FF2B5EF4-FFF2-40B4-BE49-F238E27FC236}">
                          <a16:creationId xmlns:a16="http://schemas.microsoft.com/office/drawing/2014/main" id="{00000000-0008-0000-0200-000031000000}"/>
                        </a:ext>
                      </a:extLst>
                    </xdr:cNvPr>
                    <xdr:cNvGrpSpPr/>
                  </xdr:nvGrpSpPr>
                  <xdr:grpSpPr>
                    <a:xfrm>
                      <a:off x="7408843" y="6216281"/>
                      <a:ext cx="1065193" cy="863998"/>
                      <a:chOff x="8001224" y="6240787"/>
                      <a:chExt cx="720000" cy="863998"/>
                    </a:xfrm>
                  </xdr:grpSpPr>
                  <xdr:sp macro="" textlink="Pivot_tables!CD6">
                    <xdr:nvSpPr>
                      <xdr:cNvPr id="20" name="TextBox 19">
                        <a:extLst>
                          <a:ext uri="{FF2B5EF4-FFF2-40B4-BE49-F238E27FC236}">
                            <a16:creationId xmlns:a16="http://schemas.microsoft.com/office/drawing/2014/main" id="{00000000-0008-0000-0200-000014000000}"/>
                          </a:ext>
                        </a:extLst>
                      </xdr:cNvPr>
                      <xdr:cNvSpPr txBox="1"/>
                    </xdr:nvSpPr>
                    <xdr:spPr>
                      <a:xfrm>
                        <a:off x="8001224" y="6240787"/>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343B0BA-E783-4783-BEB1-96BA34D3F91A}" type="TxLink">
                          <a:rPr lang="en-US" sz="1100" b="0" i="0" u="none" strike="noStrike">
                            <a:ln>
                              <a:noFill/>
                            </a:ln>
                            <a:solidFill>
                              <a:schemeClr val="bg1"/>
                            </a:solidFill>
                            <a:latin typeface="Avenir Next LT Pro"/>
                          </a:rPr>
                          <a:pPr algn="ctr"/>
                          <a:t>$461,346</a:t>
                        </a:fld>
                        <a:endParaRPr lang="en-US" sz="1200" b="0" i="0" u="none" strike="noStrike">
                          <a:ln>
                            <a:noFill/>
                          </a:ln>
                          <a:solidFill>
                            <a:schemeClr val="bg1"/>
                          </a:solidFill>
                          <a:latin typeface="Avenir Next LT Pro"/>
                        </a:endParaRPr>
                      </a:p>
                    </xdr:txBody>
                  </xdr:sp>
                  <xdr:sp macro="" textlink="Pivot_tables!CE6">
                    <xdr:nvSpPr>
                      <xdr:cNvPr id="21" name="TextBox 20">
                        <a:extLst>
                          <a:ext uri="{FF2B5EF4-FFF2-40B4-BE49-F238E27FC236}">
                            <a16:creationId xmlns:a16="http://schemas.microsoft.com/office/drawing/2014/main" id="{00000000-0008-0000-0200-000015000000}"/>
                          </a:ext>
                        </a:extLst>
                      </xdr:cNvPr>
                      <xdr:cNvSpPr txBox="1"/>
                    </xdr:nvSpPr>
                    <xdr:spPr>
                      <a:xfrm>
                        <a:off x="8001224" y="6456787"/>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AD394ED-41C0-4C23-B5D0-3B0E42D901FF}" type="TxLink">
                          <a:rPr lang="en-US" sz="1100" b="0" i="0" u="none" strike="noStrike">
                            <a:ln>
                              <a:noFill/>
                            </a:ln>
                            <a:solidFill>
                              <a:schemeClr val="bg1"/>
                            </a:solidFill>
                            <a:latin typeface="Avenir Next LT Pro"/>
                          </a:rPr>
                          <a:pPr algn="ctr"/>
                          <a:t>$394,052</a:t>
                        </a:fld>
                        <a:endParaRPr lang="en-US" sz="1200" b="0" i="0" u="none" strike="noStrike">
                          <a:ln>
                            <a:noFill/>
                          </a:ln>
                          <a:solidFill>
                            <a:schemeClr val="bg1"/>
                          </a:solidFill>
                          <a:latin typeface="Avenir Next LT Pro"/>
                        </a:endParaRPr>
                      </a:p>
                    </xdr:txBody>
                  </xdr:sp>
                  <xdr:sp macro="" textlink="Pivot_tables!CF6">
                    <xdr:nvSpPr>
                      <xdr:cNvPr id="22" name="TextBox 21">
                        <a:extLst>
                          <a:ext uri="{FF2B5EF4-FFF2-40B4-BE49-F238E27FC236}">
                            <a16:creationId xmlns:a16="http://schemas.microsoft.com/office/drawing/2014/main" id="{00000000-0008-0000-0200-000016000000}"/>
                          </a:ext>
                        </a:extLst>
                      </xdr:cNvPr>
                      <xdr:cNvSpPr txBox="1"/>
                    </xdr:nvSpPr>
                    <xdr:spPr>
                      <a:xfrm>
                        <a:off x="8001224" y="6672786"/>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F994C8A-F4AD-44DE-971F-398CD99EACDA}" type="TxLink">
                          <a:rPr lang="en-US" sz="1100" b="0" i="0" u="none" strike="noStrike">
                            <a:ln>
                              <a:noFill/>
                            </a:ln>
                            <a:solidFill>
                              <a:schemeClr val="bg1"/>
                            </a:solidFill>
                            <a:latin typeface="Avenir Next LT Pro"/>
                          </a:rPr>
                          <a:pPr algn="ctr"/>
                          <a:t>$634,861</a:t>
                        </a:fld>
                        <a:endParaRPr lang="en-US" sz="1200" b="0" i="0" u="none" strike="noStrike">
                          <a:ln>
                            <a:noFill/>
                          </a:ln>
                          <a:solidFill>
                            <a:schemeClr val="bg1"/>
                          </a:solidFill>
                          <a:latin typeface="Avenir Next LT Pro"/>
                        </a:endParaRPr>
                      </a:p>
                    </xdr:txBody>
                  </xdr:sp>
                  <xdr:sp macro="" textlink="Pivot_tables!CG6">
                    <xdr:nvSpPr>
                      <xdr:cNvPr id="24" name="TextBox 23">
                        <a:extLst>
                          <a:ext uri="{FF2B5EF4-FFF2-40B4-BE49-F238E27FC236}">
                            <a16:creationId xmlns:a16="http://schemas.microsoft.com/office/drawing/2014/main" id="{00000000-0008-0000-0200-000018000000}"/>
                          </a:ext>
                        </a:extLst>
                      </xdr:cNvPr>
                      <xdr:cNvSpPr txBox="1"/>
                    </xdr:nvSpPr>
                    <xdr:spPr>
                      <a:xfrm>
                        <a:off x="8001224" y="6888785"/>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8286CFC-A858-4EB7-98AD-0382D6ABF79E}" type="TxLink">
                          <a:rPr lang="en-US" sz="1100" b="0" i="0" u="none" strike="noStrike">
                            <a:ln>
                              <a:noFill/>
                            </a:ln>
                            <a:solidFill>
                              <a:schemeClr val="bg1"/>
                            </a:solidFill>
                            <a:latin typeface="Avenir Next LT Pro"/>
                          </a:rPr>
                          <a:pPr algn="ctr"/>
                          <a:t>$391,266</a:t>
                        </a:fld>
                        <a:endParaRPr lang="en-US" sz="1200" b="0" i="0" u="none" strike="noStrike">
                          <a:ln>
                            <a:noFill/>
                          </a:ln>
                          <a:solidFill>
                            <a:schemeClr val="bg1"/>
                          </a:solidFill>
                          <a:latin typeface="Avenir Next LT Pro"/>
                        </a:endParaRPr>
                      </a:p>
                    </xdr:txBody>
                  </xdr:sp>
                </xdr:grpSp>
              </xdr:grpSp>
              <xdr:sp macro="" textlink="">
                <xdr:nvSpPr>
                  <xdr:cNvPr id="3191" name="TextBox 3190">
                    <a:extLst>
                      <a:ext uri="{FF2B5EF4-FFF2-40B4-BE49-F238E27FC236}">
                        <a16:creationId xmlns:a16="http://schemas.microsoft.com/office/drawing/2014/main" id="{00000000-0008-0000-0200-0000770C0000}"/>
                      </a:ext>
                    </a:extLst>
                  </xdr:cNvPr>
                  <xdr:cNvSpPr txBox="1"/>
                </xdr:nvSpPr>
                <xdr:spPr>
                  <a:xfrm>
                    <a:off x="7402673" y="7038975"/>
                    <a:ext cx="1112343" cy="279702"/>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b="0" i="0" u="none" strike="noStrike">
                        <a:ln>
                          <a:noFill/>
                        </a:ln>
                        <a:solidFill>
                          <a:schemeClr val="bg1"/>
                        </a:solidFill>
                        <a:latin typeface="Avenir Next LT Pro"/>
                      </a:rPr>
                      <a:t> </a:t>
                    </a:r>
                  </a:p>
                </xdr:txBody>
              </xdr:sp>
            </xdr:grpSp>
            <xdr:grpSp>
              <xdr:nvGrpSpPr>
                <xdr:cNvPr id="3202" name="Group 3201">
                  <a:extLst>
                    <a:ext uri="{FF2B5EF4-FFF2-40B4-BE49-F238E27FC236}">
                      <a16:creationId xmlns:a16="http://schemas.microsoft.com/office/drawing/2014/main" id="{00000000-0008-0000-0200-0000820C0000}"/>
                    </a:ext>
                  </a:extLst>
                </xdr:cNvPr>
                <xdr:cNvGrpSpPr/>
              </xdr:nvGrpSpPr>
              <xdr:grpSpPr>
                <a:xfrm>
                  <a:off x="6289255" y="5463807"/>
                  <a:ext cx="1113418" cy="1854870"/>
                  <a:chOff x="6289255" y="5463807"/>
                  <a:chExt cx="1113418" cy="1854870"/>
                </a:xfrm>
              </xdr:grpSpPr>
              <xdr:grpSp>
                <xdr:nvGrpSpPr>
                  <xdr:cNvPr id="3165" name="Group 3164">
                    <a:extLst>
                      <a:ext uri="{FF2B5EF4-FFF2-40B4-BE49-F238E27FC236}">
                        <a16:creationId xmlns:a16="http://schemas.microsoft.com/office/drawing/2014/main" id="{00000000-0008-0000-0200-00005D0C0000}"/>
                      </a:ext>
                    </a:extLst>
                  </xdr:cNvPr>
                  <xdr:cNvGrpSpPr/>
                </xdr:nvGrpSpPr>
                <xdr:grpSpPr>
                  <a:xfrm>
                    <a:off x="6289255" y="5463807"/>
                    <a:ext cx="1112768" cy="1575168"/>
                    <a:chOff x="6343650" y="5863857"/>
                    <a:chExt cx="1065600" cy="1216422"/>
                  </a:xfrm>
                </xdr:grpSpPr>
                <xdr:sp macro="" textlink="Pivot_tables!CC8">
                  <xdr:nvSpPr>
                    <xdr:cNvPr id="14" name="TextBox 13">
                      <a:extLst>
                        <a:ext uri="{FF2B5EF4-FFF2-40B4-BE49-F238E27FC236}">
                          <a16:creationId xmlns:a16="http://schemas.microsoft.com/office/drawing/2014/main" id="{00000000-0008-0000-0200-00000E000000}"/>
                        </a:ext>
                      </a:extLst>
                    </xdr:cNvPr>
                    <xdr:cNvSpPr txBox="1"/>
                  </xdr:nvSpPr>
                  <xdr:spPr>
                    <a:xfrm>
                      <a:off x="6343650" y="5863857"/>
                      <a:ext cx="1065600" cy="352425"/>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1C7C195-4281-4126-B894-3F73C4C06E96}" type="TxLink">
                        <a:rPr lang="en-US" sz="1400" b="0" i="0" u="none" strike="noStrike">
                          <a:ln>
                            <a:noFill/>
                          </a:ln>
                          <a:solidFill>
                            <a:srgbClr val="D43260"/>
                          </a:solidFill>
                          <a:latin typeface="Avenir Next LT Pro"/>
                        </a:rPr>
                        <a:pPr algn="l"/>
                        <a:t># of Orders</a:t>
                      </a:fld>
                      <a:endParaRPr lang="en-US" sz="1800" b="0" i="0" u="none" strike="noStrike">
                        <a:ln>
                          <a:noFill/>
                        </a:ln>
                        <a:solidFill>
                          <a:srgbClr val="D43260"/>
                        </a:solidFill>
                        <a:latin typeface="Avenir Next LT Pro"/>
                      </a:endParaRPr>
                    </a:p>
                  </xdr:txBody>
                </xdr:sp>
                <xdr:grpSp>
                  <xdr:nvGrpSpPr>
                    <xdr:cNvPr id="48" name="Group 47">
                      <a:extLst>
                        <a:ext uri="{FF2B5EF4-FFF2-40B4-BE49-F238E27FC236}">
                          <a16:creationId xmlns:a16="http://schemas.microsoft.com/office/drawing/2014/main" id="{00000000-0008-0000-0200-000030000000}"/>
                        </a:ext>
                      </a:extLst>
                    </xdr:cNvPr>
                    <xdr:cNvGrpSpPr/>
                  </xdr:nvGrpSpPr>
                  <xdr:grpSpPr>
                    <a:xfrm>
                      <a:off x="6344057" y="6216281"/>
                      <a:ext cx="1065193" cy="863998"/>
                      <a:chOff x="7018125" y="6240787"/>
                      <a:chExt cx="720000" cy="863998"/>
                    </a:xfrm>
                  </xdr:grpSpPr>
                  <xdr:sp macro="" textlink="Pivot_tables!CD8">
                    <xdr:nvSpPr>
                      <xdr:cNvPr id="15" name="TextBox 14">
                        <a:extLst>
                          <a:ext uri="{FF2B5EF4-FFF2-40B4-BE49-F238E27FC236}">
                            <a16:creationId xmlns:a16="http://schemas.microsoft.com/office/drawing/2014/main" id="{00000000-0008-0000-0200-00000F000000}"/>
                          </a:ext>
                        </a:extLst>
                      </xdr:cNvPr>
                      <xdr:cNvSpPr txBox="1"/>
                    </xdr:nvSpPr>
                    <xdr:spPr>
                      <a:xfrm>
                        <a:off x="7018125" y="6240787"/>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82DB21A-77BC-46AE-8BF0-0D404AE3AD68}" type="TxLink">
                          <a:rPr lang="en-US" sz="1100" b="0" i="0" u="none" strike="noStrike">
                            <a:ln>
                              <a:noFill/>
                            </a:ln>
                            <a:solidFill>
                              <a:schemeClr val="bg1"/>
                            </a:solidFill>
                            <a:latin typeface="Avenir Next LT Pro"/>
                          </a:rPr>
                          <a:pPr algn="ctr"/>
                          <a:t>334</a:t>
                        </a:fld>
                        <a:endParaRPr lang="en-US" sz="1200" b="0" i="0" u="none" strike="noStrike">
                          <a:ln>
                            <a:noFill/>
                          </a:ln>
                          <a:solidFill>
                            <a:schemeClr val="bg1"/>
                          </a:solidFill>
                          <a:latin typeface="Avenir Next LT Pro"/>
                        </a:endParaRPr>
                      </a:p>
                    </xdr:txBody>
                  </xdr:sp>
                  <xdr:sp macro="" textlink="Pivot_tables!CE8">
                    <xdr:nvSpPr>
                      <xdr:cNvPr id="16" name="TextBox 15">
                        <a:extLst>
                          <a:ext uri="{FF2B5EF4-FFF2-40B4-BE49-F238E27FC236}">
                            <a16:creationId xmlns:a16="http://schemas.microsoft.com/office/drawing/2014/main" id="{00000000-0008-0000-0200-000010000000}"/>
                          </a:ext>
                        </a:extLst>
                      </xdr:cNvPr>
                      <xdr:cNvSpPr txBox="1"/>
                    </xdr:nvSpPr>
                    <xdr:spPr>
                      <a:xfrm>
                        <a:off x="7018125" y="6456787"/>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E4F692E-CDD7-4DD3-95EC-405435DAFE69}" type="TxLink">
                          <a:rPr lang="en-US" sz="1100" b="0" i="0" u="none" strike="noStrike">
                            <a:ln>
                              <a:noFill/>
                            </a:ln>
                            <a:solidFill>
                              <a:schemeClr val="bg1"/>
                            </a:solidFill>
                            <a:latin typeface="Avenir Next LT Pro"/>
                          </a:rPr>
                          <a:pPr algn="ctr"/>
                          <a:t>294</a:t>
                        </a:fld>
                        <a:endParaRPr lang="en-US" sz="1200" b="0" i="0" u="none" strike="noStrike">
                          <a:ln>
                            <a:noFill/>
                          </a:ln>
                          <a:solidFill>
                            <a:schemeClr val="bg1"/>
                          </a:solidFill>
                          <a:latin typeface="Avenir Next LT Pro"/>
                        </a:endParaRPr>
                      </a:p>
                    </xdr:txBody>
                  </xdr:sp>
                  <xdr:sp macro="" textlink="Pivot_tables!CF8">
                    <xdr:nvSpPr>
                      <xdr:cNvPr id="17" name="TextBox 16">
                        <a:extLst>
                          <a:ext uri="{FF2B5EF4-FFF2-40B4-BE49-F238E27FC236}">
                            <a16:creationId xmlns:a16="http://schemas.microsoft.com/office/drawing/2014/main" id="{00000000-0008-0000-0200-000011000000}"/>
                          </a:ext>
                        </a:extLst>
                      </xdr:cNvPr>
                      <xdr:cNvSpPr txBox="1"/>
                    </xdr:nvSpPr>
                    <xdr:spPr>
                      <a:xfrm>
                        <a:off x="7018125" y="6672786"/>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4CF9A51-A3C3-4796-8181-2E37806DAE40}" type="TxLink">
                          <a:rPr lang="en-US" sz="1100" b="0" i="0" u="none" strike="noStrike">
                            <a:ln>
                              <a:noFill/>
                            </a:ln>
                            <a:solidFill>
                              <a:schemeClr val="bg1"/>
                            </a:solidFill>
                            <a:latin typeface="Avenir Next LT Pro"/>
                          </a:rPr>
                          <a:pPr algn="ctr"/>
                          <a:t>470</a:t>
                        </a:fld>
                        <a:endParaRPr lang="en-US" sz="1200" b="0" i="0" u="none" strike="noStrike">
                          <a:ln>
                            <a:noFill/>
                          </a:ln>
                          <a:solidFill>
                            <a:schemeClr val="bg1"/>
                          </a:solidFill>
                          <a:latin typeface="Avenir Next LT Pro"/>
                        </a:endParaRPr>
                      </a:p>
                    </xdr:txBody>
                  </xdr:sp>
                  <xdr:sp macro="" textlink="Pivot_tables!CG8">
                    <xdr:nvSpPr>
                      <xdr:cNvPr id="18" name="TextBox 17">
                        <a:extLst>
                          <a:ext uri="{FF2B5EF4-FFF2-40B4-BE49-F238E27FC236}">
                            <a16:creationId xmlns:a16="http://schemas.microsoft.com/office/drawing/2014/main" id="{00000000-0008-0000-0200-000012000000}"/>
                          </a:ext>
                        </a:extLst>
                      </xdr:cNvPr>
                      <xdr:cNvSpPr txBox="1"/>
                    </xdr:nvSpPr>
                    <xdr:spPr>
                      <a:xfrm>
                        <a:off x="7018125" y="6888785"/>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44C5AD0-6B79-4963-9D54-955DC359F926}" type="TxLink">
                          <a:rPr lang="en-US" sz="1100" b="0" i="0" u="none" strike="noStrike">
                            <a:ln>
                              <a:noFill/>
                            </a:ln>
                            <a:solidFill>
                              <a:schemeClr val="bg1"/>
                            </a:solidFill>
                            <a:latin typeface="Avenir Next LT Pro"/>
                          </a:rPr>
                          <a:pPr algn="ctr"/>
                          <a:t>263</a:t>
                        </a:fld>
                        <a:endParaRPr lang="en-US" sz="1200" b="0" i="0" u="none" strike="noStrike">
                          <a:ln>
                            <a:noFill/>
                          </a:ln>
                          <a:solidFill>
                            <a:schemeClr val="bg1"/>
                          </a:solidFill>
                          <a:latin typeface="Avenir Next LT Pro"/>
                        </a:endParaRPr>
                      </a:p>
                    </xdr:txBody>
                  </xdr:sp>
                </xdr:grpSp>
              </xdr:grpSp>
              <xdr:sp macro="" textlink="">
                <xdr:nvSpPr>
                  <xdr:cNvPr id="3192" name="TextBox 3191">
                    <a:extLst>
                      <a:ext uri="{FF2B5EF4-FFF2-40B4-BE49-F238E27FC236}">
                        <a16:creationId xmlns:a16="http://schemas.microsoft.com/office/drawing/2014/main" id="{00000000-0008-0000-0200-0000780C0000}"/>
                      </a:ext>
                    </a:extLst>
                  </xdr:cNvPr>
                  <xdr:cNvSpPr txBox="1"/>
                </xdr:nvSpPr>
                <xdr:spPr>
                  <a:xfrm>
                    <a:off x="6290330" y="7038975"/>
                    <a:ext cx="1112343" cy="279702"/>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1100" b="0" i="0" u="none" strike="noStrike">
                      <a:ln>
                        <a:noFill/>
                      </a:ln>
                      <a:solidFill>
                        <a:schemeClr val="bg1"/>
                      </a:solidFill>
                      <a:latin typeface="Avenir Next LT Pro"/>
                    </a:endParaRPr>
                  </a:p>
                </xdr:txBody>
              </xdr:sp>
            </xdr:grpSp>
            <xdr:grpSp>
              <xdr:nvGrpSpPr>
                <xdr:cNvPr id="3203" name="Group 3202">
                  <a:extLst>
                    <a:ext uri="{FF2B5EF4-FFF2-40B4-BE49-F238E27FC236}">
                      <a16:creationId xmlns:a16="http://schemas.microsoft.com/office/drawing/2014/main" id="{00000000-0008-0000-0200-0000830C0000}"/>
                    </a:ext>
                  </a:extLst>
                </xdr:cNvPr>
                <xdr:cNvGrpSpPr/>
              </xdr:nvGrpSpPr>
              <xdr:grpSpPr>
                <a:xfrm>
                  <a:off x="5176487" y="5463807"/>
                  <a:ext cx="1113418" cy="1854870"/>
                  <a:chOff x="5176487" y="5463807"/>
                  <a:chExt cx="1113418" cy="1854870"/>
                </a:xfrm>
              </xdr:grpSpPr>
              <xdr:grpSp>
                <xdr:nvGrpSpPr>
                  <xdr:cNvPr id="3175" name="Group 3174">
                    <a:extLst>
                      <a:ext uri="{FF2B5EF4-FFF2-40B4-BE49-F238E27FC236}">
                        <a16:creationId xmlns:a16="http://schemas.microsoft.com/office/drawing/2014/main" id="{00000000-0008-0000-0200-0000670C0000}"/>
                      </a:ext>
                    </a:extLst>
                  </xdr:cNvPr>
                  <xdr:cNvGrpSpPr/>
                </xdr:nvGrpSpPr>
                <xdr:grpSpPr>
                  <a:xfrm>
                    <a:off x="5176487" y="5463807"/>
                    <a:ext cx="1112768" cy="1575168"/>
                    <a:chOff x="6343650" y="5863857"/>
                    <a:chExt cx="1065600" cy="1216422"/>
                  </a:xfrm>
                </xdr:grpSpPr>
                <xdr:sp macro="" textlink="">
                  <xdr:nvSpPr>
                    <xdr:cNvPr id="3176" name="TextBox 3175">
                      <a:extLst>
                        <a:ext uri="{FF2B5EF4-FFF2-40B4-BE49-F238E27FC236}">
                          <a16:creationId xmlns:a16="http://schemas.microsoft.com/office/drawing/2014/main" id="{00000000-0008-0000-0200-0000680C0000}"/>
                        </a:ext>
                      </a:extLst>
                    </xdr:cNvPr>
                    <xdr:cNvSpPr txBox="1"/>
                  </xdr:nvSpPr>
                  <xdr:spPr>
                    <a:xfrm>
                      <a:off x="6343650" y="5863857"/>
                      <a:ext cx="1065600" cy="352425"/>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endParaRPr lang="en-US" sz="1400" b="0" i="0" u="none" strike="noStrike">
                        <a:ln>
                          <a:noFill/>
                        </a:ln>
                        <a:solidFill>
                          <a:srgbClr val="D43260"/>
                        </a:solidFill>
                        <a:latin typeface="Avenir Next LT Pro"/>
                      </a:endParaRPr>
                    </a:p>
                  </xdr:txBody>
                </xdr:sp>
                <xdr:grpSp>
                  <xdr:nvGrpSpPr>
                    <xdr:cNvPr id="3177" name="Group 3176">
                      <a:extLst>
                        <a:ext uri="{FF2B5EF4-FFF2-40B4-BE49-F238E27FC236}">
                          <a16:creationId xmlns:a16="http://schemas.microsoft.com/office/drawing/2014/main" id="{00000000-0008-0000-0200-0000690C0000}"/>
                        </a:ext>
                      </a:extLst>
                    </xdr:cNvPr>
                    <xdr:cNvGrpSpPr/>
                  </xdr:nvGrpSpPr>
                  <xdr:grpSpPr>
                    <a:xfrm>
                      <a:off x="6344057" y="6216281"/>
                      <a:ext cx="1065193" cy="863998"/>
                      <a:chOff x="7018125" y="6240787"/>
                      <a:chExt cx="720000" cy="863998"/>
                    </a:xfrm>
                  </xdr:grpSpPr>
                  <xdr:sp macro="" textlink="">
                    <xdr:nvSpPr>
                      <xdr:cNvPr id="3178" name="TextBox 3177">
                        <a:extLst>
                          <a:ext uri="{FF2B5EF4-FFF2-40B4-BE49-F238E27FC236}">
                            <a16:creationId xmlns:a16="http://schemas.microsoft.com/office/drawing/2014/main" id="{00000000-0008-0000-0200-00006A0C0000}"/>
                          </a:ext>
                        </a:extLst>
                      </xdr:cNvPr>
                      <xdr:cNvSpPr txBox="1"/>
                    </xdr:nvSpPr>
                    <xdr:spPr>
                      <a:xfrm>
                        <a:off x="7018125" y="6240787"/>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1100" b="0" i="0" u="none" strike="noStrike">
                          <a:ln>
                            <a:noFill/>
                          </a:ln>
                          <a:solidFill>
                            <a:schemeClr val="bg1"/>
                          </a:solidFill>
                          <a:latin typeface="Avenir Next LT Pro"/>
                        </a:endParaRPr>
                      </a:p>
                    </xdr:txBody>
                  </xdr:sp>
                  <xdr:sp macro="" textlink="">
                    <xdr:nvSpPr>
                      <xdr:cNvPr id="3179" name="TextBox 3178">
                        <a:extLst>
                          <a:ext uri="{FF2B5EF4-FFF2-40B4-BE49-F238E27FC236}">
                            <a16:creationId xmlns:a16="http://schemas.microsoft.com/office/drawing/2014/main" id="{00000000-0008-0000-0200-00006B0C0000}"/>
                          </a:ext>
                        </a:extLst>
                      </xdr:cNvPr>
                      <xdr:cNvSpPr txBox="1"/>
                    </xdr:nvSpPr>
                    <xdr:spPr>
                      <a:xfrm>
                        <a:off x="7018125" y="6456787"/>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1100" b="0" i="0" u="none" strike="noStrike">
                          <a:ln>
                            <a:noFill/>
                          </a:ln>
                          <a:solidFill>
                            <a:schemeClr val="bg1"/>
                          </a:solidFill>
                          <a:latin typeface="Avenir Next LT Pro"/>
                        </a:endParaRPr>
                      </a:p>
                    </xdr:txBody>
                  </xdr:sp>
                  <xdr:sp macro="" textlink="">
                    <xdr:nvSpPr>
                      <xdr:cNvPr id="3180" name="TextBox 3179">
                        <a:extLst>
                          <a:ext uri="{FF2B5EF4-FFF2-40B4-BE49-F238E27FC236}">
                            <a16:creationId xmlns:a16="http://schemas.microsoft.com/office/drawing/2014/main" id="{00000000-0008-0000-0200-00006C0C0000}"/>
                          </a:ext>
                        </a:extLst>
                      </xdr:cNvPr>
                      <xdr:cNvSpPr txBox="1"/>
                    </xdr:nvSpPr>
                    <xdr:spPr>
                      <a:xfrm>
                        <a:off x="7018125" y="6672786"/>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1100" b="0" i="0" u="none" strike="noStrike">
                          <a:ln>
                            <a:noFill/>
                          </a:ln>
                          <a:solidFill>
                            <a:schemeClr val="bg1"/>
                          </a:solidFill>
                          <a:latin typeface="Avenir Next LT Pro"/>
                        </a:endParaRPr>
                      </a:p>
                    </xdr:txBody>
                  </xdr:sp>
                  <xdr:sp macro="" textlink="">
                    <xdr:nvSpPr>
                      <xdr:cNvPr id="3181" name="TextBox 3180">
                        <a:extLst>
                          <a:ext uri="{FF2B5EF4-FFF2-40B4-BE49-F238E27FC236}">
                            <a16:creationId xmlns:a16="http://schemas.microsoft.com/office/drawing/2014/main" id="{00000000-0008-0000-0200-00006D0C0000}"/>
                          </a:ext>
                        </a:extLst>
                      </xdr:cNvPr>
                      <xdr:cNvSpPr txBox="1"/>
                    </xdr:nvSpPr>
                    <xdr:spPr>
                      <a:xfrm>
                        <a:off x="7018125" y="6888785"/>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1100" b="0" i="0" u="none" strike="noStrike">
                          <a:ln>
                            <a:noFill/>
                          </a:ln>
                          <a:solidFill>
                            <a:schemeClr val="bg1"/>
                          </a:solidFill>
                          <a:latin typeface="Avenir Next LT Pro"/>
                        </a:endParaRPr>
                      </a:p>
                    </xdr:txBody>
                  </xdr:sp>
                </xdr:grpSp>
              </xdr:grpSp>
              <xdr:sp macro="" textlink="">
                <xdr:nvSpPr>
                  <xdr:cNvPr id="3193" name="TextBox 3192">
                    <a:extLst>
                      <a:ext uri="{FF2B5EF4-FFF2-40B4-BE49-F238E27FC236}">
                        <a16:creationId xmlns:a16="http://schemas.microsoft.com/office/drawing/2014/main" id="{00000000-0008-0000-0200-0000790C0000}"/>
                      </a:ext>
                    </a:extLst>
                  </xdr:cNvPr>
                  <xdr:cNvSpPr txBox="1"/>
                </xdr:nvSpPr>
                <xdr:spPr>
                  <a:xfrm>
                    <a:off x="5177562" y="7038975"/>
                    <a:ext cx="1112343" cy="279702"/>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1100" b="0" i="0" u="none" strike="noStrike">
                      <a:ln>
                        <a:noFill/>
                      </a:ln>
                      <a:solidFill>
                        <a:schemeClr val="bg1"/>
                      </a:solidFill>
                      <a:latin typeface="Avenir Next LT Pro"/>
                    </a:endParaRPr>
                  </a:p>
                </xdr:txBody>
              </xdr:sp>
            </xdr:grpSp>
          </xdr:grpSp>
        </xdr:grpSp>
        <xdr:sp macro="" textlink="Pivot_tables!CC4">
          <xdr:nvSpPr>
            <xdr:cNvPr id="2" name="TextBox 1">
              <a:extLst>
                <a:ext uri="{FF2B5EF4-FFF2-40B4-BE49-F238E27FC236}">
                  <a16:creationId xmlns:a16="http://schemas.microsoft.com/office/drawing/2014/main" id="{00000000-0008-0000-0200-000002000000}"/>
                </a:ext>
              </a:extLst>
            </xdr:cNvPr>
            <xdr:cNvSpPr txBox="1"/>
          </xdr:nvSpPr>
          <xdr:spPr>
            <a:xfrm>
              <a:off x="4709574" y="2000250"/>
              <a:ext cx="3762374"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153B7AE-4234-4F39-AE3F-14089FB8E2B4}" type="TxLink">
                <a:rPr lang="en-US" sz="1400" b="0" i="0" u="none" strike="noStrike" cap="none" spc="0">
                  <a:ln w="0"/>
                  <a:solidFill>
                    <a:srgbClr val="B1F5F1"/>
                  </a:solidFill>
                  <a:effectLst>
                    <a:outerShdw blurRad="38100" dist="25400" dir="5400000" algn="ctr" rotWithShape="0">
                      <a:srgbClr val="6E747A">
                        <a:alpha val="43000"/>
                      </a:srgbClr>
                    </a:outerShdw>
                  </a:effectLst>
                  <a:latin typeface="Avenir Next LT Pro"/>
                </a:rPr>
                <a:pPr algn="ctr"/>
                <a:t>Distribution of Σ Sales of $1881525 Over Cust Segment, where # of Orders are 1361</a:t>
              </a:fld>
              <a:endParaRPr lang="en-CA" sz="1800" b="0" cap="none" spc="0">
                <a:ln w="0"/>
                <a:solidFill>
                  <a:srgbClr val="B1F5F1"/>
                </a:solidFill>
                <a:effectLst>
                  <a:outerShdw blurRad="38100" dist="25400" dir="5400000" algn="ctr" rotWithShape="0">
                    <a:srgbClr val="6E747A">
                      <a:alpha val="43000"/>
                    </a:srgbClr>
                  </a:outerShdw>
                </a:effectLst>
              </a:endParaRPr>
            </a:p>
          </xdr:txBody>
        </xdr:sp>
      </xdr:grpSp>
      <xdr:grpSp>
        <xdr:nvGrpSpPr>
          <xdr:cNvPr id="43" name="Group 42">
            <a:extLst>
              <a:ext uri="{FF2B5EF4-FFF2-40B4-BE49-F238E27FC236}">
                <a16:creationId xmlns:a16="http://schemas.microsoft.com/office/drawing/2014/main" id="{00000000-0008-0000-0200-00002B000000}"/>
              </a:ext>
            </a:extLst>
          </xdr:cNvPr>
          <xdr:cNvGrpSpPr/>
        </xdr:nvGrpSpPr>
        <xdr:grpSpPr>
          <a:xfrm>
            <a:off x="7058025" y="3133725"/>
            <a:ext cx="108000" cy="850950"/>
            <a:chOff x="7429500" y="3133725"/>
            <a:chExt cx="108000" cy="850950"/>
          </a:xfrm>
        </xdr:grpSpPr>
        <xdr:sp macro="" textlink="">
          <xdr:nvSpPr>
            <xdr:cNvPr id="12" name="Oval 11">
              <a:extLst>
                <a:ext uri="{FF2B5EF4-FFF2-40B4-BE49-F238E27FC236}">
                  <a16:creationId xmlns:a16="http://schemas.microsoft.com/office/drawing/2014/main" id="{00000000-0008-0000-0200-00000C000000}"/>
                </a:ext>
              </a:extLst>
            </xdr:cNvPr>
            <xdr:cNvSpPr/>
          </xdr:nvSpPr>
          <xdr:spPr>
            <a:xfrm>
              <a:off x="7429500" y="3133725"/>
              <a:ext cx="108000" cy="108000"/>
            </a:xfrm>
            <a:prstGeom prst="ellipse">
              <a:avLst/>
            </a:prstGeom>
            <a:solidFill>
              <a:srgbClr val="B1F5F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13" name="Oval 12">
              <a:extLst>
                <a:ext uri="{FF2B5EF4-FFF2-40B4-BE49-F238E27FC236}">
                  <a16:creationId xmlns:a16="http://schemas.microsoft.com/office/drawing/2014/main" id="{00000000-0008-0000-0200-00000D000000}"/>
                </a:ext>
              </a:extLst>
            </xdr:cNvPr>
            <xdr:cNvSpPr/>
          </xdr:nvSpPr>
          <xdr:spPr>
            <a:xfrm>
              <a:off x="7429500" y="3381375"/>
              <a:ext cx="108000" cy="108000"/>
            </a:xfrm>
            <a:prstGeom prst="ellipse">
              <a:avLst/>
            </a:prstGeom>
            <a:solidFill>
              <a:srgbClr val="7417B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40" name="Oval 39">
              <a:extLst>
                <a:ext uri="{FF2B5EF4-FFF2-40B4-BE49-F238E27FC236}">
                  <a16:creationId xmlns:a16="http://schemas.microsoft.com/office/drawing/2014/main" id="{00000000-0008-0000-0200-000028000000}"/>
                </a:ext>
              </a:extLst>
            </xdr:cNvPr>
            <xdr:cNvSpPr/>
          </xdr:nvSpPr>
          <xdr:spPr>
            <a:xfrm>
              <a:off x="7429500" y="3629025"/>
              <a:ext cx="108000" cy="108000"/>
            </a:xfrm>
            <a:prstGeom prst="ellipse">
              <a:avLst/>
            </a:prstGeom>
            <a:solidFill>
              <a:srgbClr val="D432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42" name="Oval 41">
              <a:extLst>
                <a:ext uri="{FF2B5EF4-FFF2-40B4-BE49-F238E27FC236}">
                  <a16:creationId xmlns:a16="http://schemas.microsoft.com/office/drawing/2014/main" id="{00000000-0008-0000-0200-00002A000000}"/>
                </a:ext>
              </a:extLst>
            </xdr:cNvPr>
            <xdr:cNvSpPr/>
          </xdr:nvSpPr>
          <xdr:spPr>
            <a:xfrm>
              <a:off x="7429500" y="3876675"/>
              <a:ext cx="108000" cy="108000"/>
            </a:xfrm>
            <a:prstGeom prst="ellipse">
              <a:avLst/>
            </a:prstGeom>
            <a:solidFill>
              <a:srgbClr val="194AF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grpSp>
    <xdr:clientData/>
  </xdr:twoCellAnchor>
  <xdr:twoCellAnchor>
    <xdr:from>
      <xdr:col>15</xdr:col>
      <xdr:colOff>223873</xdr:colOff>
      <xdr:row>12</xdr:row>
      <xdr:rowOff>2005</xdr:rowOff>
    </xdr:from>
    <xdr:to>
      <xdr:col>23</xdr:col>
      <xdr:colOff>387073</xdr:colOff>
      <xdr:row>27</xdr:row>
      <xdr:rowOff>58518</xdr:rowOff>
    </xdr:to>
    <xdr:grpSp>
      <xdr:nvGrpSpPr>
        <xdr:cNvPr id="57" name="Group 56">
          <a:extLst>
            <a:ext uri="{FF2B5EF4-FFF2-40B4-BE49-F238E27FC236}">
              <a16:creationId xmlns:a16="http://schemas.microsoft.com/office/drawing/2014/main" id="{00000000-0008-0000-0200-000039000000}"/>
            </a:ext>
          </a:extLst>
        </xdr:cNvPr>
        <xdr:cNvGrpSpPr/>
      </xdr:nvGrpSpPr>
      <xdr:grpSpPr>
        <a:xfrm>
          <a:off x="9367873" y="1973680"/>
          <a:ext cx="5040000" cy="2599688"/>
          <a:chOff x="9367873" y="1973680"/>
          <a:chExt cx="5040000" cy="2599688"/>
        </a:xfrm>
      </xdr:grpSpPr>
      <xdr:grpSp>
        <xdr:nvGrpSpPr>
          <xdr:cNvPr id="10" name="Group 9">
            <a:extLst>
              <a:ext uri="{FF2B5EF4-FFF2-40B4-BE49-F238E27FC236}">
                <a16:creationId xmlns:a16="http://schemas.microsoft.com/office/drawing/2014/main" id="{00000000-0008-0000-0200-00000A000000}"/>
              </a:ext>
            </a:extLst>
          </xdr:cNvPr>
          <xdr:cNvGrpSpPr/>
        </xdr:nvGrpSpPr>
        <xdr:grpSpPr>
          <a:xfrm>
            <a:off x="9367873" y="1973680"/>
            <a:ext cx="5040000" cy="2599688"/>
            <a:chOff x="9367873" y="1973680"/>
            <a:chExt cx="5040000" cy="2599688"/>
          </a:xfrm>
        </xdr:grpSpPr>
        <xdr:grpSp>
          <xdr:nvGrpSpPr>
            <xdr:cNvPr id="123" name="Group 122">
              <a:extLst>
                <a:ext uri="{FF2B5EF4-FFF2-40B4-BE49-F238E27FC236}">
                  <a16:creationId xmlns:a16="http://schemas.microsoft.com/office/drawing/2014/main" id="{00000000-0008-0000-0200-00007B000000}"/>
                </a:ext>
              </a:extLst>
            </xdr:cNvPr>
            <xdr:cNvGrpSpPr/>
          </xdr:nvGrpSpPr>
          <xdr:grpSpPr>
            <a:xfrm>
              <a:off x="9367873" y="1973680"/>
              <a:ext cx="5040000" cy="2599688"/>
              <a:chOff x="8327798" y="4802605"/>
              <a:chExt cx="5040000" cy="2599688"/>
            </a:xfrm>
          </xdr:grpSpPr>
          <xdr:sp macro="" textlink="">
            <xdr:nvSpPr>
              <xdr:cNvPr id="3207" name="Rectangle: Rounded Corners 40">
                <a:extLst>
                  <a:ext uri="{FF2B5EF4-FFF2-40B4-BE49-F238E27FC236}">
                    <a16:creationId xmlns:a16="http://schemas.microsoft.com/office/drawing/2014/main" id="{00000000-0008-0000-0200-0000870C0000}"/>
                  </a:ext>
                </a:extLst>
              </xdr:cNvPr>
              <xdr:cNvSpPr/>
            </xdr:nvSpPr>
            <xdr:spPr>
              <a:xfrm>
                <a:off x="8327798" y="4802605"/>
                <a:ext cx="5040000" cy="2599688"/>
              </a:xfrm>
              <a:prstGeom prst="roundRect">
                <a:avLst>
                  <a:gd name="adj" fmla="val 10439"/>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lvl="0" algn="ctr"/>
                <a:endParaRPr lang="en-US" sz="1400">
                  <a:solidFill>
                    <a:schemeClr val="bg1"/>
                  </a:solidFill>
                </a:endParaRPr>
              </a:p>
            </xdr:txBody>
          </xdr:sp>
          <xdr:grpSp>
            <xdr:nvGrpSpPr>
              <xdr:cNvPr id="122" name="Group 121">
                <a:extLst>
                  <a:ext uri="{FF2B5EF4-FFF2-40B4-BE49-F238E27FC236}">
                    <a16:creationId xmlns:a16="http://schemas.microsoft.com/office/drawing/2014/main" id="{00000000-0008-0000-0200-00007A000000}"/>
                  </a:ext>
                </a:extLst>
              </xdr:cNvPr>
              <xdr:cNvGrpSpPr/>
            </xdr:nvGrpSpPr>
            <xdr:grpSpPr>
              <a:xfrm>
                <a:off x="8327798" y="5494387"/>
                <a:ext cx="5040000" cy="1622793"/>
                <a:chOff x="8327798" y="5494387"/>
                <a:chExt cx="5040000" cy="1622793"/>
              </a:xfrm>
            </xdr:grpSpPr>
            <xdr:grpSp>
              <xdr:nvGrpSpPr>
                <xdr:cNvPr id="3213" name="Group 3212">
                  <a:extLst>
                    <a:ext uri="{FF2B5EF4-FFF2-40B4-BE49-F238E27FC236}">
                      <a16:creationId xmlns:a16="http://schemas.microsoft.com/office/drawing/2014/main" id="{00000000-0008-0000-0200-00008D0C0000}"/>
                    </a:ext>
                  </a:extLst>
                </xdr:cNvPr>
                <xdr:cNvGrpSpPr/>
              </xdr:nvGrpSpPr>
              <xdr:grpSpPr>
                <a:xfrm>
                  <a:off x="8327798" y="5494387"/>
                  <a:ext cx="1701696" cy="1622793"/>
                  <a:chOff x="8514791" y="5463807"/>
                  <a:chExt cx="1701696" cy="1854870"/>
                </a:xfrm>
              </xdr:grpSpPr>
              <xdr:grpSp>
                <xdr:nvGrpSpPr>
                  <xdr:cNvPr id="3246" name="Group 3245">
                    <a:extLst>
                      <a:ext uri="{FF2B5EF4-FFF2-40B4-BE49-F238E27FC236}">
                        <a16:creationId xmlns:a16="http://schemas.microsoft.com/office/drawing/2014/main" id="{00000000-0008-0000-0200-0000AE0C0000}"/>
                      </a:ext>
                    </a:extLst>
                  </xdr:cNvPr>
                  <xdr:cNvGrpSpPr/>
                </xdr:nvGrpSpPr>
                <xdr:grpSpPr>
                  <a:xfrm>
                    <a:off x="8514791" y="5463807"/>
                    <a:ext cx="1701696" cy="1575168"/>
                    <a:chOff x="8474036" y="5863857"/>
                    <a:chExt cx="1598400" cy="1216422"/>
                  </a:xfrm>
                </xdr:grpSpPr>
                <xdr:sp macro="" textlink="Pivot_tables!BK5">
                  <xdr:nvSpPr>
                    <xdr:cNvPr id="3248" name="TextBox 3247">
                      <a:extLst>
                        <a:ext uri="{FF2B5EF4-FFF2-40B4-BE49-F238E27FC236}">
                          <a16:creationId xmlns:a16="http://schemas.microsoft.com/office/drawing/2014/main" id="{00000000-0008-0000-0200-0000B00C0000}"/>
                        </a:ext>
                      </a:extLst>
                    </xdr:cNvPr>
                    <xdr:cNvSpPr txBox="1"/>
                  </xdr:nvSpPr>
                  <xdr:spPr>
                    <a:xfrm>
                      <a:off x="8474036" y="5863857"/>
                      <a:ext cx="1598400" cy="352425"/>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4B294D1A-3F22-4763-8F26-7EB66F58D604}" type="TxLink">
                        <a:rPr lang="en-US" sz="1400" b="0" i="0" u="none" strike="noStrike">
                          <a:ln>
                            <a:noFill/>
                          </a:ln>
                          <a:solidFill>
                            <a:srgbClr val="D43260"/>
                          </a:solidFill>
                          <a:latin typeface="Avenir Next LT Pro"/>
                        </a:rPr>
                        <a:pPr algn="l"/>
                        <a:t>Order Priority</a:t>
                      </a:fld>
                      <a:endParaRPr lang="en-US" sz="1800" b="0" i="0" u="none" strike="noStrike">
                        <a:ln>
                          <a:noFill/>
                        </a:ln>
                        <a:solidFill>
                          <a:srgbClr val="D43260"/>
                        </a:solidFill>
                        <a:latin typeface="Avenir Next LT Pro"/>
                      </a:endParaRPr>
                    </a:p>
                  </xdr:txBody>
                </xdr:sp>
                <xdr:grpSp>
                  <xdr:nvGrpSpPr>
                    <xdr:cNvPr id="3249" name="Group 3248">
                      <a:extLst>
                        <a:ext uri="{FF2B5EF4-FFF2-40B4-BE49-F238E27FC236}">
                          <a16:creationId xmlns:a16="http://schemas.microsoft.com/office/drawing/2014/main" id="{00000000-0008-0000-0200-0000B10C0000}"/>
                        </a:ext>
                      </a:extLst>
                    </xdr:cNvPr>
                    <xdr:cNvGrpSpPr/>
                  </xdr:nvGrpSpPr>
                  <xdr:grpSpPr>
                    <a:xfrm>
                      <a:off x="8474036" y="6216281"/>
                      <a:ext cx="1597789" cy="863998"/>
                      <a:chOff x="8991825" y="6240787"/>
                      <a:chExt cx="1080000" cy="863998"/>
                    </a:xfrm>
                  </xdr:grpSpPr>
                  <xdr:sp macro="" textlink="Pivot_tables!BK6">
                    <xdr:nvSpPr>
                      <xdr:cNvPr id="3250" name="TextBox 3249">
                        <a:extLst>
                          <a:ext uri="{FF2B5EF4-FFF2-40B4-BE49-F238E27FC236}">
                            <a16:creationId xmlns:a16="http://schemas.microsoft.com/office/drawing/2014/main" id="{00000000-0008-0000-0200-0000B20C0000}"/>
                          </a:ext>
                        </a:extLst>
                      </xdr:cNvPr>
                      <xdr:cNvSpPr txBox="1"/>
                    </xdr:nvSpPr>
                    <xdr:spPr>
                      <a:xfrm>
                        <a:off x="8991825" y="6240787"/>
                        <a:ext cx="108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366D323-50F7-463E-8AA0-6374CD81D029}" type="TxLink">
                          <a:rPr lang="en-US" sz="1100" b="0" i="0" u="none" strike="noStrike">
                            <a:ln>
                              <a:noFill/>
                            </a:ln>
                            <a:solidFill>
                              <a:schemeClr val="bg1"/>
                            </a:solidFill>
                            <a:latin typeface="Avenir Next LT Pro"/>
                          </a:rPr>
                          <a:pPr algn="l"/>
                          <a:t>Low</a:t>
                        </a:fld>
                        <a:endParaRPr lang="en-US" sz="1200" b="0" i="0" u="none" strike="noStrike">
                          <a:ln>
                            <a:noFill/>
                          </a:ln>
                          <a:solidFill>
                            <a:schemeClr val="bg1"/>
                          </a:solidFill>
                          <a:latin typeface="Avenir Next LT Pro"/>
                        </a:endParaRPr>
                      </a:p>
                    </xdr:txBody>
                  </xdr:sp>
                  <xdr:sp macro="" textlink="Pivot_tables!BK7">
                    <xdr:nvSpPr>
                      <xdr:cNvPr id="3251" name="TextBox 3250">
                        <a:extLst>
                          <a:ext uri="{FF2B5EF4-FFF2-40B4-BE49-F238E27FC236}">
                            <a16:creationId xmlns:a16="http://schemas.microsoft.com/office/drawing/2014/main" id="{00000000-0008-0000-0200-0000B30C0000}"/>
                          </a:ext>
                        </a:extLst>
                      </xdr:cNvPr>
                      <xdr:cNvSpPr txBox="1"/>
                    </xdr:nvSpPr>
                    <xdr:spPr>
                      <a:xfrm>
                        <a:off x="8991825" y="6456787"/>
                        <a:ext cx="108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0309B01-AF73-4C5C-B555-12DCDD0C6901}" type="TxLink">
                          <a:rPr lang="en-US" sz="1100" b="0" i="0" u="none" strike="noStrike">
                            <a:ln>
                              <a:noFill/>
                            </a:ln>
                            <a:solidFill>
                              <a:schemeClr val="bg1"/>
                            </a:solidFill>
                            <a:latin typeface="Avenir Next LT Pro"/>
                          </a:rPr>
                          <a:pPr algn="l"/>
                          <a:t>Medium</a:t>
                        </a:fld>
                        <a:endParaRPr lang="en-US" sz="1200" b="0" i="0" u="none" strike="noStrike">
                          <a:ln>
                            <a:noFill/>
                          </a:ln>
                          <a:solidFill>
                            <a:schemeClr val="bg1"/>
                          </a:solidFill>
                          <a:latin typeface="Avenir Next LT Pro"/>
                        </a:endParaRPr>
                      </a:p>
                    </xdr:txBody>
                  </xdr:sp>
                  <xdr:sp macro="" textlink="Pivot_tables!BK8">
                    <xdr:nvSpPr>
                      <xdr:cNvPr id="3252" name="TextBox 3251">
                        <a:extLst>
                          <a:ext uri="{FF2B5EF4-FFF2-40B4-BE49-F238E27FC236}">
                            <a16:creationId xmlns:a16="http://schemas.microsoft.com/office/drawing/2014/main" id="{00000000-0008-0000-0200-0000B40C0000}"/>
                          </a:ext>
                        </a:extLst>
                      </xdr:cNvPr>
                      <xdr:cNvSpPr txBox="1"/>
                    </xdr:nvSpPr>
                    <xdr:spPr>
                      <a:xfrm>
                        <a:off x="8991825" y="6672786"/>
                        <a:ext cx="108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4B93D631-D369-4B3B-8E82-C5E2D148EFFE}" type="TxLink">
                          <a:rPr lang="en-US" sz="1100" b="0" i="0" u="none" strike="noStrike">
                            <a:ln>
                              <a:noFill/>
                            </a:ln>
                            <a:solidFill>
                              <a:schemeClr val="bg1"/>
                            </a:solidFill>
                            <a:latin typeface="Avenir Next LT Pro"/>
                          </a:rPr>
                          <a:pPr algn="l"/>
                          <a:t>High</a:t>
                        </a:fld>
                        <a:endParaRPr lang="en-US" sz="1200" b="0" i="0" u="none" strike="noStrike">
                          <a:ln>
                            <a:noFill/>
                          </a:ln>
                          <a:solidFill>
                            <a:schemeClr val="bg1"/>
                          </a:solidFill>
                          <a:latin typeface="Avenir Next LT Pro"/>
                        </a:endParaRPr>
                      </a:p>
                    </xdr:txBody>
                  </xdr:sp>
                  <xdr:sp macro="" textlink="Pivot_tables!BK9">
                    <xdr:nvSpPr>
                      <xdr:cNvPr id="3253" name="TextBox 3252">
                        <a:extLst>
                          <a:ext uri="{FF2B5EF4-FFF2-40B4-BE49-F238E27FC236}">
                            <a16:creationId xmlns:a16="http://schemas.microsoft.com/office/drawing/2014/main" id="{00000000-0008-0000-0200-0000B50C0000}"/>
                          </a:ext>
                        </a:extLst>
                      </xdr:cNvPr>
                      <xdr:cNvSpPr txBox="1"/>
                    </xdr:nvSpPr>
                    <xdr:spPr>
                      <a:xfrm>
                        <a:off x="8991825" y="6888785"/>
                        <a:ext cx="108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D3AD9CB-F5EA-470C-B15C-2DB9C07F5744}" type="TxLink">
                          <a:rPr lang="en-US" sz="1100" b="0" i="0" u="none" strike="noStrike">
                            <a:ln>
                              <a:noFill/>
                            </a:ln>
                            <a:solidFill>
                              <a:schemeClr val="bg1"/>
                            </a:solidFill>
                            <a:latin typeface="Avenir Next LT Pro"/>
                          </a:rPr>
                          <a:pPr algn="l"/>
                          <a:t>Critical</a:t>
                        </a:fld>
                        <a:endParaRPr lang="en-US" sz="1200" b="0" i="0" u="none" strike="noStrike">
                          <a:ln>
                            <a:noFill/>
                          </a:ln>
                          <a:solidFill>
                            <a:schemeClr val="bg1"/>
                          </a:solidFill>
                          <a:latin typeface="Avenir Next LT Pro"/>
                        </a:endParaRPr>
                      </a:p>
                    </xdr:txBody>
                  </xdr:sp>
                </xdr:grpSp>
              </xdr:grpSp>
              <xdr:sp macro="" textlink="Pivot_tables!BK10">
                <xdr:nvSpPr>
                  <xdr:cNvPr id="3247" name="TextBox 3246">
                    <a:extLst>
                      <a:ext uri="{FF2B5EF4-FFF2-40B4-BE49-F238E27FC236}">
                        <a16:creationId xmlns:a16="http://schemas.microsoft.com/office/drawing/2014/main" id="{00000000-0008-0000-0200-0000AF0C0000}"/>
                      </a:ext>
                    </a:extLst>
                  </xdr:cNvPr>
                  <xdr:cNvSpPr txBox="1"/>
                </xdr:nvSpPr>
                <xdr:spPr>
                  <a:xfrm>
                    <a:off x="8515441" y="7038975"/>
                    <a:ext cx="1701046" cy="279702"/>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69F401D-611B-42A5-83E8-F6BD33C75B9E}" type="TxLink">
                      <a:rPr lang="en-US" sz="1100" b="0" i="0" u="none" strike="noStrike">
                        <a:ln>
                          <a:noFill/>
                        </a:ln>
                        <a:solidFill>
                          <a:schemeClr val="bg1"/>
                        </a:solidFill>
                        <a:latin typeface="Avenir Next LT Pro"/>
                      </a:rPr>
                      <a:pPr algn="l"/>
                      <a:t>N/A</a:t>
                    </a:fld>
                    <a:endParaRPr lang="en-US" sz="1100" b="0" i="0" u="none" strike="noStrike">
                      <a:ln>
                        <a:noFill/>
                      </a:ln>
                      <a:solidFill>
                        <a:schemeClr val="bg1"/>
                      </a:solidFill>
                      <a:latin typeface="Avenir Next LT Pro"/>
                    </a:endParaRPr>
                  </a:p>
                </xdr:txBody>
              </xdr:sp>
            </xdr:grpSp>
            <xdr:grpSp>
              <xdr:nvGrpSpPr>
                <xdr:cNvPr id="3214" name="Group 3213">
                  <a:extLst>
                    <a:ext uri="{FF2B5EF4-FFF2-40B4-BE49-F238E27FC236}">
                      <a16:creationId xmlns:a16="http://schemas.microsoft.com/office/drawing/2014/main" id="{00000000-0008-0000-0200-00008E0C0000}"/>
                    </a:ext>
                  </a:extLst>
                </xdr:cNvPr>
                <xdr:cNvGrpSpPr/>
              </xdr:nvGrpSpPr>
              <xdr:grpSpPr>
                <a:xfrm>
                  <a:off x="10029493" y="5494387"/>
                  <a:ext cx="1112993" cy="1622793"/>
                  <a:chOff x="7402023" y="5463807"/>
                  <a:chExt cx="1112993" cy="1854870"/>
                </a:xfrm>
              </xdr:grpSpPr>
              <xdr:grpSp>
                <xdr:nvGrpSpPr>
                  <xdr:cNvPr id="3234" name="Group 3233">
                    <a:extLst>
                      <a:ext uri="{FF2B5EF4-FFF2-40B4-BE49-F238E27FC236}">
                        <a16:creationId xmlns:a16="http://schemas.microsoft.com/office/drawing/2014/main" id="{00000000-0008-0000-0200-0000A20C0000}"/>
                      </a:ext>
                    </a:extLst>
                  </xdr:cNvPr>
                  <xdr:cNvGrpSpPr/>
                </xdr:nvGrpSpPr>
                <xdr:grpSpPr>
                  <a:xfrm>
                    <a:off x="7402023" y="5463807"/>
                    <a:ext cx="1112768" cy="1575168"/>
                    <a:chOff x="7408843" y="5863857"/>
                    <a:chExt cx="1065600" cy="1216422"/>
                  </a:xfrm>
                </xdr:grpSpPr>
                <xdr:sp macro="" textlink="Pivot_tables!BL5">
                  <xdr:nvSpPr>
                    <xdr:cNvPr id="3236" name="TextBox 3235">
                      <a:extLst>
                        <a:ext uri="{FF2B5EF4-FFF2-40B4-BE49-F238E27FC236}">
                          <a16:creationId xmlns:a16="http://schemas.microsoft.com/office/drawing/2014/main" id="{00000000-0008-0000-0200-0000A40C0000}"/>
                        </a:ext>
                      </a:extLst>
                    </xdr:cNvPr>
                    <xdr:cNvSpPr txBox="1"/>
                  </xdr:nvSpPr>
                  <xdr:spPr>
                    <a:xfrm>
                      <a:off x="7408843" y="5863857"/>
                      <a:ext cx="1065600" cy="352425"/>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73252D1-418A-492B-93C6-00785D668FD3}" type="TxLink">
                        <a:rPr lang="en-US" sz="1400" b="0" i="0" u="none" strike="noStrike">
                          <a:ln>
                            <a:noFill/>
                          </a:ln>
                          <a:solidFill>
                            <a:srgbClr val="D43260"/>
                          </a:solidFill>
                          <a:latin typeface="Avenir Next LT Pro"/>
                        </a:rPr>
                        <a:pPr algn="ctr"/>
                        <a:t>Profit</a:t>
                      </a:fld>
                      <a:endParaRPr lang="en-US" sz="1800" b="0" i="0" u="none" strike="noStrike">
                        <a:ln>
                          <a:noFill/>
                        </a:ln>
                        <a:solidFill>
                          <a:srgbClr val="D43260"/>
                        </a:solidFill>
                        <a:latin typeface="Avenir Next LT Pro"/>
                      </a:endParaRPr>
                    </a:p>
                  </xdr:txBody>
                </xdr:sp>
                <xdr:grpSp>
                  <xdr:nvGrpSpPr>
                    <xdr:cNvPr id="3237" name="Group 3236">
                      <a:extLst>
                        <a:ext uri="{FF2B5EF4-FFF2-40B4-BE49-F238E27FC236}">
                          <a16:creationId xmlns:a16="http://schemas.microsoft.com/office/drawing/2014/main" id="{00000000-0008-0000-0200-0000A50C0000}"/>
                        </a:ext>
                      </a:extLst>
                    </xdr:cNvPr>
                    <xdr:cNvGrpSpPr/>
                  </xdr:nvGrpSpPr>
                  <xdr:grpSpPr>
                    <a:xfrm>
                      <a:off x="7408843" y="6216281"/>
                      <a:ext cx="1065193" cy="863998"/>
                      <a:chOff x="8001224" y="6240787"/>
                      <a:chExt cx="720000" cy="863998"/>
                    </a:xfrm>
                  </xdr:grpSpPr>
                  <xdr:sp macro="" textlink="Pivot_tables!BL6">
                    <xdr:nvSpPr>
                      <xdr:cNvPr id="3238" name="TextBox 3237">
                        <a:extLst>
                          <a:ext uri="{FF2B5EF4-FFF2-40B4-BE49-F238E27FC236}">
                            <a16:creationId xmlns:a16="http://schemas.microsoft.com/office/drawing/2014/main" id="{00000000-0008-0000-0200-0000A60C0000}"/>
                          </a:ext>
                        </a:extLst>
                      </xdr:cNvPr>
                      <xdr:cNvSpPr txBox="1"/>
                    </xdr:nvSpPr>
                    <xdr:spPr>
                      <a:xfrm>
                        <a:off x="8001224" y="6240787"/>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22AA8B0-6397-43CC-A275-03161A32E01F}" type="TxLink">
                          <a:rPr lang="en-US" sz="1100" b="0" i="0" u="none" strike="noStrike">
                            <a:ln>
                              <a:noFill/>
                            </a:ln>
                            <a:solidFill>
                              <a:schemeClr val="bg1"/>
                            </a:solidFill>
                            <a:latin typeface="Avenir Next LT Pro"/>
                          </a:rPr>
                          <a:pPr algn="ctr"/>
                          <a:t>$34,079</a:t>
                        </a:fld>
                        <a:endParaRPr lang="en-US" sz="1200" b="0" i="0" u="none" strike="noStrike">
                          <a:ln>
                            <a:noFill/>
                          </a:ln>
                          <a:solidFill>
                            <a:schemeClr val="bg1"/>
                          </a:solidFill>
                          <a:latin typeface="Avenir Next LT Pro"/>
                        </a:endParaRPr>
                      </a:p>
                    </xdr:txBody>
                  </xdr:sp>
                  <xdr:sp macro="" textlink="Pivot_tables!BL7">
                    <xdr:nvSpPr>
                      <xdr:cNvPr id="3243" name="TextBox 3242">
                        <a:extLst>
                          <a:ext uri="{FF2B5EF4-FFF2-40B4-BE49-F238E27FC236}">
                            <a16:creationId xmlns:a16="http://schemas.microsoft.com/office/drawing/2014/main" id="{00000000-0008-0000-0200-0000AB0C0000}"/>
                          </a:ext>
                        </a:extLst>
                      </xdr:cNvPr>
                      <xdr:cNvSpPr txBox="1"/>
                    </xdr:nvSpPr>
                    <xdr:spPr>
                      <a:xfrm>
                        <a:off x="8001224" y="6456787"/>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1AEA416-D9F5-4A54-BDF7-137225499BA3}" type="TxLink">
                          <a:rPr lang="en-US" sz="1100" b="0" i="0" u="none" strike="noStrike">
                            <a:ln>
                              <a:noFill/>
                            </a:ln>
                            <a:solidFill>
                              <a:schemeClr val="bg1"/>
                            </a:solidFill>
                            <a:latin typeface="Avenir Next LT Pro"/>
                          </a:rPr>
                          <a:pPr algn="ctr"/>
                          <a:t>$42,580</a:t>
                        </a:fld>
                        <a:endParaRPr lang="en-US" sz="1200" b="0" i="0" u="none" strike="noStrike">
                          <a:ln>
                            <a:noFill/>
                          </a:ln>
                          <a:solidFill>
                            <a:schemeClr val="bg1"/>
                          </a:solidFill>
                          <a:latin typeface="Avenir Next LT Pro"/>
                        </a:endParaRPr>
                      </a:p>
                    </xdr:txBody>
                  </xdr:sp>
                  <xdr:sp macro="" textlink="Pivot_tables!BL8">
                    <xdr:nvSpPr>
                      <xdr:cNvPr id="3244" name="TextBox 3243">
                        <a:extLst>
                          <a:ext uri="{FF2B5EF4-FFF2-40B4-BE49-F238E27FC236}">
                            <a16:creationId xmlns:a16="http://schemas.microsoft.com/office/drawing/2014/main" id="{00000000-0008-0000-0200-0000AC0C0000}"/>
                          </a:ext>
                        </a:extLst>
                      </xdr:cNvPr>
                      <xdr:cNvSpPr txBox="1"/>
                    </xdr:nvSpPr>
                    <xdr:spPr>
                      <a:xfrm>
                        <a:off x="8001224" y="6672786"/>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E139D21-473D-461E-8A5D-2BBD25C1019F}" type="TxLink">
                          <a:rPr lang="en-US" sz="1100" b="0" i="0" u="none" strike="noStrike">
                            <a:ln>
                              <a:noFill/>
                            </a:ln>
                            <a:solidFill>
                              <a:schemeClr val="bg1"/>
                            </a:solidFill>
                            <a:latin typeface="Avenir Next LT Pro"/>
                          </a:rPr>
                          <a:pPr algn="ctr"/>
                          <a:t>$35,793</a:t>
                        </a:fld>
                        <a:endParaRPr lang="en-US" sz="1200" b="0" i="0" u="none" strike="noStrike">
                          <a:ln>
                            <a:noFill/>
                          </a:ln>
                          <a:solidFill>
                            <a:schemeClr val="bg1"/>
                          </a:solidFill>
                          <a:latin typeface="Avenir Next LT Pro"/>
                        </a:endParaRPr>
                      </a:p>
                    </xdr:txBody>
                  </xdr:sp>
                  <xdr:sp macro="" textlink="Pivot_tables!BL9">
                    <xdr:nvSpPr>
                      <xdr:cNvPr id="3245" name="TextBox 3244">
                        <a:extLst>
                          <a:ext uri="{FF2B5EF4-FFF2-40B4-BE49-F238E27FC236}">
                            <a16:creationId xmlns:a16="http://schemas.microsoft.com/office/drawing/2014/main" id="{00000000-0008-0000-0200-0000AD0C0000}"/>
                          </a:ext>
                        </a:extLst>
                      </xdr:cNvPr>
                      <xdr:cNvSpPr txBox="1"/>
                    </xdr:nvSpPr>
                    <xdr:spPr>
                      <a:xfrm>
                        <a:off x="8001224" y="6888785"/>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88B68B4-BB13-4546-91D5-C058D38FE281}" type="TxLink">
                          <a:rPr lang="en-US" sz="1100" b="0" i="0" u="none" strike="noStrike">
                            <a:ln>
                              <a:noFill/>
                            </a:ln>
                            <a:solidFill>
                              <a:schemeClr val="bg1"/>
                            </a:solidFill>
                            <a:latin typeface="Avenir Next LT Pro"/>
                          </a:rPr>
                          <a:pPr algn="ctr"/>
                          <a:t>$35,087</a:t>
                        </a:fld>
                        <a:endParaRPr lang="en-US" sz="1200" b="0" i="0" u="none" strike="noStrike">
                          <a:ln>
                            <a:noFill/>
                          </a:ln>
                          <a:solidFill>
                            <a:schemeClr val="bg1"/>
                          </a:solidFill>
                          <a:latin typeface="Avenir Next LT Pro"/>
                        </a:endParaRPr>
                      </a:p>
                    </xdr:txBody>
                  </xdr:sp>
                </xdr:grpSp>
              </xdr:grpSp>
              <xdr:sp macro="" textlink="Pivot_tables!BL10">
                <xdr:nvSpPr>
                  <xdr:cNvPr id="3235" name="TextBox 3234">
                    <a:extLst>
                      <a:ext uri="{FF2B5EF4-FFF2-40B4-BE49-F238E27FC236}">
                        <a16:creationId xmlns:a16="http://schemas.microsoft.com/office/drawing/2014/main" id="{00000000-0008-0000-0200-0000A30C0000}"/>
                      </a:ext>
                    </a:extLst>
                  </xdr:cNvPr>
                  <xdr:cNvSpPr txBox="1"/>
                </xdr:nvSpPr>
                <xdr:spPr>
                  <a:xfrm>
                    <a:off x="7402673" y="7038975"/>
                    <a:ext cx="1112343" cy="279702"/>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D4E72B9-DB32-44D6-B13B-848FF26A6B96}" type="TxLink">
                      <a:rPr lang="en-US" sz="1100" b="0" i="0" u="none" strike="noStrike">
                        <a:ln>
                          <a:noFill/>
                        </a:ln>
                        <a:solidFill>
                          <a:schemeClr val="bg1"/>
                        </a:solidFill>
                        <a:latin typeface="Avenir Next LT Pro"/>
                      </a:rPr>
                      <a:pPr algn="ctr"/>
                      <a:t>$67,485</a:t>
                    </a:fld>
                    <a:endParaRPr lang="en-US" b="0" i="0" u="none" strike="noStrike">
                      <a:ln>
                        <a:noFill/>
                      </a:ln>
                      <a:solidFill>
                        <a:schemeClr val="bg1"/>
                      </a:solidFill>
                      <a:latin typeface="Avenir Next LT Pro"/>
                    </a:endParaRPr>
                  </a:p>
                </xdr:txBody>
              </xdr:sp>
            </xdr:grpSp>
            <xdr:grpSp>
              <xdr:nvGrpSpPr>
                <xdr:cNvPr id="3215" name="Group 3214">
                  <a:extLst>
                    <a:ext uri="{FF2B5EF4-FFF2-40B4-BE49-F238E27FC236}">
                      <a16:creationId xmlns:a16="http://schemas.microsoft.com/office/drawing/2014/main" id="{00000000-0008-0000-0200-00008F0C0000}"/>
                    </a:ext>
                  </a:extLst>
                </xdr:cNvPr>
                <xdr:cNvGrpSpPr/>
              </xdr:nvGrpSpPr>
              <xdr:grpSpPr>
                <a:xfrm>
                  <a:off x="11140962" y="5494387"/>
                  <a:ext cx="1113418" cy="1622793"/>
                  <a:chOff x="6289255" y="5463807"/>
                  <a:chExt cx="1113418" cy="1854870"/>
                </a:xfrm>
              </xdr:grpSpPr>
              <xdr:grpSp>
                <xdr:nvGrpSpPr>
                  <xdr:cNvPr id="3226" name="Group 3225">
                    <a:extLst>
                      <a:ext uri="{FF2B5EF4-FFF2-40B4-BE49-F238E27FC236}">
                        <a16:creationId xmlns:a16="http://schemas.microsoft.com/office/drawing/2014/main" id="{00000000-0008-0000-0200-00009A0C0000}"/>
                      </a:ext>
                    </a:extLst>
                  </xdr:cNvPr>
                  <xdr:cNvGrpSpPr/>
                </xdr:nvGrpSpPr>
                <xdr:grpSpPr>
                  <a:xfrm>
                    <a:off x="6289255" y="5463807"/>
                    <a:ext cx="1112768" cy="1575168"/>
                    <a:chOff x="6343650" y="5863857"/>
                    <a:chExt cx="1065600" cy="1216422"/>
                  </a:xfrm>
                </xdr:grpSpPr>
                <xdr:sp macro="" textlink="Pivot_tables!BQ5">
                  <xdr:nvSpPr>
                    <xdr:cNvPr id="3228" name="TextBox 3227">
                      <a:extLst>
                        <a:ext uri="{FF2B5EF4-FFF2-40B4-BE49-F238E27FC236}">
                          <a16:creationId xmlns:a16="http://schemas.microsoft.com/office/drawing/2014/main" id="{00000000-0008-0000-0200-00009C0C0000}"/>
                        </a:ext>
                      </a:extLst>
                    </xdr:cNvPr>
                    <xdr:cNvSpPr txBox="1"/>
                  </xdr:nvSpPr>
                  <xdr:spPr>
                    <a:xfrm>
                      <a:off x="6343650" y="5863857"/>
                      <a:ext cx="1065600" cy="352425"/>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6E646A4-E871-4ECB-AA91-DE7A516DE73D}" type="TxLink">
                        <a:rPr lang="en-US" sz="1400" b="0" i="0" u="none" strike="noStrike">
                          <a:ln>
                            <a:noFill/>
                          </a:ln>
                          <a:solidFill>
                            <a:srgbClr val="D43260"/>
                          </a:solidFill>
                          <a:latin typeface="Avenir Next LT Pro"/>
                        </a:rPr>
                        <a:pPr algn="l"/>
                        <a:t># of Orders</a:t>
                      </a:fld>
                      <a:endParaRPr lang="en-US" sz="1800" b="0" i="0" u="none" strike="noStrike">
                        <a:ln>
                          <a:noFill/>
                        </a:ln>
                        <a:solidFill>
                          <a:srgbClr val="D43260"/>
                        </a:solidFill>
                        <a:latin typeface="Avenir Next LT Pro"/>
                      </a:endParaRPr>
                    </a:p>
                  </xdr:txBody>
                </xdr:sp>
                <xdr:grpSp>
                  <xdr:nvGrpSpPr>
                    <xdr:cNvPr id="3229" name="Group 3228">
                      <a:extLst>
                        <a:ext uri="{FF2B5EF4-FFF2-40B4-BE49-F238E27FC236}">
                          <a16:creationId xmlns:a16="http://schemas.microsoft.com/office/drawing/2014/main" id="{00000000-0008-0000-0200-00009D0C0000}"/>
                        </a:ext>
                      </a:extLst>
                    </xdr:cNvPr>
                    <xdr:cNvGrpSpPr/>
                  </xdr:nvGrpSpPr>
                  <xdr:grpSpPr>
                    <a:xfrm>
                      <a:off x="6344057" y="6216281"/>
                      <a:ext cx="1065193" cy="863998"/>
                      <a:chOff x="7018125" y="6240787"/>
                      <a:chExt cx="720000" cy="863998"/>
                    </a:xfrm>
                  </xdr:grpSpPr>
                  <xdr:sp macro="" textlink="Pivot_tables!BQ6">
                    <xdr:nvSpPr>
                      <xdr:cNvPr id="3230" name="TextBox 3229">
                        <a:extLst>
                          <a:ext uri="{FF2B5EF4-FFF2-40B4-BE49-F238E27FC236}">
                            <a16:creationId xmlns:a16="http://schemas.microsoft.com/office/drawing/2014/main" id="{00000000-0008-0000-0200-00009E0C0000}"/>
                          </a:ext>
                        </a:extLst>
                      </xdr:cNvPr>
                      <xdr:cNvSpPr txBox="1"/>
                    </xdr:nvSpPr>
                    <xdr:spPr>
                      <a:xfrm>
                        <a:off x="7018125" y="6240787"/>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908506B-C7C9-4193-B0D2-7AAB286250F7}" type="TxLink">
                          <a:rPr lang="en-US" sz="1100" b="0" i="0" u="none" strike="noStrike">
                            <a:ln>
                              <a:noFill/>
                            </a:ln>
                            <a:solidFill>
                              <a:schemeClr val="bg1"/>
                            </a:solidFill>
                            <a:latin typeface="Avenir Next LT Pro"/>
                          </a:rPr>
                          <a:pPr algn="ctr"/>
                          <a:t> 278 </a:t>
                        </a:fld>
                        <a:endParaRPr lang="en-US" sz="1200" b="0" i="0" u="none" strike="noStrike">
                          <a:ln>
                            <a:noFill/>
                          </a:ln>
                          <a:solidFill>
                            <a:schemeClr val="bg1"/>
                          </a:solidFill>
                          <a:latin typeface="Avenir Next LT Pro"/>
                        </a:endParaRPr>
                      </a:p>
                    </xdr:txBody>
                  </xdr:sp>
                  <xdr:sp macro="" textlink="Pivot_tables!BQ7">
                    <xdr:nvSpPr>
                      <xdr:cNvPr id="3231" name="TextBox 3230">
                        <a:extLst>
                          <a:ext uri="{FF2B5EF4-FFF2-40B4-BE49-F238E27FC236}">
                            <a16:creationId xmlns:a16="http://schemas.microsoft.com/office/drawing/2014/main" id="{00000000-0008-0000-0200-00009F0C0000}"/>
                          </a:ext>
                        </a:extLst>
                      </xdr:cNvPr>
                      <xdr:cNvSpPr txBox="1"/>
                    </xdr:nvSpPr>
                    <xdr:spPr>
                      <a:xfrm>
                        <a:off x="7018125" y="6456787"/>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E0AD82-E204-411A-B25D-18538A2D685A}" type="TxLink">
                          <a:rPr lang="en-US" sz="1100" b="0" i="0" u="none" strike="noStrike">
                            <a:ln>
                              <a:noFill/>
                            </a:ln>
                            <a:solidFill>
                              <a:schemeClr val="bg1"/>
                            </a:solidFill>
                            <a:latin typeface="Avenir Next LT Pro"/>
                          </a:rPr>
                          <a:pPr algn="ctr"/>
                          <a:t> 263 </a:t>
                        </a:fld>
                        <a:endParaRPr lang="en-US" sz="1200" b="0" i="0" u="none" strike="noStrike">
                          <a:ln>
                            <a:noFill/>
                          </a:ln>
                          <a:solidFill>
                            <a:schemeClr val="bg1"/>
                          </a:solidFill>
                          <a:latin typeface="Avenir Next LT Pro"/>
                        </a:endParaRPr>
                      </a:p>
                    </xdr:txBody>
                  </xdr:sp>
                  <xdr:sp macro="" textlink="Pivot_tables!BQ8">
                    <xdr:nvSpPr>
                      <xdr:cNvPr id="3232" name="TextBox 3231">
                        <a:extLst>
                          <a:ext uri="{FF2B5EF4-FFF2-40B4-BE49-F238E27FC236}">
                            <a16:creationId xmlns:a16="http://schemas.microsoft.com/office/drawing/2014/main" id="{00000000-0008-0000-0200-0000A00C0000}"/>
                          </a:ext>
                        </a:extLst>
                      </xdr:cNvPr>
                      <xdr:cNvSpPr txBox="1"/>
                    </xdr:nvSpPr>
                    <xdr:spPr>
                      <a:xfrm>
                        <a:off x="7018125" y="6672786"/>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1E43CB0-8F72-4B98-86BA-3B1BF138D761}" type="TxLink">
                          <a:rPr lang="en-US" sz="1100" b="0" i="0" u="none" strike="noStrike">
                            <a:ln>
                              <a:noFill/>
                            </a:ln>
                            <a:solidFill>
                              <a:schemeClr val="bg1"/>
                            </a:solidFill>
                            <a:latin typeface="Avenir Next LT Pro"/>
                          </a:rPr>
                          <a:pPr algn="ctr"/>
                          <a:t> 268 </a:t>
                        </a:fld>
                        <a:endParaRPr lang="en-US" sz="1200" b="0" i="0" u="none" strike="noStrike">
                          <a:ln>
                            <a:noFill/>
                          </a:ln>
                          <a:solidFill>
                            <a:schemeClr val="bg1"/>
                          </a:solidFill>
                          <a:latin typeface="Avenir Next LT Pro"/>
                        </a:endParaRPr>
                      </a:p>
                    </xdr:txBody>
                  </xdr:sp>
                  <xdr:sp macro="" textlink="Pivot_tables!BQ9">
                    <xdr:nvSpPr>
                      <xdr:cNvPr id="3233" name="TextBox 3232">
                        <a:extLst>
                          <a:ext uri="{FF2B5EF4-FFF2-40B4-BE49-F238E27FC236}">
                            <a16:creationId xmlns:a16="http://schemas.microsoft.com/office/drawing/2014/main" id="{00000000-0008-0000-0200-0000A10C0000}"/>
                          </a:ext>
                        </a:extLst>
                      </xdr:cNvPr>
                      <xdr:cNvSpPr txBox="1"/>
                    </xdr:nvSpPr>
                    <xdr:spPr>
                      <a:xfrm>
                        <a:off x="7018125" y="6888785"/>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CEA798-F60A-4451-B95D-9A4D2CE7DEA2}" type="TxLink">
                          <a:rPr lang="en-US" sz="1100" b="0" i="0" u="none" strike="noStrike">
                            <a:ln>
                              <a:noFill/>
                            </a:ln>
                            <a:solidFill>
                              <a:schemeClr val="bg1"/>
                            </a:solidFill>
                            <a:latin typeface="Avenir Next LT Pro"/>
                          </a:rPr>
                          <a:pPr algn="ctr"/>
                          <a:t> 275 </a:t>
                        </a:fld>
                        <a:endParaRPr lang="en-US" sz="1200" b="0" i="0" u="none" strike="noStrike">
                          <a:ln>
                            <a:noFill/>
                          </a:ln>
                          <a:solidFill>
                            <a:schemeClr val="bg1"/>
                          </a:solidFill>
                          <a:latin typeface="Avenir Next LT Pro"/>
                        </a:endParaRPr>
                      </a:p>
                    </xdr:txBody>
                  </xdr:sp>
                </xdr:grpSp>
              </xdr:grpSp>
              <xdr:sp macro="" textlink="Pivot_tables!BQ10">
                <xdr:nvSpPr>
                  <xdr:cNvPr id="3227" name="TextBox 3226">
                    <a:extLst>
                      <a:ext uri="{FF2B5EF4-FFF2-40B4-BE49-F238E27FC236}">
                        <a16:creationId xmlns:a16="http://schemas.microsoft.com/office/drawing/2014/main" id="{00000000-0008-0000-0200-00009B0C0000}"/>
                      </a:ext>
                    </a:extLst>
                  </xdr:cNvPr>
                  <xdr:cNvSpPr txBox="1"/>
                </xdr:nvSpPr>
                <xdr:spPr>
                  <a:xfrm>
                    <a:off x="6290330" y="7038975"/>
                    <a:ext cx="1112343" cy="279702"/>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8703625-A913-43D4-AA5A-8FDD1E2DB7A6}" type="TxLink">
                      <a:rPr lang="en-US" sz="1100" b="0" i="0" u="none" strike="noStrike">
                        <a:ln>
                          <a:noFill/>
                        </a:ln>
                        <a:solidFill>
                          <a:schemeClr val="bg1"/>
                        </a:solidFill>
                        <a:latin typeface="Avenir Next LT Pro"/>
                      </a:rPr>
                      <a:pPr algn="ctr"/>
                      <a:t> 277 </a:t>
                    </a:fld>
                    <a:endParaRPr lang="en-US" sz="1100" b="0" i="0" u="none" strike="noStrike">
                      <a:ln>
                        <a:noFill/>
                      </a:ln>
                      <a:solidFill>
                        <a:schemeClr val="bg1"/>
                      </a:solidFill>
                      <a:latin typeface="Avenir Next LT Pro"/>
                    </a:endParaRPr>
                  </a:p>
                </xdr:txBody>
              </xdr:sp>
            </xdr:grpSp>
            <xdr:grpSp>
              <xdr:nvGrpSpPr>
                <xdr:cNvPr id="3216" name="Group 3215">
                  <a:extLst>
                    <a:ext uri="{FF2B5EF4-FFF2-40B4-BE49-F238E27FC236}">
                      <a16:creationId xmlns:a16="http://schemas.microsoft.com/office/drawing/2014/main" id="{00000000-0008-0000-0200-0000900C0000}"/>
                    </a:ext>
                  </a:extLst>
                </xdr:cNvPr>
                <xdr:cNvGrpSpPr/>
              </xdr:nvGrpSpPr>
              <xdr:grpSpPr>
                <a:xfrm>
                  <a:off x="12254380" y="5494387"/>
                  <a:ext cx="1113418" cy="1622793"/>
                  <a:chOff x="5176487" y="5463807"/>
                  <a:chExt cx="1113418" cy="1854870"/>
                </a:xfrm>
              </xdr:grpSpPr>
              <xdr:grpSp>
                <xdr:nvGrpSpPr>
                  <xdr:cNvPr id="3217" name="Group 3216">
                    <a:extLst>
                      <a:ext uri="{FF2B5EF4-FFF2-40B4-BE49-F238E27FC236}">
                        <a16:creationId xmlns:a16="http://schemas.microsoft.com/office/drawing/2014/main" id="{00000000-0008-0000-0200-0000910C0000}"/>
                      </a:ext>
                    </a:extLst>
                  </xdr:cNvPr>
                  <xdr:cNvGrpSpPr/>
                </xdr:nvGrpSpPr>
                <xdr:grpSpPr>
                  <a:xfrm>
                    <a:off x="5176487" y="5463807"/>
                    <a:ext cx="1112768" cy="1575168"/>
                    <a:chOff x="6343650" y="5863857"/>
                    <a:chExt cx="1065600" cy="1216422"/>
                  </a:xfrm>
                </xdr:grpSpPr>
                <xdr:sp macro="" textlink="">
                  <xdr:nvSpPr>
                    <xdr:cNvPr id="3220" name="TextBox 3219">
                      <a:extLst>
                        <a:ext uri="{FF2B5EF4-FFF2-40B4-BE49-F238E27FC236}">
                          <a16:creationId xmlns:a16="http://schemas.microsoft.com/office/drawing/2014/main" id="{00000000-0008-0000-0200-0000940C0000}"/>
                        </a:ext>
                      </a:extLst>
                    </xdr:cNvPr>
                    <xdr:cNvSpPr txBox="1"/>
                  </xdr:nvSpPr>
                  <xdr:spPr>
                    <a:xfrm>
                      <a:off x="6343650" y="5863857"/>
                      <a:ext cx="1065600" cy="352425"/>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endParaRPr lang="en-US" sz="1400" b="0" i="0" u="none" strike="noStrike">
                        <a:ln>
                          <a:noFill/>
                        </a:ln>
                        <a:solidFill>
                          <a:srgbClr val="D43260"/>
                        </a:solidFill>
                        <a:latin typeface="Avenir Next LT Pro"/>
                      </a:endParaRPr>
                    </a:p>
                  </xdr:txBody>
                </xdr:sp>
                <xdr:grpSp>
                  <xdr:nvGrpSpPr>
                    <xdr:cNvPr id="3221" name="Group 3220">
                      <a:extLst>
                        <a:ext uri="{FF2B5EF4-FFF2-40B4-BE49-F238E27FC236}">
                          <a16:creationId xmlns:a16="http://schemas.microsoft.com/office/drawing/2014/main" id="{00000000-0008-0000-0200-0000950C0000}"/>
                        </a:ext>
                      </a:extLst>
                    </xdr:cNvPr>
                    <xdr:cNvGrpSpPr/>
                  </xdr:nvGrpSpPr>
                  <xdr:grpSpPr>
                    <a:xfrm>
                      <a:off x="6344057" y="6216281"/>
                      <a:ext cx="1065193" cy="863998"/>
                      <a:chOff x="7018125" y="6240787"/>
                      <a:chExt cx="720000" cy="863998"/>
                    </a:xfrm>
                  </xdr:grpSpPr>
                  <xdr:sp macro="" textlink="">
                    <xdr:nvSpPr>
                      <xdr:cNvPr id="3222" name="TextBox 3221">
                        <a:extLst>
                          <a:ext uri="{FF2B5EF4-FFF2-40B4-BE49-F238E27FC236}">
                            <a16:creationId xmlns:a16="http://schemas.microsoft.com/office/drawing/2014/main" id="{00000000-0008-0000-0200-0000960C0000}"/>
                          </a:ext>
                        </a:extLst>
                      </xdr:cNvPr>
                      <xdr:cNvSpPr txBox="1"/>
                    </xdr:nvSpPr>
                    <xdr:spPr>
                      <a:xfrm>
                        <a:off x="7018125" y="6240787"/>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1100" b="0" i="0" u="none" strike="noStrike">
                          <a:ln>
                            <a:noFill/>
                          </a:ln>
                          <a:solidFill>
                            <a:schemeClr val="bg1"/>
                          </a:solidFill>
                          <a:latin typeface="Avenir Next LT Pro"/>
                        </a:endParaRPr>
                      </a:p>
                    </xdr:txBody>
                  </xdr:sp>
                  <xdr:sp macro="" textlink="">
                    <xdr:nvSpPr>
                      <xdr:cNvPr id="3223" name="TextBox 3222">
                        <a:extLst>
                          <a:ext uri="{FF2B5EF4-FFF2-40B4-BE49-F238E27FC236}">
                            <a16:creationId xmlns:a16="http://schemas.microsoft.com/office/drawing/2014/main" id="{00000000-0008-0000-0200-0000970C0000}"/>
                          </a:ext>
                        </a:extLst>
                      </xdr:cNvPr>
                      <xdr:cNvSpPr txBox="1"/>
                    </xdr:nvSpPr>
                    <xdr:spPr>
                      <a:xfrm>
                        <a:off x="7018125" y="6456787"/>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1100" b="0" i="0" u="none" strike="noStrike">
                          <a:ln>
                            <a:noFill/>
                          </a:ln>
                          <a:solidFill>
                            <a:schemeClr val="bg1"/>
                          </a:solidFill>
                          <a:latin typeface="Avenir Next LT Pro"/>
                        </a:endParaRPr>
                      </a:p>
                    </xdr:txBody>
                  </xdr:sp>
                  <xdr:sp macro="" textlink="">
                    <xdr:nvSpPr>
                      <xdr:cNvPr id="3224" name="TextBox 3223">
                        <a:extLst>
                          <a:ext uri="{FF2B5EF4-FFF2-40B4-BE49-F238E27FC236}">
                            <a16:creationId xmlns:a16="http://schemas.microsoft.com/office/drawing/2014/main" id="{00000000-0008-0000-0200-0000980C0000}"/>
                          </a:ext>
                        </a:extLst>
                      </xdr:cNvPr>
                      <xdr:cNvSpPr txBox="1"/>
                    </xdr:nvSpPr>
                    <xdr:spPr>
                      <a:xfrm>
                        <a:off x="7018125" y="6672786"/>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1100" b="0" i="0" u="none" strike="noStrike">
                          <a:ln>
                            <a:noFill/>
                          </a:ln>
                          <a:solidFill>
                            <a:schemeClr val="bg1"/>
                          </a:solidFill>
                          <a:latin typeface="Avenir Next LT Pro"/>
                        </a:endParaRPr>
                      </a:p>
                    </xdr:txBody>
                  </xdr:sp>
                  <xdr:sp macro="" textlink="">
                    <xdr:nvSpPr>
                      <xdr:cNvPr id="3225" name="TextBox 3224">
                        <a:extLst>
                          <a:ext uri="{FF2B5EF4-FFF2-40B4-BE49-F238E27FC236}">
                            <a16:creationId xmlns:a16="http://schemas.microsoft.com/office/drawing/2014/main" id="{00000000-0008-0000-0200-0000990C0000}"/>
                          </a:ext>
                        </a:extLst>
                      </xdr:cNvPr>
                      <xdr:cNvSpPr txBox="1"/>
                    </xdr:nvSpPr>
                    <xdr:spPr>
                      <a:xfrm>
                        <a:off x="7018125" y="6888785"/>
                        <a:ext cx="720000" cy="216000"/>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1100" b="0" i="0" u="none" strike="noStrike">
                          <a:ln>
                            <a:noFill/>
                          </a:ln>
                          <a:solidFill>
                            <a:schemeClr val="bg1"/>
                          </a:solidFill>
                          <a:latin typeface="Avenir Next LT Pro"/>
                        </a:endParaRPr>
                      </a:p>
                    </xdr:txBody>
                  </xdr:sp>
                </xdr:grpSp>
              </xdr:grpSp>
              <xdr:sp macro="" textlink="">
                <xdr:nvSpPr>
                  <xdr:cNvPr id="3218" name="TextBox 3217">
                    <a:extLst>
                      <a:ext uri="{FF2B5EF4-FFF2-40B4-BE49-F238E27FC236}">
                        <a16:creationId xmlns:a16="http://schemas.microsoft.com/office/drawing/2014/main" id="{00000000-0008-0000-0200-0000920C0000}"/>
                      </a:ext>
                    </a:extLst>
                  </xdr:cNvPr>
                  <xdr:cNvSpPr txBox="1"/>
                </xdr:nvSpPr>
                <xdr:spPr>
                  <a:xfrm>
                    <a:off x="5177562" y="7038975"/>
                    <a:ext cx="1112343" cy="279702"/>
                  </a:xfrm>
                  <a:prstGeom prst="rect">
                    <a:avLst/>
                  </a:prstGeom>
                  <a:solidFill>
                    <a:srgbClr val="1D1D3A"/>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1100" b="0" i="0" u="none" strike="noStrike">
                      <a:ln>
                        <a:noFill/>
                      </a:ln>
                      <a:solidFill>
                        <a:schemeClr val="bg1"/>
                      </a:solidFill>
                      <a:latin typeface="Avenir Next LT Pro"/>
                    </a:endParaRPr>
                  </a:p>
                </xdr:txBody>
              </xdr:sp>
            </xdr:grpSp>
          </xdr:grpSp>
        </xdr:grpSp>
        <xdr:sp macro="" textlink="Pivot_tables!BK4">
          <xdr:nvSpPr>
            <xdr:cNvPr id="3" name="TextBox 2">
              <a:extLst>
                <a:ext uri="{FF2B5EF4-FFF2-40B4-BE49-F238E27FC236}">
                  <a16:creationId xmlns:a16="http://schemas.microsoft.com/office/drawing/2014/main" id="{00000000-0008-0000-0200-000003000000}"/>
                </a:ext>
              </a:extLst>
            </xdr:cNvPr>
            <xdr:cNvSpPr txBox="1"/>
          </xdr:nvSpPr>
          <xdr:spPr>
            <a:xfrm>
              <a:off x="9596473" y="2000250"/>
              <a:ext cx="3762000"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C9F1E83-9AA8-4335-BEDB-E5E05FDA6407}" type="TxLink">
                <a:rPr lang="en-US" sz="1400" b="0" i="0" u="none" strike="noStrike" cap="none" spc="0">
                  <a:ln w="0"/>
                  <a:solidFill>
                    <a:srgbClr val="B1F5F1"/>
                  </a:solidFill>
                  <a:effectLst>
                    <a:outerShdw blurRad="38100" dist="25400" dir="5400000" algn="ctr" rotWithShape="0">
                      <a:srgbClr val="6E747A">
                        <a:alpha val="43000"/>
                      </a:srgbClr>
                    </a:outerShdw>
                  </a:effectLst>
                  <a:latin typeface="Avenir Next LT Pro"/>
                </a:rPr>
                <a:pPr algn="ctr"/>
                <a:t>Distribution of Σ Profit of $215023 Over Order Priority, where # of Orders are 1361</a:t>
              </a:fld>
              <a:endParaRPr lang="en-CA" sz="1800" b="0" cap="none" spc="0">
                <a:ln w="0"/>
                <a:solidFill>
                  <a:srgbClr val="B1F5F1"/>
                </a:solidFill>
                <a:effectLst>
                  <a:outerShdw blurRad="38100" dist="25400" dir="5400000" algn="ctr" rotWithShape="0">
                    <a:srgbClr val="6E747A">
                      <a:alpha val="43000"/>
                    </a:srgbClr>
                  </a:outerShdw>
                </a:effectLst>
              </a:endParaRPr>
            </a:p>
          </xdr:txBody>
        </xdr:sp>
      </xdr:grpSp>
      <xdr:grpSp>
        <xdr:nvGrpSpPr>
          <xdr:cNvPr id="56" name="Group 55">
            <a:extLst>
              <a:ext uri="{FF2B5EF4-FFF2-40B4-BE49-F238E27FC236}">
                <a16:creationId xmlns:a16="http://schemas.microsoft.com/office/drawing/2014/main" id="{00000000-0008-0000-0200-000038000000}"/>
              </a:ext>
            </a:extLst>
          </xdr:cNvPr>
          <xdr:cNvGrpSpPr/>
        </xdr:nvGrpSpPr>
        <xdr:grpSpPr>
          <a:xfrm>
            <a:off x="10891837" y="3133725"/>
            <a:ext cx="108000" cy="1089075"/>
            <a:chOff x="10739437" y="3133725"/>
            <a:chExt cx="108000" cy="1089075"/>
          </a:xfrm>
        </xdr:grpSpPr>
        <xdr:sp macro="" textlink="">
          <xdr:nvSpPr>
            <xdr:cNvPr id="45" name="Oval 44">
              <a:extLst>
                <a:ext uri="{FF2B5EF4-FFF2-40B4-BE49-F238E27FC236}">
                  <a16:creationId xmlns:a16="http://schemas.microsoft.com/office/drawing/2014/main" id="{00000000-0008-0000-0200-00002D000000}"/>
                </a:ext>
              </a:extLst>
            </xdr:cNvPr>
            <xdr:cNvSpPr/>
          </xdr:nvSpPr>
          <xdr:spPr>
            <a:xfrm>
              <a:off x="10739437" y="3133725"/>
              <a:ext cx="108000" cy="108000"/>
            </a:xfrm>
            <a:prstGeom prst="ellipse">
              <a:avLst/>
            </a:prstGeom>
            <a:solidFill>
              <a:srgbClr val="B1F5F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46" name="Oval 45">
              <a:extLst>
                <a:ext uri="{FF2B5EF4-FFF2-40B4-BE49-F238E27FC236}">
                  <a16:creationId xmlns:a16="http://schemas.microsoft.com/office/drawing/2014/main" id="{00000000-0008-0000-0200-00002E000000}"/>
                </a:ext>
              </a:extLst>
            </xdr:cNvPr>
            <xdr:cNvSpPr/>
          </xdr:nvSpPr>
          <xdr:spPr>
            <a:xfrm>
              <a:off x="10739437" y="3381375"/>
              <a:ext cx="108000" cy="108000"/>
            </a:xfrm>
            <a:prstGeom prst="ellipse">
              <a:avLst/>
            </a:prstGeom>
            <a:solidFill>
              <a:srgbClr val="DC25F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47" name="Oval 46">
              <a:extLst>
                <a:ext uri="{FF2B5EF4-FFF2-40B4-BE49-F238E27FC236}">
                  <a16:creationId xmlns:a16="http://schemas.microsoft.com/office/drawing/2014/main" id="{00000000-0008-0000-0200-00002F000000}"/>
                </a:ext>
              </a:extLst>
            </xdr:cNvPr>
            <xdr:cNvSpPr/>
          </xdr:nvSpPr>
          <xdr:spPr>
            <a:xfrm>
              <a:off x="10739437" y="3629025"/>
              <a:ext cx="108000" cy="108000"/>
            </a:xfrm>
            <a:prstGeom prst="ellipse">
              <a:avLst/>
            </a:prstGeom>
            <a:solidFill>
              <a:srgbClr val="7417B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51" name="Oval 50">
              <a:extLst>
                <a:ext uri="{FF2B5EF4-FFF2-40B4-BE49-F238E27FC236}">
                  <a16:creationId xmlns:a16="http://schemas.microsoft.com/office/drawing/2014/main" id="{00000000-0008-0000-0200-000033000000}"/>
                </a:ext>
              </a:extLst>
            </xdr:cNvPr>
            <xdr:cNvSpPr/>
          </xdr:nvSpPr>
          <xdr:spPr>
            <a:xfrm>
              <a:off x="10739437" y="3876675"/>
              <a:ext cx="108000" cy="108000"/>
            </a:xfrm>
            <a:prstGeom prst="ellipse">
              <a:avLst/>
            </a:prstGeom>
            <a:solidFill>
              <a:srgbClr val="D432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55" name="Oval 54">
              <a:extLst>
                <a:ext uri="{FF2B5EF4-FFF2-40B4-BE49-F238E27FC236}">
                  <a16:creationId xmlns:a16="http://schemas.microsoft.com/office/drawing/2014/main" id="{00000000-0008-0000-0200-000037000000}"/>
                </a:ext>
              </a:extLst>
            </xdr:cNvPr>
            <xdr:cNvSpPr/>
          </xdr:nvSpPr>
          <xdr:spPr>
            <a:xfrm>
              <a:off x="10739437" y="4114800"/>
              <a:ext cx="108000" cy="108000"/>
            </a:xfrm>
            <a:prstGeom prst="ellipse">
              <a:avLst/>
            </a:prstGeom>
            <a:solidFill>
              <a:srgbClr val="194AF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grpSp>
    <xdr:clientData/>
  </xdr:twoCellAnchor>
  <xdr:twoCellAnchor>
    <xdr:from>
      <xdr:col>0</xdr:col>
      <xdr:colOff>290548</xdr:colOff>
      <xdr:row>6</xdr:row>
      <xdr:rowOff>51974</xdr:rowOff>
    </xdr:from>
    <xdr:to>
      <xdr:col>7</xdr:col>
      <xdr:colOff>523348</xdr:colOff>
      <xdr:row>33</xdr:row>
      <xdr:rowOff>37124</xdr:rowOff>
    </xdr:to>
    <xdr:grpSp>
      <xdr:nvGrpSpPr>
        <xdr:cNvPr id="60" name="Group 59">
          <a:extLst>
            <a:ext uri="{FF2B5EF4-FFF2-40B4-BE49-F238E27FC236}">
              <a16:creationId xmlns:a16="http://schemas.microsoft.com/office/drawing/2014/main" id="{00000000-0008-0000-0200-00003C000000}"/>
            </a:ext>
          </a:extLst>
        </xdr:cNvPr>
        <xdr:cNvGrpSpPr/>
      </xdr:nvGrpSpPr>
      <xdr:grpSpPr>
        <a:xfrm>
          <a:off x="290548" y="1023524"/>
          <a:ext cx="4500000" cy="4500000"/>
          <a:chOff x="290548" y="1023524"/>
          <a:chExt cx="4500000" cy="4500000"/>
        </a:xfrm>
      </xdr:grpSpPr>
      <xdr:sp macro="" textlink="">
        <xdr:nvSpPr>
          <xdr:cNvPr id="3118" name="TextBox 3117">
            <a:extLst>
              <a:ext uri="{FF2B5EF4-FFF2-40B4-BE49-F238E27FC236}">
                <a16:creationId xmlns:a16="http://schemas.microsoft.com/office/drawing/2014/main" id="{00000000-0008-0000-0200-00002E0C0000}"/>
              </a:ext>
            </a:extLst>
          </xdr:cNvPr>
          <xdr:cNvSpPr txBox="1">
            <a:spLocks noChangeAspect="1"/>
          </xdr:cNvSpPr>
        </xdr:nvSpPr>
        <xdr:spPr>
          <a:xfrm>
            <a:off x="290548" y="1023524"/>
            <a:ext cx="4500000" cy="450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prstTxWarp prst="textArchUp">
              <a:avLst>
                <a:gd name="adj" fmla="val 12397731"/>
              </a:avLst>
            </a:prstTxWarp>
          </a:bodyPr>
          <a:lstStyle/>
          <a:p>
            <a:r>
              <a:rPr lang="en-CA" sz="1800" b="0" cap="none" spc="0">
                <a:ln w="0"/>
                <a:solidFill>
                  <a:schemeClr val="accent1"/>
                </a:solidFill>
                <a:effectLst>
                  <a:outerShdw blurRad="38100" dist="25400" dir="5400000" algn="ctr" rotWithShape="0">
                    <a:srgbClr val="6E747A">
                      <a:alpha val="43000"/>
                    </a:srgbClr>
                  </a:outerShdw>
                </a:effectLst>
                <a:latin typeface="Avenir Next LT Pro" panose="020B0504020202020204" pitchFamily="34" charset="0"/>
              </a:rPr>
              <a:t>Customer Segments</a:t>
            </a:r>
          </a:p>
        </xdr:txBody>
      </xdr:sp>
      <xdr:grpSp>
        <xdr:nvGrpSpPr>
          <xdr:cNvPr id="3120" name="Group 3119">
            <a:extLst>
              <a:ext uri="{FF2B5EF4-FFF2-40B4-BE49-F238E27FC236}">
                <a16:creationId xmlns:a16="http://schemas.microsoft.com/office/drawing/2014/main" id="{00000000-0008-0000-0200-0000300C0000}"/>
              </a:ext>
            </a:extLst>
          </xdr:cNvPr>
          <xdr:cNvGrpSpPr/>
        </xdr:nvGrpSpPr>
        <xdr:grpSpPr>
          <a:xfrm>
            <a:off x="470548" y="1203524"/>
            <a:ext cx="4140000" cy="4140000"/>
            <a:chOff x="4850196" y="1315537"/>
            <a:chExt cx="4140000" cy="4140000"/>
          </a:xfrm>
        </xdr:grpSpPr>
        <xdr:sp macro="" textlink="">
          <xdr:nvSpPr>
            <xdr:cNvPr id="3131" name="Rectangle: Rounded Corners 40">
              <a:extLst>
                <a:ext uri="{FF2B5EF4-FFF2-40B4-BE49-F238E27FC236}">
                  <a16:creationId xmlns:a16="http://schemas.microsoft.com/office/drawing/2014/main" id="{00000000-0008-0000-0200-00003B0C0000}"/>
                </a:ext>
              </a:extLst>
            </xdr:cNvPr>
            <xdr:cNvSpPr/>
          </xdr:nvSpPr>
          <xdr:spPr>
            <a:xfrm>
              <a:off x="4850196" y="1315537"/>
              <a:ext cx="4140000" cy="4140000"/>
            </a:xfrm>
            <a:prstGeom prst="flowChartConnector">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3132" name="Rectangle: Rounded Corners 41">
              <a:extLst>
                <a:ext uri="{FF2B5EF4-FFF2-40B4-BE49-F238E27FC236}">
                  <a16:creationId xmlns:a16="http://schemas.microsoft.com/office/drawing/2014/main" id="{00000000-0008-0000-0200-00003C0C0000}"/>
                </a:ext>
              </a:extLst>
            </xdr:cNvPr>
            <xdr:cNvSpPr>
              <a:spLocks noChangeAspect="1"/>
            </xdr:cNvSpPr>
          </xdr:nvSpPr>
          <xdr:spPr>
            <a:xfrm>
              <a:off x="4922196" y="1387537"/>
              <a:ext cx="3996000" cy="3996000"/>
            </a:xfrm>
            <a:prstGeom prst="flowChartConnector">
              <a:avLst/>
            </a:prstGeom>
            <a:gradFill>
              <a:gsLst>
                <a:gs pos="0">
                  <a:srgbClr val="DC25FA"/>
                </a:gs>
                <a:gs pos="63000">
                  <a:srgbClr val="9947F7">
                    <a:alpha val="36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3133" name="Rectangle: Rounded Corners 42">
              <a:extLst>
                <a:ext uri="{FF2B5EF4-FFF2-40B4-BE49-F238E27FC236}">
                  <a16:creationId xmlns:a16="http://schemas.microsoft.com/office/drawing/2014/main" id="{00000000-0008-0000-0200-00003D0C0000}"/>
                </a:ext>
              </a:extLst>
            </xdr:cNvPr>
            <xdr:cNvSpPr>
              <a:spLocks noChangeAspect="1"/>
            </xdr:cNvSpPr>
          </xdr:nvSpPr>
          <xdr:spPr>
            <a:xfrm>
              <a:off x="5012196" y="1477537"/>
              <a:ext cx="3816000" cy="3816000"/>
            </a:xfrm>
            <a:prstGeom prst="flowChartConnector">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graphicFrame macro="">
        <xdr:nvGraphicFramePr>
          <xdr:cNvPr id="4" name="Chart 3">
            <a:extLst>
              <a:ext uri="{FF2B5EF4-FFF2-40B4-BE49-F238E27FC236}">
                <a16:creationId xmlns:a16="http://schemas.microsoft.com/office/drawing/2014/main" id="{00000000-0008-0000-0200-000004000000}"/>
              </a:ext>
            </a:extLst>
          </xdr:cNvPr>
          <xdr:cNvGraphicFramePr>
            <a:graphicFrameLocks/>
          </xdr:cNvGraphicFramePr>
        </xdr:nvGraphicFramePr>
        <xdr:xfrm>
          <a:off x="609599" y="1333500"/>
          <a:ext cx="3859200" cy="3859200"/>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0</xdr:col>
      <xdr:colOff>583977</xdr:colOff>
      <xdr:row>49</xdr:row>
      <xdr:rowOff>133350</xdr:rowOff>
    </xdr:from>
    <xdr:to>
      <xdr:col>28</xdr:col>
      <xdr:colOff>435177</xdr:colOff>
      <xdr:row>55</xdr:row>
      <xdr:rowOff>133800</xdr:rowOff>
    </xdr:to>
    <mc:AlternateContent xmlns:mc="http://schemas.openxmlformats.org/markup-compatibility/2006" xmlns:a14="http://schemas.microsoft.com/office/drawing/2010/main">
      <mc:Choice Requires="a14">
        <xdr:graphicFrame macro="">
          <xdr:nvGraphicFramePr>
            <xdr:cNvPr id="5" name="Product Sub-Category">
              <a:extLst>
                <a:ext uri="{FF2B5EF4-FFF2-40B4-BE49-F238E27FC236}">
                  <a16:creationId xmlns:a16="http://schemas.microsoft.com/office/drawing/2014/main" id="{00000000-0008-0000-0200-000005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duct Sub-Category"/>
            </a:graphicData>
          </a:graphic>
        </xdr:graphicFrame>
      </mc:Choice>
      <mc:Fallback xmlns="">
        <xdr:sp macro="" textlink="">
          <xdr:nvSpPr>
            <xdr:cNvPr id="0" name=""/>
            <xdr:cNvSpPr>
              <a:spLocks noTextEdit="1"/>
            </xdr:cNvSpPr>
          </xdr:nvSpPr>
          <xdr:spPr>
            <a:xfrm>
              <a:off x="583977" y="8210550"/>
              <a:ext cx="16920000" cy="972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21</xdr:col>
      <xdr:colOff>471160</xdr:colOff>
      <xdr:row>6</xdr:row>
      <xdr:rowOff>51974</xdr:rowOff>
    </xdr:from>
    <xdr:to>
      <xdr:col>29</xdr:col>
      <xdr:colOff>94360</xdr:colOff>
      <xdr:row>33</xdr:row>
      <xdr:rowOff>37124</xdr:rowOff>
    </xdr:to>
    <xdr:grpSp>
      <xdr:nvGrpSpPr>
        <xdr:cNvPr id="61" name="Group 60">
          <a:extLst>
            <a:ext uri="{FF2B5EF4-FFF2-40B4-BE49-F238E27FC236}">
              <a16:creationId xmlns:a16="http://schemas.microsoft.com/office/drawing/2014/main" id="{00000000-0008-0000-0200-00003D000000}"/>
            </a:ext>
          </a:extLst>
        </xdr:cNvPr>
        <xdr:cNvGrpSpPr/>
      </xdr:nvGrpSpPr>
      <xdr:grpSpPr>
        <a:xfrm>
          <a:off x="13272760" y="1023524"/>
          <a:ext cx="4500000" cy="4500000"/>
          <a:chOff x="13272760" y="1023524"/>
          <a:chExt cx="4500000" cy="4500000"/>
        </a:xfrm>
      </xdr:grpSpPr>
      <xdr:sp macro="" textlink="">
        <xdr:nvSpPr>
          <xdr:cNvPr id="3109" name="TextBox 3108">
            <a:extLst>
              <a:ext uri="{FF2B5EF4-FFF2-40B4-BE49-F238E27FC236}">
                <a16:creationId xmlns:a16="http://schemas.microsoft.com/office/drawing/2014/main" id="{00000000-0008-0000-0200-0000250C0000}"/>
              </a:ext>
            </a:extLst>
          </xdr:cNvPr>
          <xdr:cNvSpPr txBox="1">
            <a:spLocks noChangeAspect="1"/>
          </xdr:cNvSpPr>
        </xdr:nvSpPr>
        <xdr:spPr>
          <a:xfrm rot="5400000">
            <a:off x="13272760" y="1023524"/>
            <a:ext cx="4500000" cy="450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prstTxWarp prst="textArchUp">
              <a:avLst>
                <a:gd name="adj" fmla="val 12397731"/>
              </a:avLst>
            </a:prstTxWarp>
          </a:bodyPr>
          <a:lstStyle/>
          <a:p>
            <a:r>
              <a:rPr lang="en-CA" sz="1800" b="0" cap="none" spc="0">
                <a:ln w="0"/>
                <a:solidFill>
                  <a:schemeClr val="accent1"/>
                </a:solidFill>
                <a:effectLst>
                  <a:outerShdw blurRad="38100" dist="25400" dir="5400000" algn="ctr" rotWithShape="0">
                    <a:srgbClr val="6E747A">
                      <a:alpha val="43000"/>
                    </a:srgbClr>
                  </a:outerShdw>
                </a:effectLst>
                <a:latin typeface="Avenir Next LT Pro" panose="020B0504020202020204" pitchFamily="34" charset="0"/>
              </a:rPr>
              <a:t>Order Priority</a:t>
            </a:r>
          </a:p>
        </xdr:txBody>
      </xdr:sp>
      <xdr:grpSp>
        <xdr:nvGrpSpPr>
          <xdr:cNvPr id="3101" name="Group 3100">
            <a:extLst>
              <a:ext uri="{FF2B5EF4-FFF2-40B4-BE49-F238E27FC236}">
                <a16:creationId xmlns:a16="http://schemas.microsoft.com/office/drawing/2014/main" id="{00000000-0008-0000-0200-00001D0C0000}"/>
              </a:ext>
            </a:extLst>
          </xdr:cNvPr>
          <xdr:cNvGrpSpPr/>
        </xdr:nvGrpSpPr>
        <xdr:grpSpPr>
          <a:xfrm>
            <a:off x="13452760" y="1203524"/>
            <a:ext cx="4140000" cy="4140000"/>
            <a:chOff x="4850196" y="1315537"/>
            <a:chExt cx="4140000" cy="4140000"/>
          </a:xfrm>
        </xdr:grpSpPr>
        <xdr:sp macro="" textlink="">
          <xdr:nvSpPr>
            <xdr:cNvPr id="107" name="Rectangle: Rounded Corners 40">
              <a:extLst>
                <a:ext uri="{FF2B5EF4-FFF2-40B4-BE49-F238E27FC236}">
                  <a16:creationId xmlns:a16="http://schemas.microsoft.com/office/drawing/2014/main" id="{00000000-0008-0000-0200-00006B000000}"/>
                </a:ext>
              </a:extLst>
            </xdr:cNvPr>
            <xdr:cNvSpPr/>
          </xdr:nvSpPr>
          <xdr:spPr>
            <a:xfrm>
              <a:off x="4850196" y="1315537"/>
              <a:ext cx="4140000" cy="4140000"/>
            </a:xfrm>
            <a:prstGeom prst="flowChartConnector">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109" name="Rectangle: Rounded Corners 41">
              <a:extLst>
                <a:ext uri="{FF2B5EF4-FFF2-40B4-BE49-F238E27FC236}">
                  <a16:creationId xmlns:a16="http://schemas.microsoft.com/office/drawing/2014/main" id="{00000000-0008-0000-0200-00006D000000}"/>
                </a:ext>
              </a:extLst>
            </xdr:cNvPr>
            <xdr:cNvSpPr>
              <a:spLocks noChangeAspect="1"/>
            </xdr:cNvSpPr>
          </xdr:nvSpPr>
          <xdr:spPr>
            <a:xfrm>
              <a:off x="4922196" y="1387537"/>
              <a:ext cx="3996000" cy="3996000"/>
            </a:xfrm>
            <a:prstGeom prst="flowChartConnector">
              <a:avLst/>
            </a:prstGeom>
            <a:gradFill>
              <a:gsLst>
                <a:gs pos="0">
                  <a:srgbClr val="DC25FA"/>
                </a:gs>
                <a:gs pos="63000">
                  <a:srgbClr val="9947F7">
                    <a:alpha val="36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102" name="Rectangle: Rounded Corners 42">
              <a:extLst>
                <a:ext uri="{FF2B5EF4-FFF2-40B4-BE49-F238E27FC236}">
                  <a16:creationId xmlns:a16="http://schemas.microsoft.com/office/drawing/2014/main" id="{00000000-0008-0000-0200-000066000000}"/>
                </a:ext>
              </a:extLst>
            </xdr:cNvPr>
            <xdr:cNvSpPr>
              <a:spLocks noChangeAspect="1"/>
            </xdr:cNvSpPr>
          </xdr:nvSpPr>
          <xdr:spPr>
            <a:xfrm>
              <a:off x="5012196" y="1477537"/>
              <a:ext cx="3816000" cy="3816000"/>
            </a:xfrm>
            <a:prstGeom prst="flowChartConnector">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graphicFrame macro="">
        <xdr:nvGraphicFramePr>
          <xdr:cNvPr id="62" name="Chart 61">
            <a:extLst>
              <a:ext uri="{FF2B5EF4-FFF2-40B4-BE49-F238E27FC236}">
                <a16:creationId xmlns:a16="http://schemas.microsoft.com/office/drawing/2014/main" id="{00000000-0008-0000-0200-00003E000000}"/>
              </a:ext>
            </a:extLst>
          </xdr:cNvPr>
          <xdr:cNvGraphicFramePr>
            <a:graphicFrameLocks noChangeAspect="1"/>
          </xdr:cNvGraphicFramePr>
        </xdr:nvGraphicFramePr>
        <xdr:xfrm>
          <a:off x="13588862" y="1354237"/>
          <a:ext cx="3859200" cy="3811505"/>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7</xdr:col>
      <xdr:colOff>109573</xdr:colOff>
      <xdr:row>7</xdr:row>
      <xdr:rowOff>85725</xdr:rowOff>
    </xdr:from>
    <xdr:to>
      <xdr:col>13</xdr:col>
      <xdr:colOff>411973</xdr:colOff>
      <xdr:row>11</xdr:row>
      <xdr:rowOff>158025</xdr:rowOff>
    </xdr:to>
    <mc:AlternateContent xmlns:mc="http://schemas.openxmlformats.org/markup-compatibility/2006" xmlns:a14="http://schemas.microsoft.com/office/drawing/2010/main">
      <mc:Choice Requires="a14">
        <xdr:graphicFrame macro="">
          <xdr:nvGraphicFramePr>
            <xdr:cNvPr id="7" name="Order Priority">
              <a:extLst>
                <a:ext uri="{FF2B5EF4-FFF2-40B4-BE49-F238E27FC236}">
                  <a16:creationId xmlns:a16="http://schemas.microsoft.com/office/drawing/2014/main" id="{00000000-0008-0000-0200-000007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Order Priority"/>
            </a:graphicData>
          </a:graphic>
        </xdr:graphicFrame>
      </mc:Choice>
      <mc:Fallback xmlns="">
        <xdr:sp macro="" textlink="">
          <xdr:nvSpPr>
            <xdr:cNvPr id="0" name=""/>
            <xdr:cNvSpPr>
              <a:spLocks noTextEdit="1"/>
            </xdr:cNvSpPr>
          </xdr:nvSpPr>
          <xdr:spPr>
            <a:xfrm>
              <a:off x="4376773" y="1219200"/>
              <a:ext cx="3960000" cy="72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0</xdr:col>
      <xdr:colOff>0</xdr:colOff>
      <xdr:row>0</xdr:row>
      <xdr:rowOff>0</xdr:rowOff>
    </xdr:from>
    <xdr:to>
      <xdr:col>37</xdr:col>
      <xdr:colOff>361950</xdr:colOff>
      <xdr:row>3</xdr:row>
      <xdr:rowOff>95250</xdr:rowOff>
    </xdr:to>
    <xdr:grpSp>
      <xdr:nvGrpSpPr>
        <xdr:cNvPr id="29" name="Group 28">
          <a:extLst>
            <a:ext uri="{FF2B5EF4-FFF2-40B4-BE49-F238E27FC236}">
              <a16:creationId xmlns:a16="http://schemas.microsoft.com/office/drawing/2014/main" id="{00000000-0008-0000-0200-00001D000000}"/>
            </a:ext>
          </a:extLst>
        </xdr:cNvPr>
        <xdr:cNvGrpSpPr/>
      </xdr:nvGrpSpPr>
      <xdr:grpSpPr>
        <a:xfrm>
          <a:off x="0" y="0"/>
          <a:ext cx="22917150" cy="581025"/>
          <a:chOff x="0" y="0"/>
          <a:chExt cx="22917150" cy="581025"/>
        </a:xfrm>
      </xdr:grpSpPr>
      <xdr:grpSp>
        <xdr:nvGrpSpPr>
          <xdr:cNvPr id="30" name="Group 29">
            <a:extLst>
              <a:ext uri="{FF2B5EF4-FFF2-40B4-BE49-F238E27FC236}">
                <a16:creationId xmlns:a16="http://schemas.microsoft.com/office/drawing/2014/main" id="{00000000-0008-0000-0200-00001E000000}"/>
              </a:ext>
            </a:extLst>
          </xdr:cNvPr>
          <xdr:cNvGrpSpPr/>
        </xdr:nvGrpSpPr>
        <xdr:grpSpPr>
          <a:xfrm>
            <a:off x="0" y="0"/>
            <a:ext cx="22917150" cy="581025"/>
            <a:chOff x="0" y="0"/>
            <a:chExt cx="22917150" cy="581025"/>
          </a:xfrm>
        </xdr:grpSpPr>
        <xdr:sp macro="" textlink="">
          <xdr:nvSpPr>
            <xdr:cNvPr id="32" name="Rectangle 31">
              <a:extLst>
                <a:ext uri="{FF2B5EF4-FFF2-40B4-BE49-F238E27FC236}">
                  <a16:creationId xmlns:a16="http://schemas.microsoft.com/office/drawing/2014/main" id="{00000000-0008-0000-0200-000020000000}"/>
                </a:ext>
              </a:extLst>
            </xdr:cNvPr>
            <xdr:cNvSpPr/>
          </xdr:nvSpPr>
          <xdr:spPr>
            <a:xfrm>
              <a:off x="0" y="0"/>
              <a:ext cx="22917150" cy="457200"/>
            </a:xfrm>
            <a:prstGeom prst="rect">
              <a:avLst/>
            </a:prstGeom>
            <a:solidFill>
              <a:srgbClr val="1D1D3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pic>
          <xdr:nvPicPr>
            <xdr:cNvPr id="33" name="Picture 32" descr="Superstore - NBC.com">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238126" y="142875"/>
              <a:ext cx="1314450" cy="438150"/>
            </a:xfrm>
            <a:prstGeom prst="rect">
              <a:avLst/>
            </a:prstGeom>
            <a:noFill/>
            <a:effectLst>
              <a:outerShdw blurRad="50800" dist="38100" dir="2700000" algn="tl" rotWithShape="0">
                <a:schemeClr val="tx1">
                  <a:alpha val="40000"/>
                </a:schemeClr>
              </a:outerShdw>
            </a:effectLst>
            <a:extLst>
              <a:ext uri="{909E8E84-426E-40DD-AFC4-6F175D3DCCD1}">
                <a14:hiddenFill xmlns:a14="http://schemas.microsoft.com/office/drawing/2010/main">
                  <a:solidFill>
                    <a:srgbClr val="FFFFFF"/>
                  </a:solidFill>
                </a14:hiddenFill>
              </a:ext>
            </a:extLst>
          </xdr:spPr>
        </xdr:pic>
        <xdr:sp macro="" textlink="">
          <xdr:nvSpPr>
            <xdr:cNvPr id="34" name="TextBox 33">
              <a:hlinkClick xmlns:r="http://schemas.openxmlformats.org/officeDocument/2006/relationships" r:id="rId6" tooltip="Distribution"/>
              <a:extLst>
                <a:ext uri="{FF2B5EF4-FFF2-40B4-BE49-F238E27FC236}">
                  <a16:creationId xmlns:a16="http://schemas.microsoft.com/office/drawing/2014/main" id="{00000000-0008-0000-0200-000022000000}"/>
                </a:ext>
              </a:extLst>
            </xdr:cNvPr>
            <xdr:cNvSpPr txBox="1"/>
          </xdr:nvSpPr>
          <xdr:spPr>
            <a:xfrm>
              <a:off x="12355214" y="73558"/>
              <a:ext cx="1222374"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Distribution</a:t>
              </a:r>
            </a:p>
          </xdr:txBody>
        </xdr:sp>
        <xdr:sp macro="" textlink="">
          <xdr:nvSpPr>
            <xdr:cNvPr id="35" name="TextBox 34">
              <a:hlinkClick xmlns:r="http://schemas.openxmlformats.org/officeDocument/2006/relationships" r:id="rId7" tooltip="Sales &amp; Profit"/>
              <a:extLst>
                <a:ext uri="{FF2B5EF4-FFF2-40B4-BE49-F238E27FC236}">
                  <a16:creationId xmlns:a16="http://schemas.microsoft.com/office/drawing/2014/main" id="{00000000-0008-0000-0200-000023000000}"/>
                </a:ext>
              </a:extLst>
            </xdr:cNvPr>
            <xdr:cNvSpPr txBox="1"/>
          </xdr:nvSpPr>
          <xdr:spPr>
            <a:xfrm>
              <a:off x="10029825" y="73558"/>
              <a:ext cx="1266824"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Sales &amp;</a:t>
              </a:r>
              <a:r>
                <a:rPr lang="en-CA" sz="1400" baseline="0">
                  <a:solidFill>
                    <a:schemeClr val="bg1"/>
                  </a:solidFill>
                  <a:latin typeface="Avenir Next LT Pro" panose="020B0504020202020204" pitchFamily="34" charset="0"/>
                </a:rPr>
                <a:t> Profit</a:t>
              </a:r>
              <a:endParaRPr lang="en-CA" sz="1400">
                <a:solidFill>
                  <a:schemeClr val="bg1"/>
                </a:solidFill>
                <a:latin typeface="Avenir Next LT Pro" panose="020B0504020202020204" pitchFamily="34" charset="0"/>
              </a:endParaRPr>
            </a:p>
          </xdr:txBody>
        </xdr:sp>
        <xdr:sp macro="" textlink="">
          <xdr:nvSpPr>
            <xdr:cNvPr id="36" name="TextBox 35">
              <a:hlinkClick xmlns:r="http://schemas.openxmlformats.org/officeDocument/2006/relationships" r:id="rId8" tooltip="Trends"/>
              <a:extLst>
                <a:ext uri="{FF2B5EF4-FFF2-40B4-BE49-F238E27FC236}">
                  <a16:creationId xmlns:a16="http://schemas.microsoft.com/office/drawing/2014/main" id="{00000000-0008-0000-0200-000024000000}"/>
                </a:ext>
              </a:extLst>
            </xdr:cNvPr>
            <xdr:cNvSpPr txBox="1"/>
          </xdr:nvSpPr>
          <xdr:spPr>
            <a:xfrm>
              <a:off x="11441757" y="73558"/>
              <a:ext cx="768349"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Trends</a:t>
              </a:r>
            </a:p>
          </xdr:txBody>
        </xdr:sp>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2505075" y="95979"/>
              <a:ext cx="2619375"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Sales Performance  - FY 2015</a:t>
              </a:r>
            </a:p>
          </xdr:txBody>
        </xdr:sp>
        <xdr:sp macro="" textlink="">
          <xdr:nvSpPr>
            <xdr:cNvPr id="38" name="Rectangle: Rounded Corners 37">
              <a:extLst>
                <a:ext uri="{FF2B5EF4-FFF2-40B4-BE49-F238E27FC236}">
                  <a16:creationId xmlns:a16="http://schemas.microsoft.com/office/drawing/2014/main" id="{00000000-0008-0000-0200-000026000000}"/>
                </a:ext>
              </a:extLst>
            </xdr:cNvPr>
            <xdr:cNvSpPr/>
          </xdr:nvSpPr>
          <xdr:spPr>
            <a:xfrm>
              <a:off x="12734287" y="361950"/>
              <a:ext cx="468000" cy="36000"/>
            </a:xfrm>
            <a:prstGeom prst="roundRect">
              <a:avLst/>
            </a:prstGeom>
            <a:solidFill>
              <a:srgbClr val="194AF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39" name="TextBox 38">
              <a:hlinkClick xmlns:r="http://schemas.openxmlformats.org/officeDocument/2006/relationships" r:id="rId9" tooltip="Sales Map"/>
              <a:extLst>
                <a:ext uri="{FF2B5EF4-FFF2-40B4-BE49-F238E27FC236}">
                  <a16:creationId xmlns:a16="http://schemas.microsoft.com/office/drawing/2014/main" id="{00000000-0008-0000-0200-000027000000}"/>
                </a:ext>
              </a:extLst>
            </xdr:cNvPr>
            <xdr:cNvSpPr txBox="1"/>
          </xdr:nvSpPr>
          <xdr:spPr>
            <a:xfrm>
              <a:off x="13722696" y="73558"/>
              <a:ext cx="1019769"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Sales Map</a:t>
              </a:r>
            </a:p>
          </xdr:txBody>
        </xdr:sp>
      </xdr:grpSp>
      <xdr:pic>
        <xdr:nvPicPr>
          <xdr:cNvPr id="31" name="Picture 30">
            <a:hlinkClick xmlns:r="http://schemas.openxmlformats.org/officeDocument/2006/relationships" r:id="rId10"/>
            <a:extLst>
              <a:ext uri="{FF2B5EF4-FFF2-40B4-BE49-F238E27FC236}">
                <a16:creationId xmlns:a16="http://schemas.microsoft.com/office/drawing/2014/main" id="{00000000-0008-0000-0200-00001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6144875" y="114300"/>
            <a:ext cx="1680593" cy="252000"/>
          </a:xfrm>
          <a:prstGeom prst="rect">
            <a:avLst/>
          </a:prstGeom>
        </xdr:spPr>
      </xdr:pic>
    </xdr:grpSp>
    <xdr:clientData/>
  </xdr:twoCellAnchor>
  <xdr:twoCellAnchor>
    <xdr:from>
      <xdr:col>15</xdr:col>
      <xdr:colOff>566773</xdr:colOff>
      <xdr:row>7</xdr:row>
      <xdr:rowOff>76201</xdr:rowOff>
    </xdr:from>
    <xdr:to>
      <xdr:col>22</xdr:col>
      <xdr:colOff>259573</xdr:colOff>
      <xdr:row>11</xdr:row>
      <xdr:rowOff>148501</xdr:rowOff>
    </xdr:to>
    <mc:AlternateContent xmlns:mc="http://schemas.openxmlformats.org/markup-compatibility/2006" xmlns:a14="http://schemas.microsoft.com/office/drawing/2010/main">
      <mc:Choice Requires="a14">
        <xdr:graphicFrame macro="">
          <xdr:nvGraphicFramePr>
            <xdr:cNvPr id="6" name="Customer Segment 2">
              <a:extLst>
                <a:ext uri="{FF2B5EF4-FFF2-40B4-BE49-F238E27FC236}">
                  <a16:creationId xmlns:a16="http://schemas.microsoft.com/office/drawing/2014/main" id="{00000000-0008-0000-0200-000006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ustomer Segment 2"/>
            </a:graphicData>
          </a:graphic>
        </xdr:graphicFrame>
      </mc:Choice>
      <mc:Fallback xmlns="">
        <xdr:sp macro="" textlink="">
          <xdr:nvSpPr>
            <xdr:cNvPr id="0" name=""/>
            <xdr:cNvSpPr>
              <a:spLocks noTextEdit="1"/>
            </xdr:cNvSpPr>
          </xdr:nvSpPr>
          <xdr:spPr>
            <a:xfrm>
              <a:off x="9710773" y="1209676"/>
              <a:ext cx="3960000" cy="72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3</xdr:col>
      <xdr:colOff>283818</xdr:colOff>
      <xdr:row>16</xdr:row>
      <xdr:rowOff>92174</xdr:rowOff>
    </xdr:from>
    <xdr:to>
      <xdr:col>4</xdr:col>
      <xdr:colOff>586705</xdr:colOff>
      <xdr:row>22</xdr:row>
      <xdr:rowOff>101699</xdr:rowOff>
    </xdr:to>
    <xdr:grpSp>
      <xdr:nvGrpSpPr>
        <xdr:cNvPr id="3123" name="Group 3122">
          <a:extLst>
            <a:ext uri="{FF2B5EF4-FFF2-40B4-BE49-F238E27FC236}">
              <a16:creationId xmlns:a16="http://schemas.microsoft.com/office/drawing/2014/main" id="{00000000-0008-0000-0200-0000330C0000}"/>
            </a:ext>
          </a:extLst>
        </xdr:cNvPr>
        <xdr:cNvGrpSpPr/>
      </xdr:nvGrpSpPr>
      <xdr:grpSpPr>
        <a:xfrm>
          <a:off x="2112618" y="2768699"/>
          <a:ext cx="912487" cy="1009650"/>
          <a:chOff x="7764226" y="1809750"/>
          <a:chExt cx="990668" cy="1009650"/>
        </a:xfrm>
      </xdr:grpSpPr>
      <mc:AlternateContent xmlns:mc="http://schemas.openxmlformats.org/markup-compatibility/2006">
        <mc:Choice xmlns:a14="http://schemas.microsoft.com/office/drawing/2010/main" Requires="a14">
          <xdr:sp macro="" textlink="">
            <xdr:nvSpPr>
              <xdr:cNvPr id="3083" name="Group Box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7764226" y="1809750"/>
                <a:ext cx="990668" cy="10096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CA" sz="800" b="0" i="0" u="none" strike="noStrike" baseline="0">
                    <a:solidFill>
                      <a:srgbClr val="000000"/>
                    </a:solidFill>
                    <a:latin typeface="Segoe UI"/>
                    <a:cs typeface="Segoe UI"/>
                  </a:rPr>
                  <a:t>Group Box 1</a:t>
                </a:r>
              </a:p>
            </xdr:txBody>
          </xdr:sp>
        </mc:Choice>
        <mc:Fallback/>
      </mc:AlternateContent>
      <xdr:grpSp>
        <xdr:nvGrpSpPr>
          <xdr:cNvPr id="3125" name="Group 3124">
            <a:extLst>
              <a:ext uri="{FF2B5EF4-FFF2-40B4-BE49-F238E27FC236}">
                <a16:creationId xmlns:a16="http://schemas.microsoft.com/office/drawing/2014/main" id="{00000000-0008-0000-0200-0000350C0000}"/>
              </a:ext>
            </a:extLst>
          </xdr:cNvPr>
          <xdr:cNvGrpSpPr/>
        </xdr:nvGrpSpPr>
        <xdr:grpSpPr>
          <a:xfrm>
            <a:off x="7830866" y="1971675"/>
            <a:ext cx="855818" cy="285750"/>
            <a:chOff x="7954691" y="1857375"/>
            <a:chExt cx="855818" cy="285750"/>
          </a:xfrm>
        </xdr:grpSpPr>
        <xdr:sp macro="" textlink="">
          <xdr:nvSpPr>
            <xdr:cNvPr id="3130" name="TextBox 3129">
              <a:extLst>
                <a:ext uri="{FF2B5EF4-FFF2-40B4-BE49-F238E27FC236}">
                  <a16:creationId xmlns:a16="http://schemas.microsoft.com/office/drawing/2014/main" id="{00000000-0008-0000-0200-00003A0C0000}"/>
                </a:ext>
              </a:extLst>
            </xdr:cNvPr>
            <xdr:cNvSpPr txBox="1"/>
          </xdr:nvSpPr>
          <xdr:spPr>
            <a:xfrm>
              <a:off x="8126136" y="1857375"/>
              <a:ext cx="684373"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CA" sz="1400">
                  <a:solidFill>
                    <a:schemeClr val="bg1"/>
                  </a:solidFill>
                  <a:latin typeface="Avenir Next LT Pro Light" panose="020B0304020202020204" pitchFamily="34" charset="0"/>
                </a:rPr>
                <a:t>Sales</a:t>
              </a:r>
            </a:p>
          </xdr:txBody>
        </xdr:sp>
        <mc:AlternateContent xmlns:mc="http://schemas.openxmlformats.org/markup-compatibility/2006">
          <mc:Choice xmlns:a14="http://schemas.microsoft.com/office/drawing/2010/main" Requires="a14">
            <xdr:sp macro="" textlink="">
              <xdr:nvSpPr>
                <xdr:cNvPr id="3084" name="Option Button 12"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7954691" y="1866900"/>
                  <a:ext cx="814451" cy="2476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grpSp>
        <xdr:nvGrpSpPr>
          <xdr:cNvPr id="3126" name="Group 3125">
            <a:extLst>
              <a:ext uri="{FF2B5EF4-FFF2-40B4-BE49-F238E27FC236}">
                <a16:creationId xmlns:a16="http://schemas.microsoft.com/office/drawing/2014/main" id="{00000000-0008-0000-0200-0000360C0000}"/>
              </a:ext>
            </a:extLst>
          </xdr:cNvPr>
          <xdr:cNvGrpSpPr/>
        </xdr:nvGrpSpPr>
        <xdr:grpSpPr>
          <a:xfrm>
            <a:off x="7830860" y="2314575"/>
            <a:ext cx="902967" cy="285750"/>
            <a:chOff x="11031260" y="1876425"/>
            <a:chExt cx="902967" cy="285750"/>
          </a:xfrm>
        </xdr:grpSpPr>
        <xdr:sp macro="" textlink="">
          <xdr:nvSpPr>
            <xdr:cNvPr id="3128" name="TextBox 3127">
              <a:extLst>
                <a:ext uri="{FF2B5EF4-FFF2-40B4-BE49-F238E27FC236}">
                  <a16:creationId xmlns:a16="http://schemas.microsoft.com/office/drawing/2014/main" id="{00000000-0008-0000-0200-0000380C0000}"/>
                </a:ext>
              </a:extLst>
            </xdr:cNvPr>
            <xdr:cNvSpPr txBox="1"/>
          </xdr:nvSpPr>
          <xdr:spPr>
            <a:xfrm>
              <a:off x="11193188" y="1876425"/>
              <a:ext cx="741039"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CA" sz="1400">
                  <a:solidFill>
                    <a:schemeClr val="bg1"/>
                  </a:solidFill>
                  <a:latin typeface="Avenir Next LT Pro Light" panose="020B0304020202020204" pitchFamily="34" charset="0"/>
                </a:rPr>
                <a:t>Profit</a:t>
              </a:r>
            </a:p>
          </xdr:txBody>
        </xdr:sp>
        <mc:AlternateContent xmlns:mc="http://schemas.openxmlformats.org/markup-compatibility/2006">
          <mc:Choice xmlns:a14="http://schemas.microsoft.com/office/drawing/2010/main" Requires="a14">
            <xdr:sp macro="" textlink="">
              <xdr:nvSpPr>
                <xdr:cNvPr id="3085" name="Option Button 13"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11031260" y="1885950"/>
                  <a:ext cx="793774" cy="2476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grpSp>
    <xdr:clientData/>
  </xdr:twoCellAnchor>
  <xdr:twoCellAnchor>
    <xdr:from>
      <xdr:col>24</xdr:col>
      <xdr:colOff>493007</xdr:colOff>
      <xdr:row>16</xdr:row>
      <xdr:rowOff>92174</xdr:rowOff>
    </xdr:from>
    <xdr:to>
      <xdr:col>26</xdr:col>
      <xdr:colOff>152438</xdr:colOff>
      <xdr:row>22</xdr:row>
      <xdr:rowOff>101699</xdr:rowOff>
    </xdr:to>
    <xdr:grpSp>
      <xdr:nvGrpSpPr>
        <xdr:cNvPr id="54" name="Group 53">
          <a:extLst>
            <a:ext uri="{FF2B5EF4-FFF2-40B4-BE49-F238E27FC236}">
              <a16:creationId xmlns:a16="http://schemas.microsoft.com/office/drawing/2014/main" id="{00000000-0008-0000-0200-000036000000}"/>
            </a:ext>
          </a:extLst>
        </xdr:cNvPr>
        <xdr:cNvGrpSpPr/>
      </xdr:nvGrpSpPr>
      <xdr:grpSpPr>
        <a:xfrm>
          <a:off x="15123407" y="2768699"/>
          <a:ext cx="878631" cy="1009650"/>
          <a:chOff x="7764236" y="1809750"/>
          <a:chExt cx="970037" cy="1009650"/>
        </a:xfrm>
      </xdr:grpSpPr>
      <mc:AlternateContent xmlns:mc="http://schemas.openxmlformats.org/markup-compatibility/2006">
        <mc:Choice xmlns:a14="http://schemas.microsoft.com/office/drawing/2010/main" Requires="a14">
          <xdr:sp macro="" textlink="">
            <xdr:nvSpPr>
              <xdr:cNvPr id="3073" name="Group Box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7764236" y="1809750"/>
                <a:ext cx="970037" cy="10096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CA" sz="800" b="0" i="0" u="none" strike="noStrike" baseline="0">
                    <a:solidFill>
                      <a:srgbClr val="000000"/>
                    </a:solidFill>
                    <a:latin typeface="Segoe UI"/>
                    <a:cs typeface="Segoe UI"/>
                  </a:rPr>
                  <a:t>Group Box 1</a:t>
                </a:r>
              </a:p>
            </xdr:txBody>
          </xdr:sp>
        </mc:Choice>
        <mc:Fallback/>
      </mc:AlternateContent>
      <xdr:grpSp>
        <xdr:nvGrpSpPr>
          <xdr:cNvPr id="52" name="Group 51">
            <a:extLst>
              <a:ext uri="{FF2B5EF4-FFF2-40B4-BE49-F238E27FC236}">
                <a16:creationId xmlns:a16="http://schemas.microsoft.com/office/drawing/2014/main" id="{00000000-0008-0000-0200-000034000000}"/>
              </a:ext>
            </a:extLst>
          </xdr:cNvPr>
          <xdr:cNvGrpSpPr/>
        </xdr:nvGrpSpPr>
        <xdr:grpSpPr>
          <a:xfrm>
            <a:off x="7830868" y="1981200"/>
            <a:ext cx="861296" cy="619125"/>
            <a:chOff x="7954693" y="1866900"/>
            <a:chExt cx="861296" cy="619125"/>
          </a:xfrm>
        </xdr:grpSpPr>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8126136" y="2200275"/>
              <a:ext cx="689853"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CA" sz="1400">
                  <a:solidFill>
                    <a:schemeClr val="bg1"/>
                  </a:solidFill>
                  <a:latin typeface="Avenir Next LT Pro Light" panose="020B0304020202020204" pitchFamily="34" charset="0"/>
                </a:rPr>
                <a:t>Sales</a:t>
              </a:r>
            </a:p>
          </xdr:txBody>
        </xdr:sp>
        <mc:AlternateContent xmlns:mc="http://schemas.openxmlformats.org/markup-compatibility/2006">
          <mc:Choice xmlns:a14="http://schemas.microsoft.com/office/drawing/2010/main" Requires="a14">
            <xdr:sp macro="" textlink="">
              <xdr:nvSpPr>
                <xdr:cNvPr id="3074" name="Option 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7954693" y="1866900"/>
                  <a:ext cx="808719" cy="2476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grpSp>
        <xdr:nvGrpSpPr>
          <xdr:cNvPr id="53" name="Group 52">
            <a:extLst>
              <a:ext uri="{FF2B5EF4-FFF2-40B4-BE49-F238E27FC236}">
                <a16:creationId xmlns:a16="http://schemas.microsoft.com/office/drawing/2014/main" id="{00000000-0008-0000-0200-000035000000}"/>
              </a:ext>
            </a:extLst>
          </xdr:cNvPr>
          <xdr:cNvGrpSpPr/>
        </xdr:nvGrpSpPr>
        <xdr:grpSpPr>
          <a:xfrm>
            <a:off x="7830864" y="1971675"/>
            <a:ext cx="850784" cy="600075"/>
            <a:chOff x="11031264" y="1533525"/>
            <a:chExt cx="850784" cy="600075"/>
          </a:xfrm>
        </xdr:grpSpPr>
        <xdr:sp macro="" textlink="">
          <xdr:nvSpPr>
            <xdr:cNvPr id="23" name="TextBox 22">
              <a:extLst>
                <a:ext uri="{FF2B5EF4-FFF2-40B4-BE49-F238E27FC236}">
                  <a16:creationId xmlns:a16="http://schemas.microsoft.com/office/drawing/2014/main" id="{00000000-0008-0000-0200-000017000000}"/>
                </a:ext>
              </a:extLst>
            </xdr:cNvPr>
            <xdr:cNvSpPr txBox="1"/>
          </xdr:nvSpPr>
          <xdr:spPr>
            <a:xfrm>
              <a:off x="11193188" y="1533525"/>
              <a:ext cx="68886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CA" sz="1400">
                  <a:solidFill>
                    <a:schemeClr val="bg1"/>
                  </a:solidFill>
                  <a:latin typeface="Avenir Next LT Pro Light" panose="020B0304020202020204" pitchFamily="34" charset="0"/>
                </a:rPr>
                <a:t>Profit</a:t>
              </a:r>
            </a:p>
          </xdr:txBody>
        </xdr:sp>
        <mc:AlternateContent xmlns:mc="http://schemas.openxmlformats.org/markup-compatibility/2006">
          <mc:Choice xmlns:a14="http://schemas.microsoft.com/office/drawing/2010/main" Requires="a14">
            <xdr:sp macro="" textlink="">
              <xdr:nvSpPr>
                <xdr:cNvPr id="3075" name="Option 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11031264" y="1885950"/>
                  <a:ext cx="819240" cy="2476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grpSp>
    <xdr:clientData/>
  </xdr:twoCellAnchor>
  <xdr:twoCellAnchor>
    <xdr:from>
      <xdr:col>22</xdr:col>
      <xdr:colOff>284359</xdr:colOff>
      <xdr:row>37</xdr:row>
      <xdr:rowOff>33759</xdr:rowOff>
    </xdr:from>
    <xdr:to>
      <xdr:col>27</xdr:col>
      <xdr:colOff>600078</xdr:colOff>
      <xdr:row>43</xdr:row>
      <xdr:rowOff>123824</xdr:rowOff>
    </xdr:to>
    <xdr:grpSp>
      <xdr:nvGrpSpPr>
        <xdr:cNvPr id="97" name="Group 96">
          <a:extLst>
            <a:ext uri="{FF2B5EF4-FFF2-40B4-BE49-F238E27FC236}">
              <a16:creationId xmlns:a16="http://schemas.microsoft.com/office/drawing/2014/main" id="{00000000-0008-0000-0200-000061000000}"/>
            </a:ext>
          </a:extLst>
        </xdr:cNvPr>
        <xdr:cNvGrpSpPr/>
      </xdr:nvGrpSpPr>
      <xdr:grpSpPr>
        <a:xfrm>
          <a:off x="13695559" y="6167859"/>
          <a:ext cx="3363719" cy="1061615"/>
          <a:chOff x="13705084" y="6148810"/>
          <a:chExt cx="3363719" cy="978834"/>
        </a:xfrm>
        <a:gradFill>
          <a:gsLst>
            <a:gs pos="0">
              <a:srgbClr val="DC25FA">
                <a:alpha val="20000"/>
              </a:srgbClr>
            </a:gs>
            <a:gs pos="63000">
              <a:srgbClr val="9947F7">
                <a:alpha val="20000"/>
              </a:srgbClr>
            </a:gs>
          </a:gsLst>
          <a:lin ang="3900000" scaled="0"/>
        </a:gradFill>
      </xdr:grpSpPr>
      <xdr:grpSp>
        <xdr:nvGrpSpPr>
          <xdr:cNvPr id="79" name="Group 78">
            <a:extLst>
              <a:ext uri="{FF2B5EF4-FFF2-40B4-BE49-F238E27FC236}">
                <a16:creationId xmlns:a16="http://schemas.microsoft.com/office/drawing/2014/main" id="{00000000-0008-0000-0200-00004F000000}"/>
              </a:ext>
            </a:extLst>
          </xdr:cNvPr>
          <xdr:cNvGrpSpPr/>
        </xdr:nvGrpSpPr>
        <xdr:grpSpPr>
          <a:xfrm>
            <a:off x="14452973" y="6148810"/>
            <a:ext cx="2615830" cy="978834"/>
            <a:chOff x="8009090" y="6240779"/>
            <a:chExt cx="720000" cy="864006"/>
          </a:xfrm>
          <a:grpFill/>
        </xdr:grpSpPr>
        <xdr:sp macro="" textlink="Pivot_tables!CS10">
          <xdr:nvSpPr>
            <xdr:cNvPr id="80" name="TextBox 79">
              <a:extLst>
                <a:ext uri="{FF2B5EF4-FFF2-40B4-BE49-F238E27FC236}">
                  <a16:creationId xmlns:a16="http://schemas.microsoft.com/office/drawing/2014/main" id="{00000000-0008-0000-0200-000050000000}"/>
                </a:ext>
              </a:extLst>
            </xdr:cNvPr>
            <xdr:cNvSpPr txBox="1"/>
          </xdr:nvSpPr>
          <xdr:spPr>
            <a:xfrm>
              <a:off x="8009090" y="6240779"/>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ln>
                    <a:noFill/>
                  </a:ln>
                  <a:solidFill>
                    <a:srgbClr val="B1F5F1"/>
                  </a:solidFill>
                  <a:latin typeface="Avenir Next LT Pro"/>
                </a:rPr>
                <a:t>City Name</a:t>
              </a:r>
            </a:p>
          </xdr:txBody>
        </xdr:sp>
        <xdr:sp macro="" textlink="Pivot_tables!CM42">
          <xdr:nvSpPr>
            <xdr:cNvPr id="81" name="TextBox 80">
              <a:extLst>
                <a:ext uri="{FF2B5EF4-FFF2-40B4-BE49-F238E27FC236}">
                  <a16:creationId xmlns:a16="http://schemas.microsoft.com/office/drawing/2014/main" id="{00000000-0008-0000-0200-000051000000}"/>
                </a:ext>
              </a:extLst>
            </xdr:cNvPr>
            <xdr:cNvSpPr txBox="1"/>
          </xdr:nvSpPr>
          <xdr:spPr>
            <a:xfrm>
              <a:off x="8009090" y="6456783"/>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A67AD6CF-221D-4BB3-AC76-D631D4B31098}" type="TxLink">
                <a:rPr lang="en-US" sz="1100" b="0" i="0" u="none" strike="noStrike">
                  <a:ln>
                    <a:noFill/>
                  </a:ln>
                  <a:solidFill>
                    <a:schemeClr val="bg1"/>
                  </a:solidFill>
                  <a:latin typeface="Avenir Next LT Pro"/>
                  <a:cs typeface="Arial"/>
                </a:rPr>
                <a:pPr algn="l"/>
                <a:t>Walla Walla</a:t>
              </a:fld>
              <a:endParaRPr lang="en-US" sz="1200" b="0" i="0" u="none" strike="noStrike">
                <a:ln>
                  <a:noFill/>
                </a:ln>
                <a:solidFill>
                  <a:schemeClr val="bg1"/>
                </a:solidFill>
                <a:latin typeface="Avenir Next LT Pro"/>
              </a:endParaRPr>
            </a:p>
          </xdr:txBody>
        </xdr:sp>
        <xdr:sp macro="" textlink="Pivot_tables!CM43">
          <xdr:nvSpPr>
            <xdr:cNvPr id="82" name="TextBox 81">
              <a:extLst>
                <a:ext uri="{FF2B5EF4-FFF2-40B4-BE49-F238E27FC236}">
                  <a16:creationId xmlns:a16="http://schemas.microsoft.com/office/drawing/2014/main" id="{00000000-0008-0000-0200-000052000000}"/>
                </a:ext>
              </a:extLst>
            </xdr:cNvPr>
            <xdr:cNvSpPr txBox="1"/>
          </xdr:nvSpPr>
          <xdr:spPr>
            <a:xfrm>
              <a:off x="8009090" y="6672774"/>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C210D97-BE06-4F71-AC7C-C015CDD424D9}" type="TxLink">
                <a:rPr lang="en-US" sz="1100" b="0" i="0" u="none" strike="noStrike">
                  <a:ln>
                    <a:noFill/>
                  </a:ln>
                  <a:solidFill>
                    <a:schemeClr val="bg1"/>
                  </a:solidFill>
                  <a:latin typeface="Avenir Next LT Pro"/>
                </a:rPr>
                <a:pPr algn="l"/>
                <a:t>Laguna Hills</a:t>
              </a:fld>
              <a:endParaRPr lang="en-US" sz="1200" b="0" i="0" u="none" strike="noStrike">
                <a:ln>
                  <a:noFill/>
                </a:ln>
                <a:solidFill>
                  <a:schemeClr val="bg1"/>
                </a:solidFill>
                <a:latin typeface="Avenir Next LT Pro"/>
              </a:endParaRPr>
            </a:p>
          </xdr:txBody>
        </xdr:sp>
        <xdr:sp macro="" textlink="Pivot_tables!CM44">
          <xdr:nvSpPr>
            <xdr:cNvPr id="83" name="TextBox 82">
              <a:extLst>
                <a:ext uri="{FF2B5EF4-FFF2-40B4-BE49-F238E27FC236}">
                  <a16:creationId xmlns:a16="http://schemas.microsoft.com/office/drawing/2014/main" id="{00000000-0008-0000-0200-000053000000}"/>
                </a:ext>
              </a:extLst>
            </xdr:cNvPr>
            <xdr:cNvSpPr txBox="1"/>
          </xdr:nvSpPr>
          <xdr:spPr>
            <a:xfrm>
              <a:off x="8009090" y="6888785"/>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D4FCDC6-CFBC-4736-8BB8-09472E567FFA}" type="TxLink">
                <a:rPr lang="en-US" sz="1100" b="0" i="0" u="none" strike="noStrike">
                  <a:ln>
                    <a:noFill/>
                  </a:ln>
                  <a:solidFill>
                    <a:schemeClr val="bg1"/>
                  </a:solidFill>
                  <a:latin typeface="Avenir Next LT Pro"/>
                </a:rPr>
                <a:pPr algn="l"/>
                <a:t>Janesville</a:t>
              </a:fld>
              <a:endParaRPr lang="en-US" sz="1200" b="0" i="0" u="none" strike="noStrike">
                <a:ln>
                  <a:noFill/>
                </a:ln>
                <a:solidFill>
                  <a:schemeClr val="bg1"/>
                </a:solidFill>
                <a:latin typeface="Avenir Next LT Pro"/>
              </a:endParaRPr>
            </a:p>
          </xdr:txBody>
        </xdr:sp>
      </xdr:grpSp>
      <xdr:grpSp>
        <xdr:nvGrpSpPr>
          <xdr:cNvPr id="71" name="Group 70">
            <a:extLst>
              <a:ext uri="{FF2B5EF4-FFF2-40B4-BE49-F238E27FC236}">
                <a16:creationId xmlns:a16="http://schemas.microsoft.com/office/drawing/2014/main" id="{00000000-0008-0000-0200-000047000000}"/>
              </a:ext>
            </a:extLst>
          </xdr:cNvPr>
          <xdr:cNvGrpSpPr/>
        </xdr:nvGrpSpPr>
        <xdr:grpSpPr>
          <a:xfrm>
            <a:off x="13705084" y="6148810"/>
            <a:ext cx="756000" cy="978834"/>
            <a:chOff x="7018124" y="6240779"/>
            <a:chExt cx="756731" cy="864006"/>
          </a:xfrm>
          <a:grpFill/>
        </xdr:grpSpPr>
        <xdr:sp macro="" textlink="Pivot_tables!CN41">
          <xdr:nvSpPr>
            <xdr:cNvPr id="72" name="TextBox 71">
              <a:extLst>
                <a:ext uri="{FF2B5EF4-FFF2-40B4-BE49-F238E27FC236}">
                  <a16:creationId xmlns:a16="http://schemas.microsoft.com/office/drawing/2014/main" id="{00000000-0008-0000-0200-000048000000}"/>
                </a:ext>
              </a:extLst>
            </xdr:cNvPr>
            <xdr:cNvSpPr txBox="1"/>
          </xdr:nvSpPr>
          <xdr:spPr>
            <a:xfrm>
              <a:off x="7018124" y="6240779"/>
              <a:ext cx="756731"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58EEC1E-FCE5-4D35-ADCB-FEAC37550A79}" type="TxLink">
                <a:rPr lang="en-US" sz="1200" b="0" i="0" u="none" strike="noStrike">
                  <a:ln>
                    <a:noFill/>
                  </a:ln>
                  <a:solidFill>
                    <a:srgbClr val="B1F5F1"/>
                  </a:solidFill>
                  <a:latin typeface="Avenir Next LT Pro"/>
                </a:rPr>
                <a:pPr algn="ctr"/>
                <a:t>Profit</a:t>
              </a:fld>
              <a:endParaRPr lang="en-US" sz="1600" b="0" i="0" u="none" strike="noStrike">
                <a:ln>
                  <a:noFill/>
                </a:ln>
                <a:solidFill>
                  <a:srgbClr val="B1F5F1"/>
                </a:solidFill>
                <a:latin typeface="Avenir Next LT Pro"/>
              </a:endParaRPr>
            </a:p>
          </xdr:txBody>
        </xdr:sp>
        <xdr:sp macro="" textlink="Pivot_tables!CN42">
          <xdr:nvSpPr>
            <xdr:cNvPr id="73" name="TextBox 72">
              <a:extLst>
                <a:ext uri="{FF2B5EF4-FFF2-40B4-BE49-F238E27FC236}">
                  <a16:creationId xmlns:a16="http://schemas.microsoft.com/office/drawing/2014/main" id="{00000000-0008-0000-0200-000049000000}"/>
                </a:ext>
              </a:extLst>
            </xdr:cNvPr>
            <xdr:cNvSpPr txBox="1"/>
          </xdr:nvSpPr>
          <xdr:spPr>
            <a:xfrm>
              <a:off x="7018124" y="6456783"/>
              <a:ext cx="756731"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D5B06C-463A-4F4B-B14C-9532FE41F09E}" type="TxLink">
                <a:rPr lang="en-US" sz="1100" b="0" i="0" u="none" strike="noStrike">
                  <a:ln>
                    <a:noFill/>
                  </a:ln>
                  <a:solidFill>
                    <a:schemeClr val="bg1"/>
                  </a:solidFill>
                  <a:latin typeface="Avenir Next LT Pro"/>
                </a:rPr>
                <a:pPr algn="ctr"/>
                <a:t>-$3</a:t>
              </a:fld>
              <a:endParaRPr lang="en-US" sz="1200" b="0" i="0" u="none" strike="noStrike">
                <a:ln>
                  <a:noFill/>
                </a:ln>
                <a:solidFill>
                  <a:schemeClr val="bg1"/>
                </a:solidFill>
                <a:latin typeface="Avenir Next LT Pro"/>
              </a:endParaRPr>
            </a:p>
          </xdr:txBody>
        </xdr:sp>
        <xdr:sp macro="" textlink="Pivot_tables!CN43">
          <xdr:nvSpPr>
            <xdr:cNvPr id="74" name="TextBox 73">
              <a:extLst>
                <a:ext uri="{FF2B5EF4-FFF2-40B4-BE49-F238E27FC236}">
                  <a16:creationId xmlns:a16="http://schemas.microsoft.com/office/drawing/2014/main" id="{00000000-0008-0000-0200-00004A000000}"/>
                </a:ext>
              </a:extLst>
            </xdr:cNvPr>
            <xdr:cNvSpPr txBox="1"/>
          </xdr:nvSpPr>
          <xdr:spPr>
            <a:xfrm>
              <a:off x="7018124" y="6672774"/>
              <a:ext cx="756731"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A5939CE-A261-483A-AC3F-CA2A8AB48FC4}" type="TxLink">
                <a:rPr lang="en-US" sz="1100" b="0" i="0" u="none" strike="noStrike">
                  <a:ln>
                    <a:noFill/>
                  </a:ln>
                  <a:solidFill>
                    <a:schemeClr val="bg1"/>
                  </a:solidFill>
                  <a:latin typeface="Avenir Next LT Pro"/>
                </a:rPr>
                <a:pPr algn="ctr"/>
                <a:t>-$8</a:t>
              </a:fld>
              <a:endParaRPr lang="en-US" sz="1200" b="0" i="0" u="none" strike="noStrike">
                <a:ln>
                  <a:noFill/>
                </a:ln>
                <a:solidFill>
                  <a:schemeClr val="bg1"/>
                </a:solidFill>
                <a:latin typeface="Avenir Next LT Pro"/>
              </a:endParaRPr>
            </a:p>
          </xdr:txBody>
        </xdr:sp>
        <xdr:sp macro="" textlink="Pivot_tables!CN44">
          <xdr:nvSpPr>
            <xdr:cNvPr id="75" name="TextBox 74">
              <a:extLst>
                <a:ext uri="{FF2B5EF4-FFF2-40B4-BE49-F238E27FC236}">
                  <a16:creationId xmlns:a16="http://schemas.microsoft.com/office/drawing/2014/main" id="{00000000-0008-0000-0200-00004B000000}"/>
                </a:ext>
              </a:extLst>
            </xdr:cNvPr>
            <xdr:cNvSpPr txBox="1"/>
          </xdr:nvSpPr>
          <xdr:spPr>
            <a:xfrm>
              <a:off x="7018124" y="6888785"/>
              <a:ext cx="756731"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743D71B-CB13-4888-8A6F-5C2BF4D7FDD1}" type="TxLink">
                <a:rPr lang="en-US" sz="1100" b="0" i="0" u="none" strike="noStrike">
                  <a:ln>
                    <a:noFill/>
                  </a:ln>
                  <a:solidFill>
                    <a:schemeClr val="bg1"/>
                  </a:solidFill>
                  <a:latin typeface="Avenir Next LT Pro"/>
                </a:rPr>
                <a:pPr algn="ctr"/>
                <a:t>-$6</a:t>
              </a:fld>
              <a:endParaRPr lang="en-US" sz="1200" b="0" i="0" u="none" strike="noStrike">
                <a:ln>
                  <a:noFill/>
                </a:ln>
                <a:solidFill>
                  <a:schemeClr val="bg1"/>
                </a:solidFill>
                <a:latin typeface="Avenir Next LT Pro"/>
              </a:endParaRPr>
            </a:p>
          </xdr:txBody>
        </xdr:sp>
      </xdr:grpSp>
    </xdr:grpSp>
    <xdr:clientData/>
  </xdr:twoCellAnchor>
  <xdr:twoCellAnchor>
    <xdr:from>
      <xdr:col>15</xdr:col>
      <xdr:colOff>341509</xdr:colOff>
      <xdr:row>35</xdr:row>
      <xdr:rowOff>52809</xdr:rowOff>
    </xdr:from>
    <xdr:to>
      <xdr:col>21</xdr:col>
      <xdr:colOff>47615</xdr:colOff>
      <xdr:row>41</xdr:row>
      <xdr:rowOff>142874</xdr:rowOff>
    </xdr:to>
    <xdr:grpSp>
      <xdr:nvGrpSpPr>
        <xdr:cNvPr id="98" name="Group 97">
          <a:extLst>
            <a:ext uri="{FF2B5EF4-FFF2-40B4-BE49-F238E27FC236}">
              <a16:creationId xmlns:a16="http://schemas.microsoft.com/office/drawing/2014/main" id="{00000000-0008-0000-0200-000062000000}"/>
            </a:ext>
          </a:extLst>
        </xdr:cNvPr>
        <xdr:cNvGrpSpPr/>
      </xdr:nvGrpSpPr>
      <xdr:grpSpPr>
        <a:xfrm>
          <a:off x="9485509" y="5863059"/>
          <a:ext cx="3363706" cy="1061615"/>
          <a:chOff x="13695559" y="6148810"/>
          <a:chExt cx="3363706" cy="978834"/>
        </a:xfrm>
        <a:gradFill>
          <a:gsLst>
            <a:gs pos="0">
              <a:srgbClr val="DC25FA">
                <a:alpha val="20000"/>
              </a:srgbClr>
            </a:gs>
            <a:gs pos="63000">
              <a:srgbClr val="9947F7">
                <a:alpha val="20000"/>
              </a:srgbClr>
            </a:gs>
          </a:gsLst>
          <a:lin ang="3900000" scaled="0"/>
        </a:gradFill>
      </xdr:grpSpPr>
      <xdr:grpSp>
        <xdr:nvGrpSpPr>
          <xdr:cNvPr id="99" name="Group 98">
            <a:extLst>
              <a:ext uri="{FF2B5EF4-FFF2-40B4-BE49-F238E27FC236}">
                <a16:creationId xmlns:a16="http://schemas.microsoft.com/office/drawing/2014/main" id="{00000000-0008-0000-0200-000063000000}"/>
              </a:ext>
            </a:extLst>
          </xdr:cNvPr>
          <xdr:cNvGrpSpPr/>
        </xdr:nvGrpSpPr>
        <xdr:grpSpPr>
          <a:xfrm>
            <a:off x="14443436" y="6148810"/>
            <a:ext cx="2615829" cy="978834"/>
            <a:chOff x="8006468" y="6240779"/>
            <a:chExt cx="720000" cy="864006"/>
          </a:xfrm>
          <a:grpFill/>
        </xdr:grpSpPr>
        <xdr:sp macro="" textlink="Pivot_tables!CS10">
          <xdr:nvSpPr>
            <xdr:cNvPr id="106" name="TextBox 105">
              <a:extLst>
                <a:ext uri="{FF2B5EF4-FFF2-40B4-BE49-F238E27FC236}">
                  <a16:creationId xmlns:a16="http://schemas.microsoft.com/office/drawing/2014/main" id="{00000000-0008-0000-0200-00006A000000}"/>
                </a:ext>
              </a:extLst>
            </xdr:cNvPr>
            <xdr:cNvSpPr txBox="1"/>
          </xdr:nvSpPr>
          <xdr:spPr>
            <a:xfrm>
              <a:off x="8006468" y="6240779"/>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ln>
                    <a:noFill/>
                  </a:ln>
                  <a:solidFill>
                    <a:srgbClr val="B1F5F1"/>
                  </a:solidFill>
                  <a:latin typeface="Avenir Next LT Pro"/>
                </a:rPr>
                <a:t>City Name</a:t>
              </a:r>
            </a:p>
          </xdr:txBody>
        </xdr:sp>
        <xdr:sp macro="" textlink="Pivot_tables!CM30">
          <xdr:nvSpPr>
            <xdr:cNvPr id="108" name="TextBox 107">
              <a:extLst>
                <a:ext uri="{FF2B5EF4-FFF2-40B4-BE49-F238E27FC236}">
                  <a16:creationId xmlns:a16="http://schemas.microsoft.com/office/drawing/2014/main" id="{00000000-0008-0000-0200-00006C000000}"/>
                </a:ext>
              </a:extLst>
            </xdr:cNvPr>
            <xdr:cNvSpPr txBox="1"/>
          </xdr:nvSpPr>
          <xdr:spPr>
            <a:xfrm>
              <a:off x="8006468" y="6456783"/>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D4A3E2A7-8B69-4E15-92ED-43B176843FE6}" type="TxLink">
                <a:rPr lang="en-US" sz="1100" b="0" i="0" u="none" strike="noStrike">
                  <a:ln>
                    <a:noFill/>
                  </a:ln>
                  <a:solidFill>
                    <a:schemeClr val="bg1"/>
                  </a:solidFill>
                  <a:latin typeface="Avenir Next LT Pro"/>
                </a:rPr>
                <a:pPr algn="l"/>
                <a:t>Los Angeles</a:t>
              </a:fld>
              <a:endParaRPr lang="en-US" sz="1200" b="0" i="0" u="none" strike="noStrike">
                <a:ln>
                  <a:noFill/>
                </a:ln>
                <a:solidFill>
                  <a:schemeClr val="bg1"/>
                </a:solidFill>
                <a:latin typeface="Avenir Next LT Pro"/>
              </a:endParaRPr>
            </a:p>
          </xdr:txBody>
        </xdr:sp>
        <xdr:sp macro="" textlink="Pivot_tables!CM31">
          <xdr:nvSpPr>
            <xdr:cNvPr id="110" name="TextBox 109">
              <a:extLst>
                <a:ext uri="{FF2B5EF4-FFF2-40B4-BE49-F238E27FC236}">
                  <a16:creationId xmlns:a16="http://schemas.microsoft.com/office/drawing/2014/main" id="{00000000-0008-0000-0200-00006E000000}"/>
                </a:ext>
              </a:extLst>
            </xdr:cNvPr>
            <xdr:cNvSpPr txBox="1"/>
          </xdr:nvSpPr>
          <xdr:spPr>
            <a:xfrm>
              <a:off x="8006468" y="6672774"/>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06F7084-CA7D-48B2-B51C-6EC7435969BF}" type="TxLink">
                <a:rPr lang="en-US" sz="1100" b="0" i="0" u="none" strike="noStrike">
                  <a:ln>
                    <a:noFill/>
                  </a:ln>
                  <a:solidFill>
                    <a:schemeClr val="bg1"/>
                  </a:solidFill>
                  <a:latin typeface="Avenir Next LT Pro"/>
                </a:rPr>
                <a:pPr algn="l"/>
                <a:t>New York City</a:t>
              </a:fld>
              <a:endParaRPr lang="en-US" sz="1200" b="0" i="0" u="none" strike="noStrike">
                <a:ln>
                  <a:noFill/>
                </a:ln>
                <a:solidFill>
                  <a:schemeClr val="bg1"/>
                </a:solidFill>
                <a:latin typeface="Avenir Next LT Pro"/>
              </a:endParaRPr>
            </a:p>
          </xdr:txBody>
        </xdr:sp>
        <xdr:sp macro="" textlink="Pivot_tables!CM32">
          <xdr:nvSpPr>
            <xdr:cNvPr id="111" name="TextBox 110">
              <a:extLst>
                <a:ext uri="{FF2B5EF4-FFF2-40B4-BE49-F238E27FC236}">
                  <a16:creationId xmlns:a16="http://schemas.microsoft.com/office/drawing/2014/main" id="{00000000-0008-0000-0200-00006F000000}"/>
                </a:ext>
              </a:extLst>
            </xdr:cNvPr>
            <xdr:cNvSpPr txBox="1"/>
          </xdr:nvSpPr>
          <xdr:spPr>
            <a:xfrm>
              <a:off x="8006468" y="6888785"/>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C736281-A733-46AC-AD7E-FCE963AA85D5}" type="TxLink">
                <a:rPr lang="en-US" sz="1100" b="0" i="0" u="none" strike="noStrike">
                  <a:ln>
                    <a:noFill/>
                  </a:ln>
                  <a:solidFill>
                    <a:schemeClr val="bg1"/>
                  </a:solidFill>
                  <a:latin typeface="Avenir Next LT Pro"/>
                </a:rPr>
                <a:pPr algn="l"/>
                <a:t>Washington</a:t>
              </a:fld>
              <a:endParaRPr lang="en-US" sz="1200" b="0" i="0" u="none" strike="noStrike">
                <a:ln>
                  <a:noFill/>
                </a:ln>
                <a:solidFill>
                  <a:schemeClr val="bg1"/>
                </a:solidFill>
                <a:latin typeface="Avenir Next LT Pro"/>
              </a:endParaRPr>
            </a:p>
          </xdr:txBody>
        </xdr:sp>
      </xdr:grpSp>
      <xdr:grpSp>
        <xdr:nvGrpSpPr>
          <xdr:cNvPr id="100" name="Group 99">
            <a:extLst>
              <a:ext uri="{FF2B5EF4-FFF2-40B4-BE49-F238E27FC236}">
                <a16:creationId xmlns:a16="http://schemas.microsoft.com/office/drawing/2014/main" id="{00000000-0008-0000-0200-000064000000}"/>
              </a:ext>
            </a:extLst>
          </xdr:cNvPr>
          <xdr:cNvGrpSpPr/>
        </xdr:nvGrpSpPr>
        <xdr:grpSpPr>
          <a:xfrm>
            <a:off x="13695559" y="6148810"/>
            <a:ext cx="756000" cy="978834"/>
            <a:chOff x="7008590" y="6240779"/>
            <a:chExt cx="756731" cy="864006"/>
          </a:xfrm>
          <a:grpFill/>
        </xdr:grpSpPr>
        <xdr:sp macro="" textlink="Pivot_tables!CN29">
          <xdr:nvSpPr>
            <xdr:cNvPr id="101" name="TextBox 100">
              <a:extLst>
                <a:ext uri="{FF2B5EF4-FFF2-40B4-BE49-F238E27FC236}">
                  <a16:creationId xmlns:a16="http://schemas.microsoft.com/office/drawing/2014/main" id="{00000000-0008-0000-0200-000065000000}"/>
                </a:ext>
              </a:extLst>
            </xdr:cNvPr>
            <xdr:cNvSpPr txBox="1"/>
          </xdr:nvSpPr>
          <xdr:spPr>
            <a:xfrm>
              <a:off x="7008590" y="6240779"/>
              <a:ext cx="756731"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489EFA7-CBC6-45A5-97E2-86B7095D5831}" type="TxLink">
                <a:rPr lang="en-US" sz="1200" b="0" i="0" u="none" strike="noStrike">
                  <a:ln>
                    <a:noFill/>
                  </a:ln>
                  <a:solidFill>
                    <a:srgbClr val="B1F5F1"/>
                  </a:solidFill>
                  <a:latin typeface="Avenir Next LT Pro"/>
                </a:rPr>
                <a:pPr algn="ctr"/>
                <a:t>Profit</a:t>
              </a:fld>
              <a:endParaRPr lang="en-US" sz="1600" b="0" i="0" u="none" strike="noStrike">
                <a:ln>
                  <a:noFill/>
                </a:ln>
                <a:solidFill>
                  <a:srgbClr val="B1F5F1"/>
                </a:solidFill>
                <a:latin typeface="Avenir Next LT Pro"/>
              </a:endParaRPr>
            </a:p>
          </xdr:txBody>
        </xdr:sp>
        <xdr:sp macro="" textlink="Pivot_tables!CN30">
          <xdr:nvSpPr>
            <xdr:cNvPr id="103" name="TextBox 102">
              <a:extLst>
                <a:ext uri="{FF2B5EF4-FFF2-40B4-BE49-F238E27FC236}">
                  <a16:creationId xmlns:a16="http://schemas.microsoft.com/office/drawing/2014/main" id="{00000000-0008-0000-0200-000067000000}"/>
                </a:ext>
              </a:extLst>
            </xdr:cNvPr>
            <xdr:cNvSpPr txBox="1"/>
          </xdr:nvSpPr>
          <xdr:spPr>
            <a:xfrm>
              <a:off x="7008590" y="6456783"/>
              <a:ext cx="756731"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0F448F2-D5C6-47EB-ACA4-258D2E4A3DFB}" type="TxLink">
                <a:rPr lang="en-US" sz="1100" b="0" i="0" u="none" strike="noStrike">
                  <a:ln>
                    <a:noFill/>
                  </a:ln>
                  <a:solidFill>
                    <a:schemeClr val="bg1"/>
                  </a:solidFill>
                  <a:latin typeface="Avenir Next LT Pro"/>
                </a:rPr>
                <a:pPr algn="ctr"/>
                <a:t>$7,866</a:t>
              </a:fld>
              <a:endParaRPr lang="en-US" sz="1200" b="0" i="0" u="none" strike="noStrike">
                <a:ln>
                  <a:noFill/>
                </a:ln>
                <a:solidFill>
                  <a:schemeClr val="bg1"/>
                </a:solidFill>
                <a:latin typeface="Avenir Next LT Pro"/>
              </a:endParaRPr>
            </a:p>
          </xdr:txBody>
        </xdr:sp>
        <xdr:sp macro="" textlink="Pivot_tables!CN31">
          <xdr:nvSpPr>
            <xdr:cNvPr id="104" name="TextBox 103">
              <a:extLst>
                <a:ext uri="{FF2B5EF4-FFF2-40B4-BE49-F238E27FC236}">
                  <a16:creationId xmlns:a16="http://schemas.microsoft.com/office/drawing/2014/main" id="{00000000-0008-0000-0200-000068000000}"/>
                </a:ext>
              </a:extLst>
            </xdr:cNvPr>
            <xdr:cNvSpPr txBox="1"/>
          </xdr:nvSpPr>
          <xdr:spPr>
            <a:xfrm>
              <a:off x="7008590" y="6672774"/>
              <a:ext cx="756731"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919EE62-FA8A-4952-84E9-6A5C2727B327}" type="TxLink">
                <a:rPr lang="en-US" sz="1100" b="0" i="0" u="none" strike="noStrike">
                  <a:ln>
                    <a:noFill/>
                  </a:ln>
                  <a:solidFill>
                    <a:schemeClr val="bg1"/>
                  </a:solidFill>
                  <a:latin typeface="Avenir Next LT Pro"/>
                </a:rPr>
                <a:pPr algn="ctr"/>
                <a:t>$4,928</a:t>
              </a:fld>
              <a:endParaRPr lang="en-US" sz="1200" b="0" i="0" u="none" strike="noStrike">
                <a:ln>
                  <a:noFill/>
                </a:ln>
                <a:solidFill>
                  <a:schemeClr val="bg1"/>
                </a:solidFill>
                <a:latin typeface="Avenir Next LT Pro"/>
              </a:endParaRPr>
            </a:p>
          </xdr:txBody>
        </xdr:sp>
        <xdr:sp macro="" textlink="Pivot_tables!CN32">
          <xdr:nvSpPr>
            <xdr:cNvPr id="105" name="TextBox 104">
              <a:extLst>
                <a:ext uri="{FF2B5EF4-FFF2-40B4-BE49-F238E27FC236}">
                  <a16:creationId xmlns:a16="http://schemas.microsoft.com/office/drawing/2014/main" id="{00000000-0008-0000-0200-000069000000}"/>
                </a:ext>
              </a:extLst>
            </xdr:cNvPr>
            <xdr:cNvSpPr txBox="1"/>
          </xdr:nvSpPr>
          <xdr:spPr>
            <a:xfrm>
              <a:off x="7008590" y="6888785"/>
              <a:ext cx="756731"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AF29B52-4680-405E-939A-A92FD27F2ADA}" type="TxLink">
                <a:rPr lang="en-US" sz="1100" b="0" i="0" u="none" strike="noStrike">
                  <a:ln>
                    <a:noFill/>
                  </a:ln>
                  <a:solidFill>
                    <a:schemeClr val="bg1"/>
                  </a:solidFill>
                  <a:latin typeface="Avenir Next LT Pro"/>
                </a:rPr>
                <a:pPr algn="ctr"/>
                <a:t>$11,677</a:t>
              </a:fld>
              <a:endParaRPr lang="en-US" sz="1200" b="0" i="0" u="none" strike="noStrike">
                <a:ln>
                  <a:noFill/>
                </a:ln>
                <a:solidFill>
                  <a:schemeClr val="bg1"/>
                </a:solidFill>
                <a:latin typeface="Avenir Next LT Pro"/>
              </a:endParaRPr>
            </a:p>
          </xdr:txBody>
        </xdr:sp>
      </xdr:grpSp>
    </xdr:grpSp>
    <xdr:clientData/>
  </xdr:twoCellAnchor>
  <xdr:twoCellAnchor>
    <xdr:from>
      <xdr:col>8</xdr:col>
      <xdr:colOff>371474</xdr:colOff>
      <xdr:row>35</xdr:row>
      <xdr:rowOff>62334</xdr:rowOff>
    </xdr:from>
    <xdr:to>
      <xdr:col>14</xdr:col>
      <xdr:colOff>84501</xdr:colOff>
      <xdr:row>41</xdr:row>
      <xdr:rowOff>152399</xdr:rowOff>
    </xdr:to>
    <xdr:grpSp>
      <xdr:nvGrpSpPr>
        <xdr:cNvPr id="112" name="Group 111">
          <a:extLst>
            <a:ext uri="{FF2B5EF4-FFF2-40B4-BE49-F238E27FC236}">
              <a16:creationId xmlns:a16="http://schemas.microsoft.com/office/drawing/2014/main" id="{00000000-0008-0000-0200-000070000000}"/>
            </a:ext>
          </a:extLst>
        </xdr:cNvPr>
        <xdr:cNvGrpSpPr/>
      </xdr:nvGrpSpPr>
      <xdr:grpSpPr>
        <a:xfrm flipH="1">
          <a:off x="5248274" y="5872584"/>
          <a:ext cx="3370627" cy="1061615"/>
          <a:chOff x="13668046" y="6148810"/>
          <a:chExt cx="3372179" cy="978834"/>
        </a:xfrm>
        <a:gradFill>
          <a:gsLst>
            <a:gs pos="0">
              <a:srgbClr val="DC25FA">
                <a:alpha val="20000"/>
              </a:srgbClr>
            </a:gs>
            <a:gs pos="63000">
              <a:srgbClr val="9947F7">
                <a:alpha val="20000"/>
              </a:srgbClr>
            </a:gs>
          </a:gsLst>
          <a:lin ang="3900000" scaled="0"/>
        </a:gradFill>
      </xdr:grpSpPr>
      <xdr:grpSp>
        <xdr:nvGrpSpPr>
          <xdr:cNvPr id="113" name="Group 112">
            <a:extLst>
              <a:ext uri="{FF2B5EF4-FFF2-40B4-BE49-F238E27FC236}">
                <a16:creationId xmlns:a16="http://schemas.microsoft.com/office/drawing/2014/main" id="{00000000-0008-0000-0200-000071000000}"/>
              </a:ext>
            </a:extLst>
          </xdr:cNvPr>
          <xdr:cNvGrpSpPr/>
        </xdr:nvGrpSpPr>
        <xdr:grpSpPr>
          <a:xfrm>
            <a:off x="14424395" y="6148810"/>
            <a:ext cx="2615830" cy="978834"/>
            <a:chOff x="8001224" y="6240779"/>
            <a:chExt cx="720000" cy="864006"/>
          </a:xfrm>
          <a:grpFill/>
        </xdr:grpSpPr>
        <xdr:sp macro="" textlink="Pivot_tables!CS10">
          <xdr:nvSpPr>
            <xdr:cNvPr id="119" name="TextBox 118">
              <a:extLst>
                <a:ext uri="{FF2B5EF4-FFF2-40B4-BE49-F238E27FC236}">
                  <a16:creationId xmlns:a16="http://schemas.microsoft.com/office/drawing/2014/main" id="{00000000-0008-0000-0200-000077000000}"/>
                </a:ext>
              </a:extLst>
            </xdr:cNvPr>
            <xdr:cNvSpPr txBox="1"/>
          </xdr:nvSpPr>
          <xdr:spPr>
            <a:xfrm>
              <a:off x="8001224" y="6240779"/>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ln>
                    <a:noFill/>
                  </a:ln>
                  <a:solidFill>
                    <a:srgbClr val="B1F5F1"/>
                  </a:solidFill>
                  <a:latin typeface="Avenir Next LT Pro"/>
                </a:rPr>
                <a:t>Product Name</a:t>
              </a:r>
            </a:p>
          </xdr:txBody>
        </xdr:sp>
        <xdr:sp macro="" textlink="Pivot_tables!CM6">
          <xdr:nvSpPr>
            <xdr:cNvPr id="120" name="TextBox 119">
              <a:extLst>
                <a:ext uri="{FF2B5EF4-FFF2-40B4-BE49-F238E27FC236}">
                  <a16:creationId xmlns:a16="http://schemas.microsoft.com/office/drawing/2014/main" id="{00000000-0008-0000-0200-000078000000}"/>
                </a:ext>
              </a:extLst>
            </xdr:cNvPr>
            <xdr:cNvSpPr txBox="1"/>
          </xdr:nvSpPr>
          <xdr:spPr>
            <a:xfrm>
              <a:off x="8001224" y="6456783"/>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3B3313D-CBF5-4D65-8427-29BCD958AD2C}" type="TxLink">
                <a:rPr lang="en-US" sz="1100" b="0" i="0" u="none" strike="noStrike">
                  <a:ln>
                    <a:noFill/>
                  </a:ln>
                  <a:solidFill>
                    <a:schemeClr val="bg1"/>
                  </a:solidFill>
                  <a:latin typeface="Avenir Next LT Pro"/>
                </a:rPr>
                <a:pPr algn="l"/>
                <a:t>Fellowes PB500 Electric Punch Plastic Comb Binding Machine with Manual Bind</a:t>
              </a:fld>
              <a:endParaRPr lang="en-US" b="0" i="0" u="none" strike="noStrike">
                <a:ln>
                  <a:noFill/>
                </a:ln>
                <a:solidFill>
                  <a:schemeClr val="bg1"/>
                </a:solidFill>
                <a:latin typeface="Avenir Next LT Pro"/>
              </a:endParaRPr>
            </a:p>
          </xdr:txBody>
        </xdr:sp>
        <xdr:sp macro="" textlink="Pivot_tables!CM7">
          <xdr:nvSpPr>
            <xdr:cNvPr id="121" name="TextBox 120">
              <a:extLst>
                <a:ext uri="{FF2B5EF4-FFF2-40B4-BE49-F238E27FC236}">
                  <a16:creationId xmlns:a16="http://schemas.microsoft.com/office/drawing/2014/main" id="{00000000-0008-0000-0200-000079000000}"/>
                </a:ext>
              </a:extLst>
            </xdr:cNvPr>
            <xdr:cNvSpPr txBox="1"/>
          </xdr:nvSpPr>
          <xdr:spPr>
            <a:xfrm>
              <a:off x="8001224" y="6672774"/>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A24FFA5A-8997-4BD4-89C0-3F359A76A631}" type="TxLink">
                <a:rPr lang="en-US" sz="1100" b="0" i="0" u="none" strike="noStrike">
                  <a:ln>
                    <a:noFill/>
                  </a:ln>
                  <a:solidFill>
                    <a:schemeClr val="bg1"/>
                  </a:solidFill>
                  <a:latin typeface="Avenir Next LT Pro"/>
                </a:rPr>
                <a:pPr algn="l"/>
                <a:t>Global Troy™ Executive Leather Low-Back Tilter</a:t>
              </a:fld>
              <a:endParaRPr lang="en-US" sz="1200" b="0" i="0" u="none" strike="noStrike">
                <a:ln>
                  <a:noFill/>
                </a:ln>
                <a:solidFill>
                  <a:schemeClr val="bg1"/>
                </a:solidFill>
                <a:latin typeface="Avenir Next LT Pro"/>
              </a:endParaRPr>
            </a:p>
          </xdr:txBody>
        </xdr:sp>
        <xdr:sp macro="" textlink="Pivot_tables!CM8">
          <xdr:nvSpPr>
            <xdr:cNvPr id="124" name="TextBox 123">
              <a:extLst>
                <a:ext uri="{FF2B5EF4-FFF2-40B4-BE49-F238E27FC236}">
                  <a16:creationId xmlns:a16="http://schemas.microsoft.com/office/drawing/2014/main" id="{00000000-0008-0000-0200-00007C000000}"/>
                </a:ext>
              </a:extLst>
            </xdr:cNvPr>
            <xdr:cNvSpPr txBox="1"/>
          </xdr:nvSpPr>
          <xdr:spPr>
            <a:xfrm>
              <a:off x="8001224" y="6888785"/>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2D13558-5C59-4D6D-96B5-17ADC2DD72A0}" type="TxLink">
                <a:rPr lang="en-US" sz="1100" b="0" i="0" u="none" strike="noStrike">
                  <a:ln>
                    <a:noFill/>
                  </a:ln>
                  <a:solidFill>
                    <a:schemeClr val="bg1"/>
                  </a:solidFill>
                  <a:latin typeface="Avenir Next LT Pro"/>
                </a:rPr>
                <a:pPr algn="l"/>
                <a:t>Lexmark 4227 Plus Dot Matrix Printer</a:t>
              </a:fld>
              <a:endParaRPr lang="en-US" sz="1200" b="0" i="0" u="none" strike="noStrike">
                <a:ln>
                  <a:noFill/>
                </a:ln>
                <a:solidFill>
                  <a:schemeClr val="bg1"/>
                </a:solidFill>
                <a:latin typeface="Avenir Next LT Pro"/>
              </a:endParaRPr>
            </a:p>
          </xdr:txBody>
        </xdr:sp>
      </xdr:grpSp>
      <xdr:grpSp>
        <xdr:nvGrpSpPr>
          <xdr:cNvPr id="114" name="Group 113">
            <a:extLst>
              <a:ext uri="{FF2B5EF4-FFF2-40B4-BE49-F238E27FC236}">
                <a16:creationId xmlns:a16="http://schemas.microsoft.com/office/drawing/2014/main" id="{00000000-0008-0000-0200-000072000000}"/>
              </a:ext>
            </a:extLst>
          </xdr:cNvPr>
          <xdr:cNvGrpSpPr/>
        </xdr:nvGrpSpPr>
        <xdr:grpSpPr>
          <a:xfrm>
            <a:off x="13668046" y="6148810"/>
            <a:ext cx="756348" cy="978834"/>
            <a:chOff x="6981047" y="6240779"/>
            <a:chExt cx="757079" cy="864006"/>
          </a:xfrm>
          <a:grpFill/>
        </xdr:grpSpPr>
        <xdr:sp macro="" textlink="Pivot_tables!CN5">
          <xdr:nvSpPr>
            <xdr:cNvPr id="115" name="TextBox 114">
              <a:extLst>
                <a:ext uri="{FF2B5EF4-FFF2-40B4-BE49-F238E27FC236}">
                  <a16:creationId xmlns:a16="http://schemas.microsoft.com/office/drawing/2014/main" id="{00000000-0008-0000-0200-000073000000}"/>
                </a:ext>
              </a:extLst>
            </xdr:cNvPr>
            <xdr:cNvSpPr txBox="1"/>
          </xdr:nvSpPr>
          <xdr:spPr>
            <a:xfrm>
              <a:off x="6981047" y="6240779"/>
              <a:ext cx="757078"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091FFCE-E867-41F3-8F06-14DC3B40147D}" type="TxLink">
                <a:rPr lang="en-US" sz="1200" b="0" i="0" u="none" strike="noStrike">
                  <a:ln>
                    <a:noFill/>
                  </a:ln>
                  <a:solidFill>
                    <a:srgbClr val="B1F5F1"/>
                  </a:solidFill>
                  <a:latin typeface="Avenir Next LT Pro"/>
                </a:rPr>
                <a:pPr algn="ctr"/>
                <a:t>Profit</a:t>
              </a:fld>
              <a:endParaRPr lang="en-US" sz="1800" b="0" i="0" u="none" strike="noStrike">
                <a:ln>
                  <a:noFill/>
                </a:ln>
                <a:solidFill>
                  <a:srgbClr val="B1F5F1"/>
                </a:solidFill>
                <a:latin typeface="Avenir Next LT Pro"/>
              </a:endParaRPr>
            </a:p>
          </xdr:txBody>
        </xdr:sp>
        <xdr:sp macro="" textlink="Pivot_tables!CN6">
          <xdr:nvSpPr>
            <xdr:cNvPr id="116" name="TextBox 115">
              <a:extLst>
                <a:ext uri="{FF2B5EF4-FFF2-40B4-BE49-F238E27FC236}">
                  <a16:creationId xmlns:a16="http://schemas.microsoft.com/office/drawing/2014/main" id="{00000000-0008-0000-0200-000074000000}"/>
                </a:ext>
              </a:extLst>
            </xdr:cNvPr>
            <xdr:cNvSpPr txBox="1"/>
          </xdr:nvSpPr>
          <xdr:spPr>
            <a:xfrm>
              <a:off x="6981047" y="6456783"/>
              <a:ext cx="757079"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EC97952-3147-4147-9CB4-CF7275A71E2B}" type="TxLink">
                <a:rPr lang="en-US" sz="1100" b="0" i="0" u="none" strike="noStrike">
                  <a:ln>
                    <a:noFill/>
                  </a:ln>
                  <a:solidFill>
                    <a:schemeClr val="bg1"/>
                  </a:solidFill>
                  <a:latin typeface="Avenir Next LT Pro"/>
                </a:rPr>
                <a:pPr algn="ctr"/>
                <a:t>$23,866</a:t>
              </a:fld>
              <a:endParaRPr lang="en-US" sz="1200" b="0" i="0" u="none" strike="noStrike">
                <a:ln>
                  <a:noFill/>
                </a:ln>
                <a:solidFill>
                  <a:schemeClr val="bg1"/>
                </a:solidFill>
                <a:latin typeface="Avenir Next LT Pro"/>
              </a:endParaRPr>
            </a:p>
          </xdr:txBody>
        </xdr:sp>
        <xdr:sp macro="" textlink="Pivot_tables!CN7">
          <xdr:nvSpPr>
            <xdr:cNvPr id="117" name="TextBox 116">
              <a:extLst>
                <a:ext uri="{FF2B5EF4-FFF2-40B4-BE49-F238E27FC236}">
                  <a16:creationId xmlns:a16="http://schemas.microsoft.com/office/drawing/2014/main" id="{00000000-0008-0000-0200-000075000000}"/>
                </a:ext>
              </a:extLst>
            </xdr:cNvPr>
            <xdr:cNvSpPr txBox="1"/>
          </xdr:nvSpPr>
          <xdr:spPr>
            <a:xfrm>
              <a:off x="6981047" y="6672774"/>
              <a:ext cx="757079"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A973AC-B74B-4D76-B269-01B69F260BF0}" type="TxLink">
                <a:rPr lang="en-US" sz="1100" b="0" i="0" u="none" strike="noStrike">
                  <a:ln>
                    <a:noFill/>
                  </a:ln>
                  <a:solidFill>
                    <a:schemeClr val="bg1"/>
                  </a:solidFill>
                  <a:latin typeface="Avenir Next LT Pro"/>
                </a:rPr>
                <a:pPr algn="ctr"/>
                <a:t>$18,628</a:t>
              </a:fld>
              <a:endParaRPr lang="en-US" sz="1200" b="0" i="0" u="none" strike="noStrike">
                <a:ln>
                  <a:noFill/>
                </a:ln>
                <a:solidFill>
                  <a:schemeClr val="bg1"/>
                </a:solidFill>
                <a:latin typeface="Avenir Next LT Pro"/>
              </a:endParaRPr>
            </a:p>
          </xdr:txBody>
        </xdr:sp>
        <xdr:sp macro="" textlink="Pivot_tables!CN8">
          <xdr:nvSpPr>
            <xdr:cNvPr id="118" name="TextBox 117">
              <a:extLst>
                <a:ext uri="{FF2B5EF4-FFF2-40B4-BE49-F238E27FC236}">
                  <a16:creationId xmlns:a16="http://schemas.microsoft.com/office/drawing/2014/main" id="{00000000-0008-0000-0200-000076000000}"/>
                </a:ext>
              </a:extLst>
            </xdr:cNvPr>
            <xdr:cNvSpPr txBox="1"/>
          </xdr:nvSpPr>
          <xdr:spPr>
            <a:xfrm>
              <a:off x="6981047" y="6888785"/>
              <a:ext cx="757079"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FF14D34-5FD7-40AF-AFD8-9AE8BFAD242C}" type="TxLink">
                <a:rPr lang="en-US" sz="1100" b="0" i="0" u="none" strike="noStrike">
                  <a:ln>
                    <a:noFill/>
                  </a:ln>
                  <a:solidFill>
                    <a:schemeClr val="bg1"/>
                  </a:solidFill>
                  <a:latin typeface="Avenir Next LT Pro"/>
                </a:rPr>
                <a:pPr algn="ctr"/>
                <a:t>$3,700</a:t>
              </a:fld>
              <a:endParaRPr lang="en-US" sz="1200" b="0" i="0" u="none" strike="noStrike">
                <a:ln>
                  <a:noFill/>
                </a:ln>
                <a:solidFill>
                  <a:schemeClr val="bg1"/>
                </a:solidFill>
                <a:latin typeface="Avenir Next LT Pro"/>
              </a:endParaRPr>
            </a:p>
          </xdr:txBody>
        </xdr:sp>
      </xdr:grpSp>
    </xdr:grpSp>
    <xdr:clientData/>
  </xdr:twoCellAnchor>
  <xdr:twoCellAnchor>
    <xdr:from>
      <xdr:col>1</xdr:col>
      <xdr:colOff>428624</xdr:colOff>
      <xdr:row>37</xdr:row>
      <xdr:rowOff>33759</xdr:rowOff>
    </xdr:from>
    <xdr:to>
      <xdr:col>7</xdr:col>
      <xdr:colOff>141651</xdr:colOff>
      <xdr:row>43</xdr:row>
      <xdr:rowOff>123824</xdr:rowOff>
    </xdr:to>
    <xdr:grpSp>
      <xdr:nvGrpSpPr>
        <xdr:cNvPr id="3072" name="Group 3071">
          <a:extLst>
            <a:ext uri="{FF2B5EF4-FFF2-40B4-BE49-F238E27FC236}">
              <a16:creationId xmlns:a16="http://schemas.microsoft.com/office/drawing/2014/main" id="{00000000-0008-0000-0200-0000000C0000}"/>
            </a:ext>
          </a:extLst>
        </xdr:cNvPr>
        <xdr:cNvGrpSpPr/>
      </xdr:nvGrpSpPr>
      <xdr:grpSpPr>
        <a:xfrm flipH="1">
          <a:off x="1038224" y="6167859"/>
          <a:ext cx="3370627" cy="1061615"/>
          <a:chOff x="13668046" y="6148810"/>
          <a:chExt cx="3372179" cy="978834"/>
        </a:xfrm>
        <a:gradFill>
          <a:gsLst>
            <a:gs pos="0">
              <a:srgbClr val="DC25FA">
                <a:alpha val="20000"/>
              </a:srgbClr>
            </a:gs>
            <a:gs pos="63000">
              <a:srgbClr val="9947F7">
                <a:alpha val="20000"/>
              </a:srgbClr>
            </a:gs>
          </a:gsLst>
          <a:lin ang="3900000" scaled="0"/>
        </a:gradFill>
      </xdr:grpSpPr>
      <xdr:grpSp>
        <xdr:nvGrpSpPr>
          <xdr:cNvPr id="3076" name="Group 3075">
            <a:extLst>
              <a:ext uri="{FF2B5EF4-FFF2-40B4-BE49-F238E27FC236}">
                <a16:creationId xmlns:a16="http://schemas.microsoft.com/office/drawing/2014/main" id="{00000000-0008-0000-0200-0000040C0000}"/>
              </a:ext>
            </a:extLst>
          </xdr:cNvPr>
          <xdr:cNvGrpSpPr/>
        </xdr:nvGrpSpPr>
        <xdr:grpSpPr>
          <a:xfrm>
            <a:off x="14424395" y="6148810"/>
            <a:ext cx="2615830" cy="978834"/>
            <a:chOff x="8001224" y="6240779"/>
            <a:chExt cx="720000" cy="864006"/>
          </a:xfrm>
          <a:grpFill/>
        </xdr:grpSpPr>
        <xdr:sp macro="" textlink="Pivot_tables!CS10">
          <xdr:nvSpPr>
            <xdr:cNvPr id="3082" name="TextBox 3081">
              <a:extLst>
                <a:ext uri="{FF2B5EF4-FFF2-40B4-BE49-F238E27FC236}">
                  <a16:creationId xmlns:a16="http://schemas.microsoft.com/office/drawing/2014/main" id="{00000000-0008-0000-0200-00000A0C0000}"/>
                </a:ext>
              </a:extLst>
            </xdr:cNvPr>
            <xdr:cNvSpPr txBox="1"/>
          </xdr:nvSpPr>
          <xdr:spPr>
            <a:xfrm>
              <a:off x="8001224" y="6240779"/>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ln>
                    <a:noFill/>
                  </a:ln>
                  <a:solidFill>
                    <a:srgbClr val="B1F5F1"/>
                  </a:solidFill>
                  <a:latin typeface="Avenir Next LT Pro"/>
                </a:rPr>
                <a:t>Product Name</a:t>
              </a:r>
            </a:p>
          </xdr:txBody>
        </xdr:sp>
        <xdr:sp macro="" textlink="Pivot_tables!CM18">
          <xdr:nvSpPr>
            <xdr:cNvPr id="3086" name="TextBox 3085">
              <a:extLst>
                <a:ext uri="{FF2B5EF4-FFF2-40B4-BE49-F238E27FC236}">
                  <a16:creationId xmlns:a16="http://schemas.microsoft.com/office/drawing/2014/main" id="{00000000-0008-0000-0200-00000E0C0000}"/>
                </a:ext>
              </a:extLst>
            </xdr:cNvPr>
            <xdr:cNvSpPr txBox="1"/>
          </xdr:nvSpPr>
          <xdr:spPr>
            <a:xfrm>
              <a:off x="8001224" y="6456783"/>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C1710F0-06E9-40C2-81E9-45DB4DCB12EF}" type="TxLink">
                <a:rPr lang="en-US" sz="1100" b="0" i="0" u="none" strike="noStrike">
                  <a:ln>
                    <a:noFill/>
                  </a:ln>
                  <a:solidFill>
                    <a:schemeClr val="bg1"/>
                  </a:solidFill>
                  <a:latin typeface="Avenir Next LT Pro"/>
                </a:rPr>
                <a:pPr algn="l"/>
                <a:t>Polycom ViewStation™ ISDN Videoconferencing Unit</a:t>
              </a:fld>
              <a:endParaRPr lang="en-US" sz="1200" b="0" i="0" u="none" strike="noStrike">
                <a:ln>
                  <a:noFill/>
                </a:ln>
                <a:solidFill>
                  <a:schemeClr val="bg1"/>
                </a:solidFill>
                <a:latin typeface="Avenir Next LT Pro"/>
              </a:endParaRPr>
            </a:p>
          </xdr:txBody>
        </xdr:sp>
        <xdr:sp macro="" textlink="Pivot_tables!CM19">
          <xdr:nvSpPr>
            <xdr:cNvPr id="3087" name="TextBox 3086">
              <a:extLst>
                <a:ext uri="{FF2B5EF4-FFF2-40B4-BE49-F238E27FC236}">
                  <a16:creationId xmlns:a16="http://schemas.microsoft.com/office/drawing/2014/main" id="{00000000-0008-0000-0200-00000F0C0000}"/>
                </a:ext>
              </a:extLst>
            </xdr:cNvPr>
            <xdr:cNvSpPr txBox="1"/>
          </xdr:nvSpPr>
          <xdr:spPr>
            <a:xfrm>
              <a:off x="8001224" y="6672774"/>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E99C1D6-CB75-4C11-8200-3CBCDD5A09A7}" type="TxLink">
                <a:rPr lang="en-US" sz="1100" b="0" i="0" u="none" strike="noStrike">
                  <a:ln>
                    <a:noFill/>
                  </a:ln>
                  <a:solidFill>
                    <a:schemeClr val="bg1"/>
                  </a:solidFill>
                  <a:latin typeface="Avenir Next LT Pro"/>
                </a:rPr>
                <a:pPr algn="l"/>
                <a:t>5165</a:t>
              </a:fld>
              <a:endParaRPr lang="en-US" sz="1200" b="0" i="0" u="none" strike="noStrike">
                <a:ln>
                  <a:noFill/>
                </a:ln>
                <a:solidFill>
                  <a:schemeClr val="bg1"/>
                </a:solidFill>
                <a:latin typeface="Avenir Next LT Pro"/>
              </a:endParaRPr>
            </a:p>
          </xdr:txBody>
        </xdr:sp>
        <xdr:sp macro="" textlink="Pivot_tables!CM20">
          <xdr:nvSpPr>
            <xdr:cNvPr id="3088" name="TextBox 3087">
              <a:extLst>
                <a:ext uri="{FF2B5EF4-FFF2-40B4-BE49-F238E27FC236}">
                  <a16:creationId xmlns:a16="http://schemas.microsoft.com/office/drawing/2014/main" id="{00000000-0008-0000-0200-0000100C0000}"/>
                </a:ext>
              </a:extLst>
            </xdr:cNvPr>
            <xdr:cNvSpPr txBox="1"/>
          </xdr:nvSpPr>
          <xdr:spPr>
            <a:xfrm>
              <a:off x="8001224" y="6888785"/>
              <a:ext cx="720000"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30A04A2C-4CB3-414F-9B83-6F25C573501D}" type="TxLink">
                <a:rPr lang="en-US" sz="1100" b="0" i="0" u="none" strike="noStrike">
                  <a:ln>
                    <a:noFill/>
                  </a:ln>
                  <a:solidFill>
                    <a:schemeClr val="bg1"/>
                  </a:solidFill>
                  <a:latin typeface="Avenir Next LT Pro"/>
                </a:rPr>
                <a:pPr algn="l"/>
                <a:t>Okidata Pacemark 4410N Wide Format Dot Matrix Printer</a:t>
              </a:fld>
              <a:endParaRPr lang="en-US" sz="1200" b="0" i="0" u="none" strike="noStrike">
                <a:ln>
                  <a:noFill/>
                </a:ln>
                <a:solidFill>
                  <a:schemeClr val="bg1"/>
                </a:solidFill>
                <a:latin typeface="Avenir Next LT Pro"/>
              </a:endParaRPr>
            </a:p>
          </xdr:txBody>
        </xdr:sp>
      </xdr:grpSp>
      <xdr:grpSp>
        <xdr:nvGrpSpPr>
          <xdr:cNvPr id="3077" name="Group 3076">
            <a:extLst>
              <a:ext uri="{FF2B5EF4-FFF2-40B4-BE49-F238E27FC236}">
                <a16:creationId xmlns:a16="http://schemas.microsoft.com/office/drawing/2014/main" id="{00000000-0008-0000-0200-0000050C0000}"/>
              </a:ext>
            </a:extLst>
          </xdr:cNvPr>
          <xdr:cNvGrpSpPr/>
        </xdr:nvGrpSpPr>
        <xdr:grpSpPr>
          <a:xfrm>
            <a:off x="13668046" y="6148810"/>
            <a:ext cx="756348" cy="978834"/>
            <a:chOff x="6981047" y="6240779"/>
            <a:chExt cx="757079" cy="864006"/>
          </a:xfrm>
          <a:grpFill/>
        </xdr:grpSpPr>
        <xdr:sp macro="" textlink="Pivot_tables!CN17">
          <xdr:nvSpPr>
            <xdr:cNvPr id="3078" name="TextBox 3077">
              <a:extLst>
                <a:ext uri="{FF2B5EF4-FFF2-40B4-BE49-F238E27FC236}">
                  <a16:creationId xmlns:a16="http://schemas.microsoft.com/office/drawing/2014/main" id="{00000000-0008-0000-0200-0000060C0000}"/>
                </a:ext>
              </a:extLst>
            </xdr:cNvPr>
            <xdr:cNvSpPr txBox="1"/>
          </xdr:nvSpPr>
          <xdr:spPr>
            <a:xfrm>
              <a:off x="6981047" y="6240779"/>
              <a:ext cx="757078"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0F66A69-CAB5-4E2C-972A-1DCD0567D12E}" type="TxLink">
                <a:rPr lang="en-US" sz="1200" b="0" i="0" u="none" strike="noStrike">
                  <a:ln>
                    <a:noFill/>
                  </a:ln>
                  <a:solidFill>
                    <a:srgbClr val="B1F5F1"/>
                  </a:solidFill>
                  <a:latin typeface="Avenir Next LT Pro"/>
                </a:rPr>
                <a:pPr algn="ctr"/>
                <a:t>Profit</a:t>
              </a:fld>
              <a:endParaRPr lang="en-US" sz="1600" b="0" i="0" u="none" strike="noStrike">
                <a:ln>
                  <a:noFill/>
                </a:ln>
                <a:solidFill>
                  <a:srgbClr val="B1F5F1"/>
                </a:solidFill>
                <a:latin typeface="Avenir Next LT Pro"/>
              </a:endParaRPr>
            </a:p>
          </xdr:txBody>
        </xdr:sp>
        <xdr:sp macro="" textlink="Pivot_tables!CN18">
          <xdr:nvSpPr>
            <xdr:cNvPr id="3079" name="TextBox 3078">
              <a:extLst>
                <a:ext uri="{FF2B5EF4-FFF2-40B4-BE49-F238E27FC236}">
                  <a16:creationId xmlns:a16="http://schemas.microsoft.com/office/drawing/2014/main" id="{00000000-0008-0000-0200-0000070C0000}"/>
                </a:ext>
              </a:extLst>
            </xdr:cNvPr>
            <xdr:cNvSpPr txBox="1"/>
          </xdr:nvSpPr>
          <xdr:spPr>
            <a:xfrm>
              <a:off x="6981047" y="6456783"/>
              <a:ext cx="757079"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0861CD3-4D3F-4DF7-AE10-BAF59EED3C92}" type="TxLink">
                <a:rPr lang="en-US" sz="1100" b="0" i="0" u="none" strike="noStrike">
                  <a:ln>
                    <a:noFill/>
                  </a:ln>
                  <a:solidFill>
                    <a:schemeClr val="bg1"/>
                  </a:solidFill>
                  <a:latin typeface="Avenir Next LT Pro"/>
                </a:rPr>
                <a:pPr algn="ctr"/>
                <a:t>-$27,621</a:t>
              </a:fld>
              <a:endParaRPr lang="en-US" sz="1200" b="0" i="0" u="none" strike="noStrike">
                <a:ln>
                  <a:noFill/>
                </a:ln>
                <a:solidFill>
                  <a:schemeClr val="bg1"/>
                </a:solidFill>
                <a:latin typeface="Avenir Next LT Pro"/>
              </a:endParaRPr>
            </a:p>
          </xdr:txBody>
        </xdr:sp>
        <xdr:sp macro="" textlink="Pivot_tables!CN19">
          <xdr:nvSpPr>
            <xdr:cNvPr id="3080" name="TextBox 3079">
              <a:extLst>
                <a:ext uri="{FF2B5EF4-FFF2-40B4-BE49-F238E27FC236}">
                  <a16:creationId xmlns:a16="http://schemas.microsoft.com/office/drawing/2014/main" id="{00000000-0008-0000-0200-0000080C0000}"/>
                </a:ext>
              </a:extLst>
            </xdr:cNvPr>
            <xdr:cNvSpPr txBox="1"/>
          </xdr:nvSpPr>
          <xdr:spPr>
            <a:xfrm>
              <a:off x="6981047" y="6672774"/>
              <a:ext cx="757079"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C58C3EA-AE6B-4687-8E38-C8F24C23747F}" type="TxLink">
                <a:rPr lang="en-US" sz="1100" b="0" i="0" u="none" strike="noStrike">
                  <a:ln>
                    <a:noFill/>
                  </a:ln>
                  <a:solidFill>
                    <a:schemeClr val="bg1"/>
                  </a:solidFill>
                  <a:latin typeface="Avenir Next LT Pro"/>
                </a:rPr>
                <a:pPr algn="ctr"/>
                <a:t>-$12,549</a:t>
              </a:fld>
              <a:endParaRPr lang="en-US" sz="1200" b="0" i="0" u="none" strike="noStrike">
                <a:ln>
                  <a:noFill/>
                </a:ln>
                <a:solidFill>
                  <a:schemeClr val="bg1"/>
                </a:solidFill>
                <a:latin typeface="Avenir Next LT Pro"/>
              </a:endParaRPr>
            </a:p>
          </xdr:txBody>
        </xdr:sp>
        <xdr:sp macro="" textlink="Pivot_tables!CN20">
          <xdr:nvSpPr>
            <xdr:cNvPr id="3081" name="TextBox 3080">
              <a:extLst>
                <a:ext uri="{FF2B5EF4-FFF2-40B4-BE49-F238E27FC236}">
                  <a16:creationId xmlns:a16="http://schemas.microsoft.com/office/drawing/2014/main" id="{00000000-0008-0000-0200-0000090C0000}"/>
                </a:ext>
              </a:extLst>
            </xdr:cNvPr>
            <xdr:cNvSpPr txBox="1"/>
          </xdr:nvSpPr>
          <xdr:spPr>
            <a:xfrm>
              <a:off x="6981047" y="6888785"/>
              <a:ext cx="757079" cy="216000"/>
            </a:xfrm>
            <a:prstGeom prst="rect">
              <a:avLst/>
            </a:prstGeom>
            <a:grp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1320FA-8CDE-400A-A19C-1957F49DD7EB}" type="TxLink">
                <a:rPr lang="en-US" sz="1100" b="0" i="0" u="none" strike="noStrike">
                  <a:ln>
                    <a:noFill/>
                  </a:ln>
                  <a:solidFill>
                    <a:schemeClr val="bg1"/>
                  </a:solidFill>
                  <a:latin typeface="Avenir Next LT Pro"/>
                </a:rPr>
                <a:pPr algn="ctr"/>
                <a:t>-$11,000</a:t>
              </a:fld>
              <a:endParaRPr lang="en-US" sz="1200" b="0" i="0" u="none" strike="noStrike">
                <a:ln>
                  <a:noFill/>
                </a:ln>
                <a:solidFill>
                  <a:schemeClr val="bg1"/>
                </a:solidFill>
                <a:latin typeface="Avenir Next LT Pro"/>
              </a:endParaRPr>
            </a:p>
          </xdr:txBody>
        </xdr:sp>
      </xdr:grpSp>
    </xdr:grpSp>
    <xdr:clientData/>
  </xdr:twoCellAnchor>
  <xdr:twoCellAnchor>
    <xdr:from>
      <xdr:col>11</xdr:col>
      <xdr:colOff>190501</xdr:colOff>
      <xdr:row>42</xdr:row>
      <xdr:rowOff>28575</xdr:rowOff>
    </xdr:from>
    <xdr:to>
      <xdr:col>13</xdr:col>
      <xdr:colOff>519301</xdr:colOff>
      <xdr:row>43</xdr:row>
      <xdr:rowOff>118650</xdr:rowOff>
    </xdr:to>
    <xdr:sp macro="" textlink="">
      <xdr:nvSpPr>
        <xdr:cNvPr id="3089" name="TextBox 3088">
          <a:extLst>
            <a:ext uri="{FF2B5EF4-FFF2-40B4-BE49-F238E27FC236}">
              <a16:creationId xmlns:a16="http://schemas.microsoft.com/office/drawing/2014/main" id="{00000000-0008-0000-0200-0000110C0000}"/>
            </a:ext>
          </a:extLst>
        </xdr:cNvPr>
        <xdr:cNvSpPr txBox="1"/>
      </xdr:nvSpPr>
      <xdr:spPr>
        <a:xfrm>
          <a:off x="6896101" y="6972300"/>
          <a:ext cx="1548000"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cap="none" spc="0">
              <a:ln w="0"/>
              <a:solidFill>
                <a:srgbClr val="B1F5F1"/>
              </a:solidFill>
              <a:effectLst>
                <a:outerShdw blurRad="38100" dist="25400" dir="5400000" algn="ctr" rotWithShape="0">
                  <a:srgbClr val="6E747A">
                    <a:alpha val="43000"/>
                  </a:srgbClr>
                </a:outerShdw>
              </a:effectLst>
              <a:latin typeface="Avenir Next LT Pro"/>
            </a:rPr>
            <a:t>Products</a:t>
          </a:r>
        </a:p>
      </xdr:txBody>
    </xdr:sp>
    <xdr:clientData/>
  </xdr:twoCellAnchor>
  <xdr:twoCellAnchor>
    <xdr:from>
      <xdr:col>4</xdr:col>
      <xdr:colOff>257176</xdr:colOff>
      <xdr:row>43</xdr:row>
      <xdr:rowOff>152400</xdr:rowOff>
    </xdr:from>
    <xdr:to>
      <xdr:col>6</xdr:col>
      <xdr:colOff>585976</xdr:colOff>
      <xdr:row>45</xdr:row>
      <xdr:rowOff>80550</xdr:rowOff>
    </xdr:to>
    <xdr:sp macro="" textlink="">
      <xdr:nvSpPr>
        <xdr:cNvPr id="3090" name="TextBox 3089">
          <a:extLst>
            <a:ext uri="{FF2B5EF4-FFF2-40B4-BE49-F238E27FC236}">
              <a16:creationId xmlns:a16="http://schemas.microsoft.com/office/drawing/2014/main" id="{00000000-0008-0000-0200-0000120C0000}"/>
            </a:ext>
          </a:extLst>
        </xdr:cNvPr>
        <xdr:cNvSpPr txBox="1"/>
      </xdr:nvSpPr>
      <xdr:spPr>
        <a:xfrm>
          <a:off x="2695576" y="7258050"/>
          <a:ext cx="1548000"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cap="none" spc="0">
              <a:ln w="0"/>
              <a:solidFill>
                <a:srgbClr val="B1F5F1"/>
              </a:solidFill>
              <a:effectLst>
                <a:outerShdw blurRad="38100" dist="25400" dir="5400000" algn="ctr" rotWithShape="0">
                  <a:srgbClr val="6E747A">
                    <a:alpha val="43000"/>
                  </a:srgbClr>
                </a:outerShdw>
              </a:effectLst>
              <a:latin typeface="Avenir Next LT Pro"/>
            </a:rPr>
            <a:t>Products</a:t>
          </a:r>
        </a:p>
      </xdr:txBody>
    </xdr:sp>
    <xdr:clientData/>
  </xdr:twoCellAnchor>
  <xdr:twoCellAnchor>
    <xdr:from>
      <xdr:col>15</xdr:col>
      <xdr:colOff>514351</xdr:colOff>
      <xdr:row>42</xdr:row>
      <xdr:rowOff>28575</xdr:rowOff>
    </xdr:from>
    <xdr:to>
      <xdr:col>18</xdr:col>
      <xdr:colOff>233551</xdr:colOff>
      <xdr:row>43</xdr:row>
      <xdr:rowOff>118650</xdr:rowOff>
    </xdr:to>
    <xdr:sp macro="" textlink="">
      <xdr:nvSpPr>
        <xdr:cNvPr id="3091" name="TextBox 3090">
          <a:extLst>
            <a:ext uri="{FF2B5EF4-FFF2-40B4-BE49-F238E27FC236}">
              <a16:creationId xmlns:a16="http://schemas.microsoft.com/office/drawing/2014/main" id="{00000000-0008-0000-0200-0000130C0000}"/>
            </a:ext>
          </a:extLst>
        </xdr:cNvPr>
        <xdr:cNvSpPr txBox="1"/>
      </xdr:nvSpPr>
      <xdr:spPr>
        <a:xfrm>
          <a:off x="9658351" y="6972300"/>
          <a:ext cx="1548000"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cap="none" spc="0">
              <a:ln w="0"/>
              <a:solidFill>
                <a:srgbClr val="B1F5F1"/>
              </a:solidFill>
              <a:effectLst>
                <a:outerShdw blurRad="38100" dist="25400" dir="5400000" algn="ctr" rotWithShape="0">
                  <a:srgbClr val="6E747A">
                    <a:alpha val="43000"/>
                  </a:srgbClr>
                </a:outerShdw>
              </a:effectLst>
              <a:latin typeface="Avenir Next LT Pro"/>
            </a:rPr>
            <a:t>Cities</a:t>
          </a:r>
        </a:p>
      </xdr:txBody>
    </xdr:sp>
    <xdr:clientData/>
  </xdr:twoCellAnchor>
  <xdr:twoCellAnchor>
    <xdr:from>
      <xdr:col>22</xdr:col>
      <xdr:colOff>495301</xdr:colOff>
      <xdr:row>44</xdr:row>
      <xdr:rowOff>0</xdr:rowOff>
    </xdr:from>
    <xdr:to>
      <xdr:col>25</xdr:col>
      <xdr:colOff>214501</xdr:colOff>
      <xdr:row>45</xdr:row>
      <xdr:rowOff>90075</xdr:rowOff>
    </xdr:to>
    <xdr:sp macro="" textlink="">
      <xdr:nvSpPr>
        <xdr:cNvPr id="3092" name="TextBox 3091">
          <a:extLst>
            <a:ext uri="{FF2B5EF4-FFF2-40B4-BE49-F238E27FC236}">
              <a16:creationId xmlns:a16="http://schemas.microsoft.com/office/drawing/2014/main" id="{00000000-0008-0000-0200-0000140C0000}"/>
            </a:ext>
          </a:extLst>
        </xdr:cNvPr>
        <xdr:cNvSpPr txBox="1"/>
      </xdr:nvSpPr>
      <xdr:spPr>
        <a:xfrm>
          <a:off x="13906501" y="7267575"/>
          <a:ext cx="1548000"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cap="none" spc="0">
              <a:ln w="0"/>
              <a:solidFill>
                <a:srgbClr val="B1F5F1"/>
              </a:solidFill>
              <a:effectLst>
                <a:outerShdw blurRad="38100" dist="25400" dir="5400000" algn="ctr" rotWithShape="0">
                  <a:srgbClr val="6E747A">
                    <a:alpha val="43000"/>
                  </a:srgbClr>
                </a:outerShdw>
              </a:effectLst>
              <a:latin typeface="Avenir Next LT Pro"/>
            </a:rPr>
            <a:t>Cities</a:t>
          </a:r>
        </a:p>
      </xdr:txBody>
    </xdr:sp>
    <xdr:clientData/>
  </xdr:twoCellAnchor>
  <xdr:twoCellAnchor>
    <xdr:from>
      <xdr:col>5</xdr:col>
      <xdr:colOff>100275</xdr:colOff>
      <xdr:row>33</xdr:row>
      <xdr:rowOff>161924</xdr:rowOff>
    </xdr:from>
    <xdr:to>
      <xdr:col>7</xdr:col>
      <xdr:colOff>143476</xdr:colOff>
      <xdr:row>37</xdr:row>
      <xdr:rowOff>19050</xdr:rowOff>
    </xdr:to>
    <xdr:grpSp>
      <xdr:nvGrpSpPr>
        <xdr:cNvPr id="3137" name="Group 3136">
          <a:extLst>
            <a:ext uri="{FF2B5EF4-FFF2-40B4-BE49-F238E27FC236}">
              <a16:creationId xmlns:a16="http://schemas.microsoft.com/office/drawing/2014/main" id="{00000000-0008-0000-0200-0000410C0000}"/>
            </a:ext>
          </a:extLst>
        </xdr:cNvPr>
        <xdr:cNvGrpSpPr/>
      </xdr:nvGrpSpPr>
      <xdr:grpSpPr>
        <a:xfrm>
          <a:off x="3148275" y="5648324"/>
          <a:ext cx="1262401" cy="504826"/>
          <a:chOff x="3148275" y="5657849"/>
          <a:chExt cx="1262401" cy="504826"/>
        </a:xfrm>
      </xdr:grpSpPr>
      <xdr:sp macro="" textlink="">
        <xdr:nvSpPr>
          <xdr:cNvPr id="127" name="TextBox 126">
            <a:extLst>
              <a:ext uri="{FF2B5EF4-FFF2-40B4-BE49-F238E27FC236}">
                <a16:creationId xmlns:a16="http://schemas.microsoft.com/office/drawing/2014/main" id="{00000000-0008-0000-0200-00007F000000}"/>
              </a:ext>
            </a:extLst>
          </xdr:cNvPr>
          <xdr:cNvSpPr txBox="1"/>
        </xdr:nvSpPr>
        <xdr:spPr>
          <a:xfrm>
            <a:off x="3324226" y="5657849"/>
            <a:ext cx="1086450" cy="504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200" b="0" i="0" u="none" strike="noStrike" cap="none" spc="0">
                <a:ln w="0"/>
                <a:solidFill>
                  <a:srgbClr val="B1F5F1"/>
                </a:solidFill>
                <a:effectLst>
                  <a:outerShdw blurRad="38100" dist="25400" dir="5400000" algn="ctr" rotWithShape="0">
                    <a:srgbClr val="6E747A">
                      <a:alpha val="43000"/>
                    </a:srgbClr>
                  </a:outerShdw>
                </a:effectLst>
                <a:latin typeface="Avenir Next LT Pro"/>
              </a:rPr>
              <a:t>Least Performers</a:t>
            </a:r>
          </a:p>
        </xdr:txBody>
      </xdr:sp>
      <xdr:pic>
        <xdr:nvPicPr>
          <xdr:cNvPr id="3136" name="Picture 3135" descr="Free: This Is Where You Start To See The Real Secrets - Transparent Performance  Icon - nohat.cc">
            <a:extLst>
              <a:ext uri="{FF2B5EF4-FFF2-40B4-BE49-F238E27FC236}">
                <a16:creationId xmlns:a16="http://schemas.microsoft.com/office/drawing/2014/main" id="{00000000-0008-0000-0200-0000400C0000}"/>
              </a:ext>
            </a:extLst>
          </xdr:cNvPr>
          <xdr:cNvPicPr>
            <a:picLocks noChangeAspect="1" noChangeArrowheads="1"/>
          </xdr:cNvPicPr>
        </xdr:nvPicPr>
        <xdr:blipFill rotWithShape="1">
          <a:blip xmlns:r="http://schemas.openxmlformats.org/officeDocument/2006/relationships" r:embed="rId12" cstate="print">
            <a:duotone>
              <a:prstClr val="black"/>
              <a:srgbClr val="CC00CC">
                <a:tint val="45000"/>
                <a:satMod val="400000"/>
              </a:srgbClr>
            </a:duotone>
            <a:extLst>
              <a:ext uri="{BEBA8EAE-BF5A-486C-A8C5-ECC9F3942E4B}">
                <a14:imgProps xmlns:a14="http://schemas.microsoft.com/office/drawing/2010/main">
                  <a14:imgLayer r:embed="rId13">
                    <a14:imgEffect>
                      <a14:backgroundRemoval t="10000" b="90000" l="10000" r="90000"/>
                    </a14:imgEffect>
                  </a14:imgLayer>
                </a14:imgProps>
              </a:ext>
              <a:ext uri="{28A0092B-C50C-407E-A947-70E740481C1C}">
                <a14:useLocalDpi xmlns:a14="http://schemas.microsoft.com/office/drawing/2010/main" val="0"/>
              </a:ext>
            </a:extLst>
          </a:blip>
          <a:srcRect l="21356" t="4679" r="17966" b="19883"/>
          <a:stretch/>
        </xdr:blipFill>
        <xdr:spPr bwMode="auto">
          <a:xfrm rot="10800000">
            <a:off x="3148275" y="5702709"/>
            <a:ext cx="576000" cy="41510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22</xdr:col>
      <xdr:colOff>276226</xdr:colOff>
      <xdr:row>33</xdr:row>
      <xdr:rowOff>161924</xdr:rowOff>
    </xdr:from>
    <xdr:to>
      <xdr:col>24</xdr:col>
      <xdr:colOff>320626</xdr:colOff>
      <xdr:row>37</xdr:row>
      <xdr:rowOff>19050</xdr:rowOff>
    </xdr:to>
    <xdr:grpSp>
      <xdr:nvGrpSpPr>
        <xdr:cNvPr id="3138" name="Group 3137">
          <a:extLst>
            <a:ext uri="{FF2B5EF4-FFF2-40B4-BE49-F238E27FC236}">
              <a16:creationId xmlns:a16="http://schemas.microsoft.com/office/drawing/2014/main" id="{00000000-0008-0000-0200-0000420C0000}"/>
            </a:ext>
          </a:extLst>
        </xdr:cNvPr>
        <xdr:cNvGrpSpPr/>
      </xdr:nvGrpSpPr>
      <xdr:grpSpPr>
        <a:xfrm flipH="1">
          <a:off x="13687426" y="5648324"/>
          <a:ext cx="1263600" cy="504826"/>
          <a:chOff x="3148275" y="5657849"/>
          <a:chExt cx="1262401" cy="504826"/>
        </a:xfrm>
      </xdr:grpSpPr>
      <xdr:sp macro="" textlink="">
        <xdr:nvSpPr>
          <xdr:cNvPr id="3139" name="TextBox 3138">
            <a:extLst>
              <a:ext uri="{FF2B5EF4-FFF2-40B4-BE49-F238E27FC236}">
                <a16:creationId xmlns:a16="http://schemas.microsoft.com/office/drawing/2014/main" id="{00000000-0008-0000-0200-0000430C0000}"/>
              </a:ext>
            </a:extLst>
          </xdr:cNvPr>
          <xdr:cNvSpPr txBox="1"/>
        </xdr:nvSpPr>
        <xdr:spPr>
          <a:xfrm>
            <a:off x="3324226" y="5657849"/>
            <a:ext cx="1086450" cy="504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cap="none" spc="0">
                <a:ln w="0"/>
                <a:solidFill>
                  <a:srgbClr val="B1F5F1"/>
                </a:solidFill>
                <a:effectLst>
                  <a:outerShdw blurRad="38100" dist="25400" dir="5400000" algn="ctr" rotWithShape="0">
                    <a:srgbClr val="6E747A">
                      <a:alpha val="43000"/>
                    </a:srgbClr>
                  </a:outerShdw>
                </a:effectLst>
                <a:latin typeface="Avenir Next LT Pro"/>
              </a:rPr>
              <a:t>Least Performers</a:t>
            </a:r>
          </a:p>
        </xdr:txBody>
      </xdr:sp>
      <xdr:pic>
        <xdr:nvPicPr>
          <xdr:cNvPr id="3140" name="Picture 3139" descr="Free: This Is Where You Start To See The Real Secrets - Transparent Performance  Icon - nohat.cc">
            <a:extLst>
              <a:ext uri="{FF2B5EF4-FFF2-40B4-BE49-F238E27FC236}">
                <a16:creationId xmlns:a16="http://schemas.microsoft.com/office/drawing/2014/main" id="{00000000-0008-0000-0200-0000440C0000}"/>
              </a:ext>
            </a:extLst>
          </xdr:cNvPr>
          <xdr:cNvPicPr>
            <a:picLocks noChangeAspect="1" noChangeArrowheads="1"/>
          </xdr:cNvPicPr>
        </xdr:nvPicPr>
        <xdr:blipFill rotWithShape="1">
          <a:blip xmlns:r="http://schemas.openxmlformats.org/officeDocument/2006/relationships" r:embed="rId12" cstate="print">
            <a:duotone>
              <a:prstClr val="black"/>
              <a:srgbClr val="CC00CC">
                <a:tint val="45000"/>
                <a:satMod val="400000"/>
              </a:srgbClr>
            </a:duotone>
            <a:extLst>
              <a:ext uri="{BEBA8EAE-BF5A-486C-A8C5-ECC9F3942E4B}">
                <a14:imgProps xmlns:a14="http://schemas.microsoft.com/office/drawing/2010/main">
                  <a14:imgLayer r:embed="rId13">
                    <a14:imgEffect>
                      <a14:backgroundRemoval t="10000" b="90000" l="10000" r="90000"/>
                    </a14:imgEffect>
                  </a14:imgLayer>
                </a14:imgProps>
              </a:ext>
              <a:ext uri="{28A0092B-C50C-407E-A947-70E740481C1C}">
                <a14:useLocalDpi xmlns:a14="http://schemas.microsoft.com/office/drawing/2010/main" val="0"/>
              </a:ext>
            </a:extLst>
          </a:blip>
          <a:srcRect l="21356" t="4679" r="17966" b="19883"/>
          <a:stretch/>
        </xdr:blipFill>
        <xdr:spPr bwMode="auto">
          <a:xfrm rot="10800000">
            <a:off x="3148275" y="5702709"/>
            <a:ext cx="576000" cy="41510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12</xdr:col>
      <xdr:colOff>201999</xdr:colOff>
      <xdr:row>32</xdr:row>
      <xdr:rowOff>28574</xdr:rowOff>
    </xdr:from>
    <xdr:to>
      <xdr:col>14</xdr:col>
      <xdr:colOff>82499</xdr:colOff>
      <xdr:row>35</xdr:row>
      <xdr:rowOff>47625</xdr:rowOff>
    </xdr:to>
    <xdr:sp macro="" textlink="">
      <xdr:nvSpPr>
        <xdr:cNvPr id="3142" name="TextBox 3141">
          <a:extLst>
            <a:ext uri="{FF2B5EF4-FFF2-40B4-BE49-F238E27FC236}">
              <a16:creationId xmlns:a16="http://schemas.microsoft.com/office/drawing/2014/main" id="{00000000-0008-0000-0200-0000460C0000}"/>
            </a:ext>
          </a:extLst>
        </xdr:cNvPr>
        <xdr:cNvSpPr txBox="1"/>
      </xdr:nvSpPr>
      <xdr:spPr>
        <a:xfrm>
          <a:off x="7517199" y="5353049"/>
          <a:ext cx="1099700" cy="504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200" b="0" i="0" u="none" strike="noStrike" cap="none" spc="0">
              <a:ln w="0"/>
              <a:solidFill>
                <a:srgbClr val="B1F5F1"/>
              </a:solidFill>
              <a:effectLst>
                <a:outerShdw blurRad="38100" dist="25400" dir="5400000" algn="ctr" rotWithShape="0">
                  <a:srgbClr val="6E747A">
                    <a:alpha val="43000"/>
                  </a:srgbClr>
                </a:outerShdw>
              </a:effectLst>
              <a:latin typeface="Avenir Next LT Pro"/>
            </a:rPr>
            <a:t>Top Performers</a:t>
          </a:r>
        </a:p>
      </xdr:txBody>
    </xdr:sp>
    <xdr:clientData/>
  </xdr:twoCellAnchor>
  <xdr:twoCellAnchor>
    <xdr:from>
      <xdr:col>15</xdr:col>
      <xdr:colOff>339676</xdr:colOff>
      <xdr:row>32</xdr:row>
      <xdr:rowOff>28574</xdr:rowOff>
    </xdr:from>
    <xdr:to>
      <xdr:col>17</xdr:col>
      <xdr:colOff>220176</xdr:colOff>
      <xdr:row>35</xdr:row>
      <xdr:rowOff>47625</xdr:rowOff>
    </xdr:to>
    <xdr:sp macro="" textlink="">
      <xdr:nvSpPr>
        <xdr:cNvPr id="3150" name="TextBox 3149">
          <a:extLst>
            <a:ext uri="{FF2B5EF4-FFF2-40B4-BE49-F238E27FC236}">
              <a16:creationId xmlns:a16="http://schemas.microsoft.com/office/drawing/2014/main" id="{00000000-0008-0000-0200-00004E0C0000}"/>
            </a:ext>
          </a:extLst>
        </xdr:cNvPr>
        <xdr:cNvSpPr txBox="1"/>
      </xdr:nvSpPr>
      <xdr:spPr>
        <a:xfrm flipH="1">
          <a:off x="9483676" y="5353049"/>
          <a:ext cx="1099700" cy="504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cap="none" spc="0">
              <a:ln w="0"/>
              <a:solidFill>
                <a:srgbClr val="B1F5F1"/>
              </a:solidFill>
              <a:effectLst>
                <a:outerShdw blurRad="38100" dist="25400" dir="5400000" algn="ctr" rotWithShape="0">
                  <a:srgbClr val="6E747A">
                    <a:alpha val="43000"/>
                  </a:srgbClr>
                </a:outerShdw>
              </a:effectLst>
              <a:latin typeface="Avenir Next LT Pro"/>
            </a:rPr>
            <a:t>Top Performers</a:t>
          </a:r>
        </a:p>
      </xdr:txBody>
    </xdr:sp>
    <xdr:clientData/>
  </xdr:twoCellAnchor>
  <xdr:twoCellAnchor editAs="oneCell">
    <xdr:from>
      <xdr:col>12</xdr:col>
      <xdr:colOff>43481</xdr:colOff>
      <xdr:row>32</xdr:row>
      <xdr:rowOff>52389</xdr:rowOff>
    </xdr:from>
    <xdr:to>
      <xdr:col>12</xdr:col>
      <xdr:colOff>475481</xdr:colOff>
      <xdr:row>34</xdr:row>
      <xdr:rowOff>143980</xdr:rowOff>
    </xdr:to>
    <xdr:pic>
      <xdr:nvPicPr>
        <xdr:cNvPr id="3151" name="Picture 3150" descr="Purple, Barn Star. Jigsaw Puzzle by Tom Hill - Fine Art America">
          <a:extLst>
            <a:ext uri="{FF2B5EF4-FFF2-40B4-BE49-F238E27FC236}">
              <a16:creationId xmlns:a16="http://schemas.microsoft.com/office/drawing/2014/main" id="{00000000-0008-0000-0200-00004F0C0000}"/>
            </a:ext>
          </a:extLst>
        </xdr:cNvPr>
        <xdr:cNvPicPr>
          <a:picLocks noChangeAspect="1" noChangeArrowheads="1"/>
        </xdr:cNvPicPr>
      </xdr:nvPicPr>
      <xdr:blipFill>
        <a:blip xmlns:r="http://schemas.openxmlformats.org/officeDocument/2006/relationships" r:embed="rId14" cstate="print">
          <a:duotone>
            <a:prstClr val="black"/>
            <a:srgbClr val="CC00CC">
              <a:tint val="45000"/>
              <a:satMod val="400000"/>
            </a:srgbClr>
          </a:duotone>
          <a:extLst>
            <a:ext uri="{28A0092B-C50C-407E-A947-70E740481C1C}">
              <a14:useLocalDpi xmlns:a14="http://schemas.microsoft.com/office/drawing/2010/main" val="0"/>
            </a:ext>
          </a:extLst>
        </a:blip>
        <a:srcRect/>
        <a:stretch>
          <a:fillRect/>
        </a:stretch>
      </xdr:blipFill>
      <xdr:spPr bwMode="auto">
        <a:xfrm>
          <a:off x="7358681" y="5376864"/>
          <a:ext cx="432000" cy="415441"/>
        </a:xfrm>
        <a:prstGeom prst="rect">
          <a:avLst/>
        </a:prstGeom>
        <a:noFill/>
        <a:ln w="3175">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557831</xdr:colOff>
      <xdr:row>32</xdr:row>
      <xdr:rowOff>52389</xdr:rowOff>
    </xdr:from>
    <xdr:to>
      <xdr:col>17</xdr:col>
      <xdr:colOff>380231</xdr:colOff>
      <xdr:row>34</xdr:row>
      <xdr:rowOff>143980</xdr:rowOff>
    </xdr:to>
    <xdr:pic>
      <xdr:nvPicPr>
        <xdr:cNvPr id="3153" name="Picture 3152" descr="Purple, Barn Star. Jigsaw Puzzle by Tom Hill - Fine Art America">
          <a:extLst>
            <a:ext uri="{FF2B5EF4-FFF2-40B4-BE49-F238E27FC236}">
              <a16:creationId xmlns:a16="http://schemas.microsoft.com/office/drawing/2014/main" id="{00000000-0008-0000-0200-0000510C0000}"/>
            </a:ext>
          </a:extLst>
        </xdr:cNvPr>
        <xdr:cNvPicPr>
          <a:picLocks noChangeAspect="1" noChangeArrowheads="1"/>
        </xdr:cNvPicPr>
      </xdr:nvPicPr>
      <xdr:blipFill>
        <a:blip xmlns:r="http://schemas.openxmlformats.org/officeDocument/2006/relationships" r:embed="rId14" cstate="print">
          <a:duotone>
            <a:prstClr val="black"/>
            <a:srgbClr val="CC00CC">
              <a:tint val="45000"/>
              <a:satMod val="400000"/>
            </a:srgbClr>
          </a:duotone>
          <a:extLst>
            <a:ext uri="{28A0092B-C50C-407E-A947-70E740481C1C}">
              <a14:useLocalDpi xmlns:a14="http://schemas.microsoft.com/office/drawing/2010/main" val="0"/>
            </a:ext>
          </a:extLst>
        </a:blip>
        <a:srcRect/>
        <a:stretch>
          <a:fillRect/>
        </a:stretch>
      </xdr:blipFill>
      <xdr:spPr bwMode="auto">
        <a:xfrm>
          <a:off x="10311431" y="5376864"/>
          <a:ext cx="432000" cy="415441"/>
        </a:xfrm>
        <a:prstGeom prst="rect">
          <a:avLst/>
        </a:prstGeom>
        <a:noFill/>
        <a:ln w="3175">
          <a:noFill/>
        </a:ln>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600075</xdr:colOff>
      <xdr:row>33</xdr:row>
      <xdr:rowOff>133350</xdr:rowOff>
    </xdr:from>
    <xdr:to>
      <xdr:col>12</xdr:col>
      <xdr:colOff>454903</xdr:colOff>
      <xdr:row>35</xdr:row>
      <xdr:rowOff>61500</xdr:rowOff>
    </xdr:to>
    <xdr:grpSp>
      <xdr:nvGrpSpPr>
        <xdr:cNvPr id="3160" name="Group 3159">
          <a:extLst>
            <a:ext uri="{FF2B5EF4-FFF2-40B4-BE49-F238E27FC236}">
              <a16:creationId xmlns:a16="http://schemas.microsoft.com/office/drawing/2014/main" id="{00000000-0008-0000-0200-0000580C0000}"/>
            </a:ext>
          </a:extLst>
        </xdr:cNvPr>
        <xdr:cNvGrpSpPr/>
      </xdr:nvGrpSpPr>
      <xdr:grpSpPr>
        <a:xfrm>
          <a:off x="5476875" y="5619750"/>
          <a:ext cx="2293228" cy="252000"/>
          <a:chOff x="8001000" y="800100"/>
          <a:chExt cx="2293228" cy="252000"/>
        </a:xfrm>
      </xdr:grpSpPr>
      <xdr:grpSp>
        <xdr:nvGrpSpPr>
          <xdr:cNvPr id="59" name="Group 58">
            <a:extLst>
              <a:ext uri="{FF2B5EF4-FFF2-40B4-BE49-F238E27FC236}">
                <a16:creationId xmlns:a16="http://schemas.microsoft.com/office/drawing/2014/main" id="{00000000-0008-0000-0200-00003B000000}"/>
              </a:ext>
            </a:extLst>
          </xdr:cNvPr>
          <xdr:cNvGrpSpPr/>
        </xdr:nvGrpSpPr>
        <xdr:grpSpPr>
          <a:xfrm>
            <a:off x="8210549" y="828673"/>
            <a:ext cx="2083679" cy="180000"/>
            <a:chOff x="5257799" y="4924423"/>
            <a:chExt cx="2083679" cy="180000"/>
          </a:xfrm>
        </xdr:grpSpPr>
        <xdr:sp macro="" textlink="">
          <xdr:nvSpPr>
            <xdr:cNvPr id="3107" name="TextBox 3106">
              <a:extLst>
                <a:ext uri="{FF2B5EF4-FFF2-40B4-BE49-F238E27FC236}">
                  <a16:creationId xmlns:a16="http://schemas.microsoft.com/office/drawing/2014/main" id="{00000000-0008-0000-0200-0000230C0000}"/>
                </a:ext>
              </a:extLst>
            </xdr:cNvPr>
            <xdr:cNvSpPr txBox="1"/>
          </xdr:nvSpPr>
          <xdr:spPr>
            <a:xfrm flipH="1">
              <a:off x="6189478" y="4924423"/>
              <a:ext cx="1152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0" i="0" u="none" strike="noStrike" cap="none" spc="0">
                  <a:ln w="0"/>
                  <a:solidFill>
                    <a:srgbClr val="B1F5F1"/>
                  </a:solidFill>
                  <a:effectLst>
                    <a:outerShdw blurRad="38100" dist="25400" dir="5400000" algn="ctr" rotWithShape="0">
                      <a:srgbClr val="6E747A">
                        <a:alpha val="43000"/>
                      </a:srgbClr>
                    </a:outerShdw>
                  </a:effectLst>
                  <a:latin typeface="Avenir Next LT Pro"/>
                </a:rPr>
                <a:t>By Profit</a:t>
              </a:r>
            </a:p>
          </xdr:txBody>
        </xdr:sp>
        <xdr:sp macro="" textlink="">
          <xdr:nvSpPr>
            <xdr:cNvPr id="3110" name="TextBox 3109">
              <a:extLst>
                <a:ext uri="{FF2B5EF4-FFF2-40B4-BE49-F238E27FC236}">
                  <a16:creationId xmlns:a16="http://schemas.microsoft.com/office/drawing/2014/main" id="{00000000-0008-0000-0200-0000260C0000}"/>
                </a:ext>
              </a:extLst>
            </xdr:cNvPr>
            <xdr:cNvSpPr txBox="1"/>
          </xdr:nvSpPr>
          <xdr:spPr>
            <a:xfrm flipH="1">
              <a:off x="5257799" y="4924423"/>
              <a:ext cx="720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0" i="0" u="none" strike="noStrike" cap="none" spc="0">
                  <a:ln w="0"/>
                  <a:solidFill>
                    <a:srgbClr val="B1F5F1"/>
                  </a:solidFill>
                  <a:effectLst>
                    <a:outerShdw blurRad="38100" dist="25400" dir="5400000" algn="ctr" rotWithShape="0">
                      <a:srgbClr val="6E747A">
                        <a:alpha val="43000"/>
                      </a:srgbClr>
                    </a:outerShdw>
                  </a:effectLst>
                  <a:latin typeface="Avenir Next LT Pro"/>
                </a:rPr>
                <a:t>By</a:t>
              </a:r>
              <a:r>
                <a:rPr lang="en-US" sz="1000" b="0" i="0" u="none" strike="noStrike" cap="none" spc="0" baseline="0">
                  <a:ln w="0"/>
                  <a:solidFill>
                    <a:srgbClr val="B1F5F1"/>
                  </a:solidFill>
                  <a:effectLst>
                    <a:outerShdw blurRad="38100" dist="25400" dir="5400000" algn="ctr" rotWithShape="0">
                      <a:srgbClr val="6E747A">
                        <a:alpha val="43000"/>
                      </a:srgbClr>
                    </a:outerShdw>
                  </a:effectLst>
                  <a:latin typeface="Avenir Next LT Pro"/>
                </a:rPr>
                <a:t> Sale</a:t>
              </a:r>
              <a:endParaRPr lang="en-US" sz="1000" b="0" i="0" u="none" strike="noStrike" cap="none" spc="0">
                <a:ln w="0"/>
                <a:solidFill>
                  <a:srgbClr val="B1F5F1"/>
                </a:solidFill>
                <a:effectLst>
                  <a:outerShdw blurRad="38100" dist="25400" dir="5400000" algn="ctr" rotWithShape="0">
                    <a:srgbClr val="6E747A">
                      <a:alpha val="43000"/>
                    </a:srgbClr>
                  </a:outerShdw>
                </a:effectLst>
                <a:latin typeface="Avenir Next LT Pro"/>
              </a:endParaRPr>
            </a:p>
          </xdr:txBody>
        </xdr:sp>
      </xdr:grpSp>
      <mc:AlternateContent xmlns:mc="http://schemas.openxmlformats.org/markup-compatibility/2006">
        <mc:Choice xmlns:a14="http://schemas.microsoft.com/office/drawing/2010/main" Requires="a14">
          <xdr:grpSp>
            <xdr:nvGrpSpPr>
              <xdr:cNvPr id="3159" name="Group 3158">
                <a:extLst>
                  <a:ext uri="{FF2B5EF4-FFF2-40B4-BE49-F238E27FC236}">
                    <a16:creationId xmlns:a16="http://schemas.microsoft.com/office/drawing/2014/main" id="{00000000-0008-0000-0200-0000570C0000}"/>
                  </a:ext>
                </a:extLst>
              </xdr:cNvPr>
              <xdr:cNvGrpSpPr/>
            </xdr:nvGrpSpPr>
            <xdr:grpSpPr>
              <a:xfrm>
                <a:off x="8001000" y="800100"/>
                <a:ext cx="1944000" cy="252000"/>
                <a:chOff x="8029575" y="790575"/>
                <a:chExt cx="1944000" cy="252000"/>
              </a:xfrm>
            </xdr:grpSpPr>
            <xdr:sp macro="" textlink="">
              <xdr:nvSpPr>
                <xdr:cNvPr id="44" name="Group Box 19" hidden="1">
                  <a:extLst>
                    <a:ext uri="{63B3BB69-23CF-44E3-9099-C40C66FF867C}">
                      <a14:compatExt spid="_x0000_s3091"/>
                    </a:ext>
                    <a:ext uri="{FF2B5EF4-FFF2-40B4-BE49-F238E27FC236}">
                      <a16:creationId xmlns:a16="http://schemas.microsoft.com/office/drawing/2014/main" id="{00000000-0008-0000-0200-00002C000000}"/>
                    </a:ext>
                  </a:extLst>
                </xdr:cNvPr>
                <xdr:cNvSpPr/>
              </xdr:nvSpPr>
              <xdr:spPr bwMode="auto">
                <a:xfrm>
                  <a:off x="8029575" y="790575"/>
                  <a:ext cx="1944000" cy="252000"/>
                </a:xfrm>
                <a:prstGeom prst="rect">
                  <a:avLst/>
                </a:prstGeom>
                <a:noFill/>
                <a:ln w="9525">
                  <a:miter lim="800000"/>
                  <a:headEnd/>
                  <a:tailEnd/>
                </a:ln>
                <a:extLst>
                  <a:ext uri="{909E8E84-426E-40DD-AFC4-6F175D3DCCD1}">
                    <a14:hiddenFill>
                      <a:noFill/>
                    </a14:hiddenFill>
                  </a:ext>
                </a:extLst>
              </xdr:spPr>
            </xdr:sp>
            <xdr:sp macro="" textlink="">
              <xdr:nvSpPr>
                <xdr:cNvPr id="63" name="Option Button 20" hidden="1">
                  <a:extLst>
                    <a:ext uri="{63B3BB69-23CF-44E3-9099-C40C66FF867C}">
                      <a14:compatExt spid="_x0000_s3092"/>
                    </a:ext>
                    <a:ext uri="{FF2B5EF4-FFF2-40B4-BE49-F238E27FC236}">
                      <a16:creationId xmlns:a16="http://schemas.microsoft.com/office/drawing/2014/main" id="{00000000-0008-0000-0200-00003F000000}"/>
                    </a:ext>
                  </a:extLst>
                </xdr:cNvPr>
                <xdr:cNvSpPr/>
              </xdr:nvSpPr>
              <xdr:spPr bwMode="auto">
                <a:xfrm>
                  <a:off x="8105774" y="823912"/>
                  <a:ext cx="90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3093" name="Option Button 2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9029700" y="823425"/>
                  <a:ext cx="895350" cy="1809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mc:Choice>
        <mc:Fallback/>
      </mc:AlternateContent>
    </xdr:grpSp>
    <xdr:clientData/>
  </xdr:twoCellAnchor>
  <xdr:twoCellAnchor>
    <xdr:from>
      <xdr:col>24</xdr:col>
      <xdr:colOff>352425</xdr:colOff>
      <xdr:row>35</xdr:row>
      <xdr:rowOff>95250</xdr:rowOff>
    </xdr:from>
    <xdr:to>
      <xdr:col>28</xdr:col>
      <xdr:colOff>207253</xdr:colOff>
      <xdr:row>37</xdr:row>
      <xdr:rowOff>23400</xdr:rowOff>
    </xdr:to>
    <xdr:grpSp>
      <xdr:nvGrpSpPr>
        <xdr:cNvPr id="3146" name="Group 3145">
          <a:extLst>
            <a:ext uri="{FF2B5EF4-FFF2-40B4-BE49-F238E27FC236}">
              <a16:creationId xmlns:a16="http://schemas.microsoft.com/office/drawing/2014/main" id="{00000000-0008-0000-0200-00004A0C0000}"/>
            </a:ext>
          </a:extLst>
        </xdr:cNvPr>
        <xdr:cNvGrpSpPr/>
      </xdr:nvGrpSpPr>
      <xdr:grpSpPr>
        <a:xfrm>
          <a:off x="14982825" y="5905500"/>
          <a:ext cx="2293228" cy="252000"/>
          <a:chOff x="8001000" y="800100"/>
          <a:chExt cx="2293228" cy="252000"/>
        </a:xfrm>
      </xdr:grpSpPr>
      <xdr:grpSp>
        <xdr:nvGrpSpPr>
          <xdr:cNvPr id="3147" name="Group 3146">
            <a:extLst>
              <a:ext uri="{FF2B5EF4-FFF2-40B4-BE49-F238E27FC236}">
                <a16:creationId xmlns:a16="http://schemas.microsoft.com/office/drawing/2014/main" id="{00000000-0008-0000-0200-00004B0C0000}"/>
              </a:ext>
            </a:extLst>
          </xdr:cNvPr>
          <xdr:cNvGrpSpPr/>
        </xdr:nvGrpSpPr>
        <xdr:grpSpPr>
          <a:xfrm>
            <a:off x="8210549" y="828673"/>
            <a:ext cx="2083679" cy="180000"/>
            <a:chOff x="5257799" y="4924423"/>
            <a:chExt cx="2083679" cy="180000"/>
          </a:xfrm>
        </xdr:grpSpPr>
        <xdr:sp macro="" textlink="">
          <xdr:nvSpPr>
            <xdr:cNvPr id="3149" name="TextBox 3148">
              <a:extLst>
                <a:ext uri="{FF2B5EF4-FFF2-40B4-BE49-F238E27FC236}">
                  <a16:creationId xmlns:a16="http://schemas.microsoft.com/office/drawing/2014/main" id="{00000000-0008-0000-0200-00004D0C0000}"/>
                </a:ext>
              </a:extLst>
            </xdr:cNvPr>
            <xdr:cNvSpPr txBox="1"/>
          </xdr:nvSpPr>
          <xdr:spPr>
            <a:xfrm flipH="1">
              <a:off x="6189478" y="4924423"/>
              <a:ext cx="1152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0" i="0" u="none" strike="noStrike" cap="none" spc="0">
                  <a:ln w="0"/>
                  <a:solidFill>
                    <a:srgbClr val="B1F5F1"/>
                  </a:solidFill>
                  <a:effectLst>
                    <a:outerShdw blurRad="38100" dist="25400" dir="5400000" algn="ctr" rotWithShape="0">
                      <a:srgbClr val="6E747A">
                        <a:alpha val="43000"/>
                      </a:srgbClr>
                    </a:outerShdw>
                  </a:effectLst>
                  <a:latin typeface="Avenir Next LT Pro"/>
                </a:rPr>
                <a:t>By Profit</a:t>
              </a:r>
            </a:p>
          </xdr:txBody>
        </xdr:sp>
        <xdr:sp macro="" textlink="">
          <xdr:nvSpPr>
            <xdr:cNvPr id="3152" name="TextBox 3151">
              <a:extLst>
                <a:ext uri="{FF2B5EF4-FFF2-40B4-BE49-F238E27FC236}">
                  <a16:creationId xmlns:a16="http://schemas.microsoft.com/office/drawing/2014/main" id="{00000000-0008-0000-0200-0000500C0000}"/>
                </a:ext>
              </a:extLst>
            </xdr:cNvPr>
            <xdr:cNvSpPr txBox="1"/>
          </xdr:nvSpPr>
          <xdr:spPr>
            <a:xfrm flipH="1">
              <a:off x="5257799" y="4924423"/>
              <a:ext cx="720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0" i="0" u="none" strike="noStrike" cap="none" spc="0">
                  <a:ln w="0"/>
                  <a:solidFill>
                    <a:srgbClr val="B1F5F1"/>
                  </a:solidFill>
                  <a:effectLst>
                    <a:outerShdw blurRad="38100" dist="25400" dir="5400000" algn="ctr" rotWithShape="0">
                      <a:srgbClr val="6E747A">
                        <a:alpha val="43000"/>
                      </a:srgbClr>
                    </a:outerShdw>
                  </a:effectLst>
                  <a:latin typeface="Avenir Next LT Pro"/>
                </a:rPr>
                <a:t>By</a:t>
              </a:r>
              <a:r>
                <a:rPr lang="en-US" sz="1000" b="0" i="0" u="none" strike="noStrike" cap="none" spc="0" baseline="0">
                  <a:ln w="0"/>
                  <a:solidFill>
                    <a:srgbClr val="B1F5F1"/>
                  </a:solidFill>
                  <a:effectLst>
                    <a:outerShdw blurRad="38100" dist="25400" dir="5400000" algn="ctr" rotWithShape="0">
                      <a:srgbClr val="6E747A">
                        <a:alpha val="43000"/>
                      </a:srgbClr>
                    </a:outerShdw>
                  </a:effectLst>
                  <a:latin typeface="Avenir Next LT Pro"/>
                </a:rPr>
                <a:t> Sale</a:t>
              </a:r>
              <a:endParaRPr lang="en-US" sz="1000" b="0" i="0" u="none" strike="noStrike" cap="none" spc="0">
                <a:ln w="0"/>
                <a:solidFill>
                  <a:srgbClr val="B1F5F1"/>
                </a:solidFill>
                <a:effectLst>
                  <a:outerShdw blurRad="38100" dist="25400" dir="5400000" algn="ctr" rotWithShape="0">
                    <a:srgbClr val="6E747A">
                      <a:alpha val="43000"/>
                    </a:srgbClr>
                  </a:outerShdw>
                </a:effectLst>
                <a:latin typeface="Avenir Next LT Pro"/>
              </a:endParaRPr>
            </a:p>
          </xdr:txBody>
        </xdr:sp>
      </xdr:grpSp>
      <mc:AlternateContent xmlns:mc="http://schemas.openxmlformats.org/markup-compatibility/2006">
        <mc:Choice xmlns:a14="http://schemas.microsoft.com/office/drawing/2010/main" Requires="a14">
          <xdr:grpSp>
            <xdr:nvGrpSpPr>
              <xdr:cNvPr id="3148" name="Group 3147">
                <a:extLst>
                  <a:ext uri="{FF2B5EF4-FFF2-40B4-BE49-F238E27FC236}">
                    <a16:creationId xmlns:a16="http://schemas.microsoft.com/office/drawing/2014/main" id="{00000000-0008-0000-0200-00004C0C0000}"/>
                  </a:ext>
                </a:extLst>
              </xdr:cNvPr>
              <xdr:cNvGrpSpPr/>
            </xdr:nvGrpSpPr>
            <xdr:grpSpPr>
              <a:xfrm>
                <a:off x="8001000" y="800100"/>
                <a:ext cx="1944000" cy="252000"/>
                <a:chOff x="8029575" y="790575"/>
                <a:chExt cx="1944000" cy="252000"/>
              </a:xfrm>
            </xdr:grpSpPr>
            <xdr:sp macro="" textlink="">
              <xdr:nvSpPr>
                <xdr:cNvPr id="3094" name="Group Box 22" hidden="1">
                  <a:extLst>
                    <a:ext uri="{63B3BB69-23CF-44E3-9099-C40C66FF867C}">
                      <a14:compatExt spid="_x0000_s3094"/>
                    </a:ext>
                    <a:ext uri="{FF2B5EF4-FFF2-40B4-BE49-F238E27FC236}">
                      <a16:creationId xmlns:a16="http://schemas.microsoft.com/office/drawing/2014/main" id="{00000000-0008-0000-0200-0000160C0000}"/>
                    </a:ext>
                  </a:extLst>
                </xdr:cNvPr>
                <xdr:cNvSpPr/>
              </xdr:nvSpPr>
              <xdr:spPr bwMode="auto">
                <a:xfrm>
                  <a:off x="8029575" y="790575"/>
                  <a:ext cx="1944000" cy="252000"/>
                </a:xfrm>
                <a:prstGeom prst="rect">
                  <a:avLst/>
                </a:prstGeom>
                <a:noFill/>
                <a:ln w="9525">
                  <a:miter lim="800000"/>
                  <a:headEnd/>
                  <a:tailEnd/>
                </a:ln>
                <a:extLst>
                  <a:ext uri="{909E8E84-426E-40DD-AFC4-6F175D3DCCD1}">
                    <a14:hiddenFill>
                      <a:noFill/>
                    </a14:hiddenFill>
                  </a:ext>
                </a:extLst>
              </xdr:spPr>
            </xdr:sp>
            <xdr:sp macro="" textlink="">
              <xdr:nvSpPr>
                <xdr:cNvPr id="3095" name="Option Button 23" hidden="1">
                  <a:extLst>
                    <a:ext uri="{63B3BB69-23CF-44E3-9099-C40C66FF867C}">
                      <a14:compatExt spid="_x0000_s3095"/>
                    </a:ext>
                    <a:ext uri="{FF2B5EF4-FFF2-40B4-BE49-F238E27FC236}">
                      <a16:creationId xmlns:a16="http://schemas.microsoft.com/office/drawing/2014/main" id="{00000000-0008-0000-0200-0000170C0000}"/>
                    </a:ext>
                  </a:extLst>
                </xdr:cNvPr>
                <xdr:cNvSpPr/>
              </xdr:nvSpPr>
              <xdr:spPr bwMode="auto">
                <a:xfrm>
                  <a:off x="8105774" y="823912"/>
                  <a:ext cx="90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3096" name="Option Button 24" hidden="1">
                  <a:extLst>
                    <a:ext uri="{63B3BB69-23CF-44E3-9099-C40C66FF867C}">
                      <a14:compatExt spid="_x0000_s3096"/>
                    </a:ext>
                    <a:ext uri="{FF2B5EF4-FFF2-40B4-BE49-F238E27FC236}">
                      <a16:creationId xmlns:a16="http://schemas.microsoft.com/office/drawing/2014/main" id="{00000000-0008-0000-0200-0000180C0000}"/>
                    </a:ext>
                  </a:extLst>
                </xdr:cNvPr>
                <xdr:cNvSpPr/>
              </xdr:nvSpPr>
              <xdr:spPr bwMode="auto">
                <a:xfrm>
                  <a:off x="9029700" y="823425"/>
                  <a:ext cx="895350" cy="1809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mc:Choice>
        <mc:Fallback/>
      </mc:AlternateContent>
    </xdr:grpSp>
    <xdr:clientData/>
  </xdr:twoCellAnchor>
  <xdr:twoCellAnchor>
    <xdr:from>
      <xdr:col>2</xdr:col>
      <xdr:colOff>47625</xdr:colOff>
      <xdr:row>35</xdr:row>
      <xdr:rowOff>95250</xdr:rowOff>
    </xdr:from>
    <xdr:to>
      <xdr:col>5</xdr:col>
      <xdr:colOff>512053</xdr:colOff>
      <xdr:row>37</xdr:row>
      <xdr:rowOff>23400</xdr:rowOff>
    </xdr:to>
    <xdr:grpSp>
      <xdr:nvGrpSpPr>
        <xdr:cNvPr id="3154" name="Group 3153">
          <a:extLst>
            <a:ext uri="{FF2B5EF4-FFF2-40B4-BE49-F238E27FC236}">
              <a16:creationId xmlns:a16="http://schemas.microsoft.com/office/drawing/2014/main" id="{00000000-0008-0000-0200-0000520C0000}"/>
            </a:ext>
          </a:extLst>
        </xdr:cNvPr>
        <xdr:cNvGrpSpPr/>
      </xdr:nvGrpSpPr>
      <xdr:grpSpPr>
        <a:xfrm>
          <a:off x="1266825" y="5905500"/>
          <a:ext cx="2293228" cy="252000"/>
          <a:chOff x="8001000" y="800100"/>
          <a:chExt cx="2293228" cy="252000"/>
        </a:xfrm>
      </xdr:grpSpPr>
      <xdr:grpSp>
        <xdr:nvGrpSpPr>
          <xdr:cNvPr id="3155" name="Group 3154">
            <a:extLst>
              <a:ext uri="{FF2B5EF4-FFF2-40B4-BE49-F238E27FC236}">
                <a16:creationId xmlns:a16="http://schemas.microsoft.com/office/drawing/2014/main" id="{00000000-0008-0000-0200-0000530C0000}"/>
              </a:ext>
            </a:extLst>
          </xdr:cNvPr>
          <xdr:cNvGrpSpPr/>
        </xdr:nvGrpSpPr>
        <xdr:grpSpPr>
          <a:xfrm>
            <a:off x="8210549" y="828673"/>
            <a:ext cx="2083679" cy="180000"/>
            <a:chOff x="5257799" y="4924423"/>
            <a:chExt cx="2083679" cy="180000"/>
          </a:xfrm>
        </xdr:grpSpPr>
        <xdr:sp macro="" textlink="">
          <xdr:nvSpPr>
            <xdr:cNvPr id="3157" name="TextBox 3156">
              <a:extLst>
                <a:ext uri="{FF2B5EF4-FFF2-40B4-BE49-F238E27FC236}">
                  <a16:creationId xmlns:a16="http://schemas.microsoft.com/office/drawing/2014/main" id="{00000000-0008-0000-0200-0000550C0000}"/>
                </a:ext>
              </a:extLst>
            </xdr:cNvPr>
            <xdr:cNvSpPr txBox="1"/>
          </xdr:nvSpPr>
          <xdr:spPr>
            <a:xfrm flipH="1">
              <a:off x="6189478" y="4924423"/>
              <a:ext cx="1152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0" i="0" u="none" strike="noStrike" cap="none" spc="0">
                  <a:ln w="0"/>
                  <a:solidFill>
                    <a:srgbClr val="B1F5F1"/>
                  </a:solidFill>
                  <a:effectLst>
                    <a:outerShdw blurRad="38100" dist="25400" dir="5400000" algn="ctr" rotWithShape="0">
                      <a:srgbClr val="6E747A">
                        <a:alpha val="43000"/>
                      </a:srgbClr>
                    </a:outerShdw>
                  </a:effectLst>
                  <a:latin typeface="Avenir Next LT Pro"/>
                </a:rPr>
                <a:t>By Profit</a:t>
              </a:r>
            </a:p>
          </xdr:txBody>
        </xdr:sp>
        <xdr:sp macro="" textlink="">
          <xdr:nvSpPr>
            <xdr:cNvPr id="3158" name="TextBox 3157">
              <a:extLst>
                <a:ext uri="{FF2B5EF4-FFF2-40B4-BE49-F238E27FC236}">
                  <a16:creationId xmlns:a16="http://schemas.microsoft.com/office/drawing/2014/main" id="{00000000-0008-0000-0200-0000560C0000}"/>
                </a:ext>
              </a:extLst>
            </xdr:cNvPr>
            <xdr:cNvSpPr txBox="1"/>
          </xdr:nvSpPr>
          <xdr:spPr>
            <a:xfrm flipH="1">
              <a:off x="5257799" y="4924423"/>
              <a:ext cx="720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0" i="0" u="none" strike="noStrike" cap="none" spc="0">
                  <a:ln w="0"/>
                  <a:solidFill>
                    <a:srgbClr val="B1F5F1"/>
                  </a:solidFill>
                  <a:effectLst>
                    <a:outerShdw blurRad="38100" dist="25400" dir="5400000" algn="ctr" rotWithShape="0">
                      <a:srgbClr val="6E747A">
                        <a:alpha val="43000"/>
                      </a:srgbClr>
                    </a:outerShdw>
                  </a:effectLst>
                  <a:latin typeface="Avenir Next LT Pro"/>
                </a:rPr>
                <a:t>By</a:t>
              </a:r>
              <a:r>
                <a:rPr lang="en-US" sz="1000" b="0" i="0" u="none" strike="noStrike" cap="none" spc="0" baseline="0">
                  <a:ln w="0"/>
                  <a:solidFill>
                    <a:srgbClr val="B1F5F1"/>
                  </a:solidFill>
                  <a:effectLst>
                    <a:outerShdw blurRad="38100" dist="25400" dir="5400000" algn="ctr" rotWithShape="0">
                      <a:srgbClr val="6E747A">
                        <a:alpha val="43000"/>
                      </a:srgbClr>
                    </a:outerShdw>
                  </a:effectLst>
                  <a:latin typeface="Avenir Next LT Pro"/>
                </a:rPr>
                <a:t> Sale</a:t>
              </a:r>
              <a:endParaRPr lang="en-US" sz="1000" b="0" i="0" u="none" strike="noStrike" cap="none" spc="0">
                <a:ln w="0"/>
                <a:solidFill>
                  <a:srgbClr val="B1F5F1"/>
                </a:solidFill>
                <a:effectLst>
                  <a:outerShdw blurRad="38100" dist="25400" dir="5400000" algn="ctr" rotWithShape="0">
                    <a:srgbClr val="6E747A">
                      <a:alpha val="43000"/>
                    </a:srgbClr>
                  </a:outerShdw>
                </a:effectLst>
                <a:latin typeface="Avenir Next LT Pro"/>
              </a:endParaRPr>
            </a:p>
          </xdr:txBody>
        </xdr:sp>
      </xdr:grpSp>
      <mc:AlternateContent xmlns:mc="http://schemas.openxmlformats.org/markup-compatibility/2006">
        <mc:Choice xmlns:a14="http://schemas.microsoft.com/office/drawing/2010/main" Requires="a14">
          <xdr:grpSp>
            <xdr:nvGrpSpPr>
              <xdr:cNvPr id="3156" name="Group 3155">
                <a:extLst>
                  <a:ext uri="{FF2B5EF4-FFF2-40B4-BE49-F238E27FC236}">
                    <a16:creationId xmlns:a16="http://schemas.microsoft.com/office/drawing/2014/main" id="{00000000-0008-0000-0200-0000540C0000}"/>
                  </a:ext>
                </a:extLst>
              </xdr:cNvPr>
              <xdr:cNvGrpSpPr/>
            </xdr:nvGrpSpPr>
            <xdr:grpSpPr>
              <a:xfrm>
                <a:off x="8001000" y="800100"/>
                <a:ext cx="1944000" cy="252000"/>
                <a:chOff x="8029575" y="790575"/>
                <a:chExt cx="1944000" cy="252000"/>
              </a:xfrm>
            </xdr:grpSpPr>
            <xdr:sp macro="" textlink="">
              <xdr:nvSpPr>
                <xdr:cNvPr id="3097" name="Group Box 25" hidden="1">
                  <a:extLst>
                    <a:ext uri="{63B3BB69-23CF-44E3-9099-C40C66FF867C}">
                      <a14:compatExt spid="_x0000_s3097"/>
                    </a:ext>
                    <a:ext uri="{FF2B5EF4-FFF2-40B4-BE49-F238E27FC236}">
                      <a16:creationId xmlns:a16="http://schemas.microsoft.com/office/drawing/2014/main" id="{00000000-0008-0000-0200-0000190C0000}"/>
                    </a:ext>
                  </a:extLst>
                </xdr:cNvPr>
                <xdr:cNvSpPr/>
              </xdr:nvSpPr>
              <xdr:spPr bwMode="auto">
                <a:xfrm>
                  <a:off x="8029575" y="790575"/>
                  <a:ext cx="1944000" cy="252000"/>
                </a:xfrm>
                <a:prstGeom prst="rect">
                  <a:avLst/>
                </a:prstGeom>
                <a:noFill/>
                <a:ln w="9525">
                  <a:miter lim="800000"/>
                  <a:headEnd/>
                  <a:tailEnd/>
                </a:ln>
                <a:extLst>
                  <a:ext uri="{909E8E84-426E-40DD-AFC4-6F175D3DCCD1}">
                    <a14:hiddenFill>
                      <a:noFill/>
                    </a14:hiddenFill>
                  </a:ext>
                </a:extLst>
              </xdr:spPr>
            </xdr:sp>
            <xdr:sp macro="" textlink="">
              <xdr:nvSpPr>
                <xdr:cNvPr id="3098" name="Option Button 26" hidden="1">
                  <a:extLst>
                    <a:ext uri="{63B3BB69-23CF-44E3-9099-C40C66FF867C}">
                      <a14:compatExt spid="_x0000_s3098"/>
                    </a:ext>
                    <a:ext uri="{FF2B5EF4-FFF2-40B4-BE49-F238E27FC236}">
                      <a16:creationId xmlns:a16="http://schemas.microsoft.com/office/drawing/2014/main" id="{00000000-0008-0000-0200-00001A0C0000}"/>
                    </a:ext>
                  </a:extLst>
                </xdr:cNvPr>
                <xdr:cNvSpPr/>
              </xdr:nvSpPr>
              <xdr:spPr bwMode="auto">
                <a:xfrm>
                  <a:off x="8105774" y="823912"/>
                  <a:ext cx="90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3099" name="Option Button 27" hidden="1">
                  <a:extLst>
                    <a:ext uri="{63B3BB69-23CF-44E3-9099-C40C66FF867C}">
                      <a14:compatExt spid="_x0000_s3099"/>
                    </a:ext>
                    <a:ext uri="{FF2B5EF4-FFF2-40B4-BE49-F238E27FC236}">
                      <a16:creationId xmlns:a16="http://schemas.microsoft.com/office/drawing/2014/main" id="{00000000-0008-0000-0200-00001B0C0000}"/>
                    </a:ext>
                  </a:extLst>
                </xdr:cNvPr>
                <xdr:cNvSpPr/>
              </xdr:nvSpPr>
              <xdr:spPr bwMode="auto">
                <a:xfrm>
                  <a:off x="9029700" y="823425"/>
                  <a:ext cx="895350" cy="1809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mc:Choice>
        <mc:Fallback/>
      </mc:AlternateContent>
    </xdr:grpSp>
    <xdr:clientData/>
  </xdr:twoCellAnchor>
  <xdr:twoCellAnchor>
    <xdr:from>
      <xdr:col>18</xdr:col>
      <xdr:colOff>9524</xdr:colOff>
      <xdr:row>33</xdr:row>
      <xdr:rowOff>152398</xdr:rowOff>
    </xdr:from>
    <xdr:to>
      <xdr:col>21</xdr:col>
      <xdr:colOff>264403</xdr:colOff>
      <xdr:row>35</xdr:row>
      <xdr:rowOff>8548</xdr:rowOff>
    </xdr:to>
    <xdr:grpSp>
      <xdr:nvGrpSpPr>
        <xdr:cNvPr id="3162" name="Group 3161">
          <a:extLst>
            <a:ext uri="{FF2B5EF4-FFF2-40B4-BE49-F238E27FC236}">
              <a16:creationId xmlns:a16="http://schemas.microsoft.com/office/drawing/2014/main" id="{00000000-0008-0000-0200-00005A0C0000}"/>
            </a:ext>
          </a:extLst>
        </xdr:cNvPr>
        <xdr:cNvGrpSpPr/>
      </xdr:nvGrpSpPr>
      <xdr:grpSpPr>
        <a:xfrm>
          <a:off x="10982324" y="5638798"/>
          <a:ext cx="2083679" cy="180000"/>
          <a:chOff x="5257799" y="4924423"/>
          <a:chExt cx="2083679" cy="180000"/>
        </a:xfrm>
      </xdr:grpSpPr>
      <xdr:sp macro="" textlink="">
        <xdr:nvSpPr>
          <xdr:cNvPr id="3168" name="TextBox 3167">
            <a:extLst>
              <a:ext uri="{FF2B5EF4-FFF2-40B4-BE49-F238E27FC236}">
                <a16:creationId xmlns:a16="http://schemas.microsoft.com/office/drawing/2014/main" id="{00000000-0008-0000-0200-0000600C0000}"/>
              </a:ext>
            </a:extLst>
          </xdr:cNvPr>
          <xdr:cNvSpPr txBox="1"/>
        </xdr:nvSpPr>
        <xdr:spPr>
          <a:xfrm flipH="1">
            <a:off x="6189478" y="4924423"/>
            <a:ext cx="1152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0" i="0" u="none" strike="noStrike" cap="none" spc="0">
                <a:ln w="0"/>
                <a:solidFill>
                  <a:srgbClr val="B1F5F1"/>
                </a:solidFill>
                <a:effectLst>
                  <a:outerShdw blurRad="38100" dist="25400" dir="5400000" algn="ctr" rotWithShape="0">
                    <a:srgbClr val="6E747A">
                      <a:alpha val="43000"/>
                    </a:srgbClr>
                  </a:outerShdw>
                </a:effectLst>
                <a:latin typeface="Avenir Next LT Pro"/>
              </a:rPr>
              <a:t>By Profit</a:t>
            </a:r>
          </a:p>
        </xdr:txBody>
      </xdr:sp>
      <xdr:sp macro="" textlink="">
        <xdr:nvSpPr>
          <xdr:cNvPr id="3169" name="TextBox 3168">
            <a:extLst>
              <a:ext uri="{FF2B5EF4-FFF2-40B4-BE49-F238E27FC236}">
                <a16:creationId xmlns:a16="http://schemas.microsoft.com/office/drawing/2014/main" id="{00000000-0008-0000-0200-0000610C0000}"/>
              </a:ext>
            </a:extLst>
          </xdr:cNvPr>
          <xdr:cNvSpPr txBox="1"/>
        </xdr:nvSpPr>
        <xdr:spPr>
          <a:xfrm flipH="1">
            <a:off x="5257799" y="4924423"/>
            <a:ext cx="720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0" i="0" u="none" strike="noStrike" cap="none" spc="0">
                <a:ln w="0"/>
                <a:solidFill>
                  <a:srgbClr val="B1F5F1"/>
                </a:solidFill>
                <a:effectLst>
                  <a:outerShdw blurRad="38100" dist="25400" dir="5400000" algn="ctr" rotWithShape="0">
                    <a:srgbClr val="6E747A">
                      <a:alpha val="43000"/>
                    </a:srgbClr>
                  </a:outerShdw>
                </a:effectLst>
                <a:latin typeface="Avenir Next LT Pro"/>
              </a:rPr>
              <a:t>By</a:t>
            </a:r>
            <a:r>
              <a:rPr lang="en-US" sz="1000" b="0" i="0" u="none" strike="noStrike" cap="none" spc="0" baseline="0">
                <a:ln w="0"/>
                <a:solidFill>
                  <a:srgbClr val="B1F5F1"/>
                </a:solidFill>
                <a:effectLst>
                  <a:outerShdw blurRad="38100" dist="25400" dir="5400000" algn="ctr" rotWithShape="0">
                    <a:srgbClr val="6E747A">
                      <a:alpha val="43000"/>
                    </a:srgbClr>
                  </a:outerShdw>
                </a:effectLst>
                <a:latin typeface="Avenir Next LT Pro"/>
              </a:rPr>
              <a:t> Sale</a:t>
            </a:r>
            <a:endParaRPr lang="en-US" sz="1000" b="0" i="0" u="none" strike="noStrike" cap="none" spc="0">
              <a:ln w="0"/>
              <a:solidFill>
                <a:srgbClr val="B1F5F1"/>
              </a:solidFill>
              <a:effectLst>
                <a:outerShdw blurRad="38100" dist="25400" dir="5400000" algn="ctr" rotWithShape="0">
                  <a:srgbClr val="6E747A">
                    <a:alpha val="43000"/>
                  </a:srgbClr>
                </a:outerShdw>
              </a:effectLst>
              <a:latin typeface="Avenir Next LT Pro"/>
            </a:endParaRPr>
          </a:p>
        </xdr:txBody>
      </xdr:sp>
    </xdr:grpSp>
    <xdr:clientData/>
  </xdr:twoCellAnchor>
  <mc:AlternateContent xmlns:mc="http://schemas.openxmlformats.org/markup-compatibility/2006">
    <mc:Choice xmlns:a14="http://schemas.microsoft.com/office/drawing/2010/main" Requires="a14">
      <xdr:twoCellAnchor editAs="oneCell">
        <xdr:from>
          <xdr:col>17</xdr:col>
          <xdr:colOff>409575</xdr:colOff>
          <xdr:row>33</xdr:row>
          <xdr:rowOff>123825</xdr:rowOff>
        </xdr:from>
        <xdr:to>
          <xdr:col>20</xdr:col>
          <xdr:colOff>523875</xdr:colOff>
          <xdr:row>35</xdr:row>
          <xdr:rowOff>47625</xdr:rowOff>
        </xdr:to>
        <xdr:sp macro="" textlink="">
          <xdr:nvSpPr>
            <xdr:cNvPr id="3100" name="Group Box 28" hidden="1">
              <a:extLst>
                <a:ext uri="{63B3BB69-23CF-44E3-9099-C40C66FF867C}">
                  <a14:compatExt spid="_x0000_s3100"/>
                </a:ext>
                <a:ext uri="{FF2B5EF4-FFF2-40B4-BE49-F238E27FC236}">
                  <a16:creationId xmlns:a16="http://schemas.microsoft.com/office/drawing/2014/main" id="{00000000-0008-0000-0200-00001C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485775</xdr:colOff>
          <xdr:row>33</xdr:row>
          <xdr:rowOff>152400</xdr:rowOff>
        </xdr:from>
        <xdr:to>
          <xdr:col>19</xdr:col>
          <xdr:colOff>161925</xdr:colOff>
          <xdr:row>35</xdr:row>
          <xdr:rowOff>9525</xdr:rowOff>
        </xdr:to>
        <xdr:sp macro="" textlink="">
          <xdr:nvSpPr>
            <xdr:cNvPr id="3141" name="Option Button 29" hidden="1">
              <a:extLst>
                <a:ext uri="{63B3BB69-23CF-44E3-9099-C40C66FF867C}">
                  <a14:compatExt spid="_x0000_s3101"/>
                </a:ext>
                <a:ext uri="{FF2B5EF4-FFF2-40B4-BE49-F238E27FC236}">
                  <a16:creationId xmlns:a16="http://schemas.microsoft.com/office/drawing/2014/main" id="{00000000-0008-0000-0200-00004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190500</xdr:colOff>
          <xdr:row>33</xdr:row>
          <xdr:rowOff>152400</xdr:rowOff>
        </xdr:from>
        <xdr:to>
          <xdr:col>20</xdr:col>
          <xdr:colOff>476250</xdr:colOff>
          <xdr:row>35</xdr:row>
          <xdr:rowOff>9525</xdr:rowOff>
        </xdr:to>
        <xdr:sp macro="" textlink="">
          <xdr:nvSpPr>
            <xdr:cNvPr id="3102" name="Option Button 30" hidden="1">
              <a:extLst>
                <a:ext uri="{63B3BB69-23CF-44E3-9099-C40C66FF867C}">
                  <a14:compatExt spid="_x0000_s3102"/>
                </a:ext>
                <a:ext uri="{FF2B5EF4-FFF2-40B4-BE49-F238E27FC236}">
                  <a16:creationId xmlns:a16="http://schemas.microsoft.com/office/drawing/2014/main" id="{00000000-0008-0000-0200-00001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552450</xdr:colOff>
          <xdr:row>8</xdr:row>
          <xdr:rowOff>142875</xdr:rowOff>
        </xdr:from>
        <xdr:to>
          <xdr:col>4</xdr:col>
          <xdr:colOff>352425</xdr:colOff>
          <xdr:row>20</xdr:row>
          <xdr:rowOff>142875</xdr:rowOff>
        </xdr:to>
        <xdr:sp macro="" textlink="">
          <xdr:nvSpPr>
            <xdr:cNvPr id="4099" name="Group Box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CA" sz="800" b="0" i="0" u="none" strike="noStrike" baseline="0">
                  <a:solidFill>
                    <a:srgbClr val="000000"/>
                  </a:solidFill>
                  <a:latin typeface="Segoe UI"/>
                  <a:cs typeface="Segoe UI"/>
                </a:rPr>
                <a:t>Group Box 3</a:t>
              </a:r>
            </a:p>
          </xdr:txBody>
        </xdr:sp>
        <xdr:clientData/>
      </xdr:twoCellAnchor>
    </mc:Choice>
    <mc:Fallback/>
  </mc:AlternateContent>
  <xdr:twoCellAnchor editAs="oneCell">
    <xdr:from>
      <xdr:col>0</xdr:col>
      <xdr:colOff>0</xdr:colOff>
      <xdr:row>0</xdr:row>
      <xdr:rowOff>0</xdr:rowOff>
    </xdr:from>
    <xdr:to>
      <xdr:col>30</xdr:col>
      <xdr:colOff>514350</xdr:colOff>
      <xdr:row>54</xdr:row>
      <xdr:rowOff>152400</xdr:rowOff>
    </xdr:to>
    <xdr:pic>
      <xdr:nvPicPr>
        <xdr:cNvPr id="11" name="Picture 10">
          <a:extLst>
            <a:ext uri="{FF2B5EF4-FFF2-40B4-BE49-F238E27FC236}">
              <a16:creationId xmlns:a16="http://schemas.microsoft.com/office/drawing/2014/main" id="{00000000-0008-0000-0300-00000B000000}"/>
            </a:ext>
          </a:extLst>
        </xdr:cNvPr>
        <xdr:cNvPicPr>
          <a:picLocks noChangeAspect="1" noChangeArrowheads="1"/>
        </xdr:cNvPicPr>
      </xdr:nvPicPr>
      <xdr:blipFill>
        <a:blip xmlns:r="http://schemas.openxmlformats.org/officeDocument/2006/relationships" r:embed="rId1">
          <a:alphaModFix amt="20000"/>
          <a:extLst>
            <a:ext uri="{28A0092B-C50C-407E-A947-70E740481C1C}">
              <a14:useLocalDpi xmlns:a14="http://schemas.microsoft.com/office/drawing/2010/main" val="0"/>
            </a:ext>
          </a:extLst>
        </a:blip>
        <a:srcRect/>
        <a:stretch>
          <a:fillRect/>
        </a:stretch>
      </xdr:blipFill>
      <xdr:spPr bwMode="auto">
        <a:xfrm rot="10800000" flipV="1">
          <a:off x="0" y="0"/>
          <a:ext cx="18802350" cy="8896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466725</xdr:colOff>
          <xdr:row>33</xdr:row>
          <xdr:rowOff>19050</xdr:rowOff>
        </xdr:from>
        <xdr:to>
          <xdr:col>8</xdr:col>
          <xdr:colOff>114300</xdr:colOff>
          <xdr:row>37</xdr:row>
          <xdr:rowOff>142875</xdr:rowOff>
        </xdr:to>
        <xdr:sp macro="" textlink="">
          <xdr:nvSpPr>
            <xdr:cNvPr id="4111" name="Group Box 15" hidden="1">
              <a:extLst>
                <a:ext uri="{63B3BB69-23CF-44E3-9099-C40C66FF867C}">
                  <a14:compatExt spid="_x0000_s4111"/>
                </a:ext>
                <a:ext uri="{FF2B5EF4-FFF2-40B4-BE49-F238E27FC236}">
                  <a16:creationId xmlns:a16="http://schemas.microsoft.com/office/drawing/2014/main" id="{00000000-0008-0000-0300-00000F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9</xdr:col>
      <xdr:colOff>523875</xdr:colOff>
      <xdr:row>4</xdr:row>
      <xdr:rowOff>95250</xdr:rowOff>
    </xdr:from>
    <xdr:to>
      <xdr:col>28</xdr:col>
      <xdr:colOff>352425</xdr:colOff>
      <xdr:row>55</xdr:row>
      <xdr:rowOff>57150</xdr:rowOff>
    </xdr:to>
    <mc:AlternateContent xmlns:mc="http://schemas.openxmlformats.org/markup-compatibility/2006">
      <mc:Choice xmlns:cx4="http://schemas.microsoft.com/office/drawing/2016/5/10/chartex" Requires="cx4">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6010275" y="742950"/>
              <a:ext cx="11410950" cy="8220075"/>
            </a:xfrm>
            <a:prstGeom prst="rect">
              <a:avLst/>
            </a:prstGeom>
            <a:solidFill>
              <a:prstClr val="white"/>
            </a:solidFill>
            <a:ln w="1">
              <a:solidFill>
                <a:prstClr val="green"/>
              </a:solidFill>
            </a:ln>
          </xdr:spPr>
          <xdr:txBody>
            <a:bodyPr vertOverflow="clip" horzOverflow="clip"/>
            <a:lstStyle/>
            <a:p>
              <a:r>
                <a:rPr lang="en-CA"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570412</xdr:colOff>
      <xdr:row>31</xdr:row>
      <xdr:rowOff>28574</xdr:rowOff>
    </xdr:from>
    <xdr:to>
      <xdr:col>8</xdr:col>
      <xdr:colOff>13612</xdr:colOff>
      <xdr:row>54</xdr:row>
      <xdr:rowOff>47624</xdr:rowOff>
    </xdr:to>
    <xdr:grpSp>
      <xdr:nvGrpSpPr>
        <xdr:cNvPr id="63" name="Group 62">
          <a:extLst>
            <a:ext uri="{FF2B5EF4-FFF2-40B4-BE49-F238E27FC236}">
              <a16:creationId xmlns:a16="http://schemas.microsoft.com/office/drawing/2014/main" id="{00000000-0008-0000-0300-00003F000000}"/>
            </a:ext>
          </a:extLst>
        </xdr:cNvPr>
        <xdr:cNvGrpSpPr/>
      </xdr:nvGrpSpPr>
      <xdr:grpSpPr>
        <a:xfrm>
          <a:off x="570412" y="5048249"/>
          <a:ext cx="4320000" cy="3743325"/>
          <a:chOff x="694237" y="5210174"/>
          <a:chExt cx="4320000" cy="3743325"/>
        </a:xfrm>
      </xdr:grpSpPr>
      <xdr:sp macro="" textlink="">
        <xdr:nvSpPr>
          <xdr:cNvPr id="19" name="Rectangle: Rounded Corners 18">
            <a:extLst>
              <a:ext uri="{FF2B5EF4-FFF2-40B4-BE49-F238E27FC236}">
                <a16:creationId xmlns:a16="http://schemas.microsoft.com/office/drawing/2014/main" id="{00000000-0008-0000-0300-000013000000}"/>
              </a:ext>
            </a:extLst>
          </xdr:cNvPr>
          <xdr:cNvSpPr/>
        </xdr:nvSpPr>
        <xdr:spPr>
          <a:xfrm>
            <a:off x="694237" y="5210174"/>
            <a:ext cx="4320000" cy="3743325"/>
          </a:xfrm>
          <a:prstGeom prst="roundRect">
            <a:avLst>
              <a:gd name="adj" fmla="val 7761"/>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aphicFrame macro="">
        <xdr:nvGraphicFramePr>
          <xdr:cNvPr id="53" name="Chart 52">
            <a:extLst>
              <a:ext uri="{FF2B5EF4-FFF2-40B4-BE49-F238E27FC236}">
                <a16:creationId xmlns:a16="http://schemas.microsoft.com/office/drawing/2014/main" id="{00000000-0008-0000-0300-000035000000}"/>
              </a:ext>
            </a:extLst>
          </xdr:cNvPr>
          <xdr:cNvGraphicFramePr>
            <a:graphicFrameLocks/>
          </xdr:cNvGraphicFramePr>
        </xdr:nvGraphicFramePr>
        <xdr:xfrm>
          <a:off x="752475" y="6191250"/>
          <a:ext cx="4181475" cy="2647949"/>
        </xdr:xfrm>
        <a:graphic>
          <a:graphicData uri="http://schemas.openxmlformats.org/drawingml/2006/chart">
            <c:chart xmlns:c="http://schemas.openxmlformats.org/drawingml/2006/chart" xmlns:r="http://schemas.openxmlformats.org/officeDocument/2006/relationships" r:id="rId3"/>
          </a:graphicData>
        </a:graphic>
      </xdr:graphicFrame>
      <xdr:grpSp>
        <xdr:nvGrpSpPr>
          <xdr:cNvPr id="58" name="Group 57">
            <a:extLst>
              <a:ext uri="{FF2B5EF4-FFF2-40B4-BE49-F238E27FC236}">
                <a16:creationId xmlns:a16="http://schemas.microsoft.com/office/drawing/2014/main" id="{00000000-0008-0000-0300-00003A000000}"/>
              </a:ext>
            </a:extLst>
          </xdr:cNvPr>
          <xdr:cNvGrpSpPr/>
        </xdr:nvGrpSpPr>
        <xdr:grpSpPr>
          <a:xfrm>
            <a:off x="1054012" y="5834063"/>
            <a:ext cx="3870413" cy="361950"/>
            <a:chOff x="1139737" y="5834063"/>
            <a:chExt cx="3870413" cy="361950"/>
          </a:xfrm>
        </xdr:grpSpPr>
        <xdr:grpSp>
          <xdr:nvGrpSpPr>
            <xdr:cNvPr id="44" name="Group 43">
              <a:extLst>
                <a:ext uri="{FF2B5EF4-FFF2-40B4-BE49-F238E27FC236}">
                  <a16:creationId xmlns:a16="http://schemas.microsoft.com/office/drawing/2014/main" id="{00000000-0008-0000-0300-00002C000000}"/>
                </a:ext>
              </a:extLst>
            </xdr:cNvPr>
            <xdr:cNvGrpSpPr/>
          </xdr:nvGrpSpPr>
          <xdr:grpSpPr>
            <a:xfrm>
              <a:off x="1301663" y="5881688"/>
              <a:ext cx="3419474" cy="314325"/>
              <a:chOff x="1543051" y="6134100"/>
              <a:chExt cx="3419474" cy="314325"/>
            </a:xfrm>
          </xdr:grpSpPr>
          <xdr:sp macro="" textlink="">
            <xdr:nvSpPr>
              <xdr:cNvPr id="21" name="TextBox 20">
                <a:extLst>
                  <a:ext uri="{FF2B5EF4-FFF2-40B4-BE49-F238E27FC236}">
                    <a16:creationId xmlns:a16="http://schemas.microsoft.com/office/drawing/2014/main" id="{00000000-0008-0000-0300-000015000000}"/>
                  </a:ext>
                </a:extLst>
              </xdr:cNvPr>
              <xdr:cNvSpPr txBox="1"/>
            </xdr:nvSpPr>
            <xdr:spPr>
              <a:xfrm>
                <a:off x="1543051" y="6134100"/>
                <a:ext cx="704849" cy="31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US" sz="1200" b="0" i="0" u="none" strike="noStrike">
                    <a:solidFill>
                      <a:schemeClr val="bg1"/>
                    </a:solidFill>
                    <a:latin typeface="Avenir Next LT Pro Light" panose="020B0304020202020204" pitchFamily="34" charset="0"/>
                    <a:cs typeface="+mn-cs"/>
                  </a:rPr>
                  <a:t>Central</a:t>
                </a:r>
              </a:p>
            </xdr:txBody>
          </xdr:sp>
          <xdr:sp macro="" textlink="">
            <xdr:nvSpPr>
              <xdr:cNvPr id="25" name="TextBox 24">
                <a:extLst>
                  <a:ext uri="{FF2B5EF4-FFF2-40B4-BE49-F238E27FC236}">
                    <a16:creationId xmlns:a16="http://schemas.microsoft.com/office/drawing/2014/main" id="{00000000-0008-0000-0300-000019000000}"/>
                  </a:ext>
                </a:extLst>
              </xdr:cNvPr>
              <xdr:cNvSpPr txBox="1"/>
            </xdr:nvSpPr>
            <xdr:spPr>
              <a:xfrm>
                <a:off x="2609849" y="6134100"/>
                <a:ext cx="473075" cy="31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US" sz="1200" b="0" i="0" u="none" strike="noStrike">
                    <a:solidFill>
                      <a:schemeClr val="bg1"/>
                    </a:solidFill>
                    <a:latin typeface="Avenir Next LT Pro Light" panose="020B0304020202020204" pitchFamily="34" charset="0"/>
                    <a:cs typeface="+mn-cs"/>
                  </a:rPr>
                  <a:t>East</a:t>
                </a:r>
              </a:p>
            </xdr:txBody>
          </xdr:sp>
          <xdr:sp macro="" textlink="Pivot_tables!AI42">
            <xdr:nvSpPr>
              <xdr:cNvPr id="38" name="TextBox 37">
                <a:extLst>
                  <a:ext uri="{FF2B5EF4-FFF2-40B4-BE49-F238E27FC236}">
                    <a16:creationId xmlns:a16="http://schemas.microsoft.com/office/drawing/2014/main" id="{00000000-0008-0000-0300-000026000000}"/>
                  </a:ext>
                </a:extLst>
              </xdr:cNvPr>
              <xdr:cNvSpPr txBox="1"/>
            </xdr:nvSpPr>
            <xdr:spPr>
              <a:xfrm>
                <a:off x="3444873" y="6134100"/>
                <a:ext cx="603251" cy="31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US" sz="1200" b="0" i="0" u="none" strike="noStrike">
                    <a:solidFill>
                      <a:schemeClr val="bg1"/>
                    </a:solidFill>
                    <a:latin typeface="Avenir Next LT Pro Light" panose="020B0304020202020204" pitchFamily="34" charset="0"/>
                    <a:cs typeface="+mn-cs"/>
                  </a:rPr>
                  <a:t>South</a:t>
                </a:r>
              </a:p>
            </xdr:txBody>
          </xdr:sp>
          <xdr:sp macro="" textlink="Pivot_tables!AI42">
            <xdr:nvSpPr>
              <xdr:cNvPr id="41" name="TextBox 40">
                <a:extLst>
                  <a:ext uri="{FF2B5EF4-FFF2-40B4-BE49-F238E27FC236}">
                    <a16:creationId xmlns:a16="http://schemas.microsoft.com/office/drawing/2014/main" id="{00000000-0008-0000-0300-000029000000}"/>
                  </a:ext>
                </a:extLst>
              </xdr:cNvPr>
              <xdr:cNvSpPr txBox="1"/>
            </xdr:nvSpPr>
            <xdr:spPr>
              <a:xfrm>
                <a:off x="4410074" y="6134100"/>
                <a:ext cx="552451" cy="31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US" sz="1200" b="0" i="0" u="none" strike="noStrike">
                    <a:solidFill>
                      <a:schemeClr val="bg1"/>
                    </a:solidFill>
                    <a:latin typeface="Avenir Next LT Pro Light" panose="020B0304020202020204" pitchFamily="34" charset="0"/>
                    <a:cs typeface="+mn-cs"/>
                  </a:rPr>
                  <a:t>West</a:t>
                </a:r>
              </a:p>
            </xdr:txBody>
          </xdr:sp>
        </xdr:grpSp>
        <mc:AlternateContent xmlns:mc="http://schemas.openxmlformats.org/markup-compatibility/2006">
          <mc:Choice xmlns:a14="http://schemas.microsoft.com/office/drawing/2010/main" Requires="a14">
            <xdr:grpSp>
              <xdr:nvGrpSpPr>
                <xdr:cNvPr id="55" name="Group 54">
                  <a:extLst>
                    <a:ext uri="{FF2B5EF4-FFF2-40B4-BE49-F238E27FC236}">
                      <a16:creationId xmlns:a16="http://schemas.microsoft.com/office/drawing/2014/main" id="{00000000-0008-0000-0300-000037000000}"/>
                    </a:ext>
                  </a:extLst>
                </xdr:cNvPr>
                <xdr:cNvGrpSpPr/>
              </xdr:nvGrpSpPr>
              <xdr:grpSpPr>
                <a:xfrm>
                  <a:off x="1139737" y="5834063"/>
                  <a:ext cx="3870413" cy="361950"/>
                  <a:chOff x="1139737" y="5834063"/>
                  <a:chExt cx="3870413" cy="361950"/>
                </a:xfrm>
              </xdr:grpSpPr>
              <xdr:sp macro="" textlink="">
                <xdr:nvSpPr>
                  <xdr:cNvPr id="4112" name="Option Button 16" hidden="1">
                    <a:extLst>
                      <a:ext uri="{63B3BB69-23CF-44E3-9099-C40C66FF867C}">
                        <a14:compatExt spid="_x0000_s4112"/>
                      </a:ext>
                      <a:ext uri="{FF2B5EF4-FFF2-40B4-BE49-F238E27FC236}">
                        <a16:creationId xmlns:a16="http://schemas.microsoft.com/office/drawing/2014/main" id="{00000000-0008-0000-0300-000010100000}"/>
                      </a:ext>
                    </a:extLst>
                  </xdr:cNvPr>
                  <xdr:cNvSpPr/>
                </xdr:nvSpPr>
                <xdr:spPr bwMode="auto">
                  <a:xfrm>
                    <a:off x="1139737" y="5834063"/>
                    <a:ext cx="784313"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13" name="Option Button 17" hidden="1">
                    <a:extLst>
                      <a:ext uri="{63B3BB69-23CF-44E3-9099-C40C66FF867C}">
                        <a14:compatExt spid="_x0000_s4113"/>
                      </a:ext>
                      <a:ext uri="{FF2B5EF4-FFF2-40B4-BE49-F238E27FC236}">
                        <a16:creationId xmlns:a16="http://schemas.microsoft.com/office/drawing/2014/main" id="{00000000-0008-0000-0300-000011100000}"/>
                      </a:ext>
                    </a:extLst>
                  </xdr:cNvPr>
                  <xdr:cNvSpPr/>
                </xdr:nvSpPr>
                <xdr:spPr bwMode="auto">
                  <a:xfrm>
                    <a:off x="2206537" y="5834063"/>
                    <a:ext cx="657225"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14" name="Option Button 18" hidden="1">
                    <a:extLst>
                      <a:ext uri="{63B3BB69-23CF-44E3-9099-C40C66FF867C}">
                        <a14:compatExt spid="_x0000_s4114"/>
                      </a:ext>
                      <a:ext uri="{FF2B5EF4-FFF2-40B4-BE49-F238E27FC236}">
                        <a16:creationId xmlns:a16="http://schemas.microsoft.com/office/drawing/2014/main" id="{00000000-0008-0000-0300-000012100000}"/>
                      </a:ext>
                    </a:extLst>
                  </xdr:cNvPr>
                  <xdr:cNvSpPr/>
                </xdr:nvSpPr>
                <xdr:spPr bwMode="auto">
                  <a:xfrm>
                    <a:off x="3044737" y="5834063"/>
                    <a:ext cx="790575"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15" name="Option Button 19" hidden="1">
                    <a:extLst>
                      <a:ext uri="{63B3BB69-23CF-44E3-9099-C40C66FF867C}">
                        <a14:compatExt spid="_x0000_s4115"/>
                      </a:ext>
                      <a:ext uri="{FF2B5EF4-FFF2-40B4-BE49-F238E27FC236}">
                        <a16:creationId xmlns:a16="http://schemas.microsoft.com/office/drawing/2014/main" id="{00000000-0008-0000-0300-000013100000}"/>
                      </a:ext>
                    </a:extLst>
                  </xdr:cNvPr>
                  <xdr:cNvSpPr/>
                </xdr:nvSpPr>
                <xdr:spPr bwMode="auto">
                  <a:xfrm>
                    <a:off x="4006762" y="5834063"/>
                    <a:ext cx="1003388"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mc:Choice>
          <mc:Fallback/>
        </mc:AlternateContent>
      </xdr:grpSp>
      <xdr:sp macro="" textlink="Pivot_tables!AI32">
        <xdr:nvSpPr>
          <xdr:cNvPr id="50" name="TextBox 49">
            <a:extLst>
              <a:ext uri="{FF2B5EF4-FFF2-40B4-BE49-F238E27FC236}">
                <a16:creationId xmlns:a16="http://schemas.microsoft.com/office/drawing/2014/main" id="{00000000-0008-0000-0300-000032000000}"/>
              </a:ext>
            </a:extLst>
          </xdr:cNvPr>
          <xdr:cNvSpPr txBox="1"/>
        </xdr:nvSpPr>
        <xdr:spPr>
          <a:xfrm>
            <a:off x="820650" y="5448300"/>
            <a:ext cx="4067174"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800">
                <a:solidFill>
                  <a:schemeClr val="bg1"/>
                </a:solidFill>
                <a:latin typeface="Avenir Next LT Pro" panose="020B0504020202020204" pitchFamily="34" charset="0"/>
              </a:rPr>
              <a:t>Regional</a:t>
            </a:r>
          </a:p>
        </xdr:txBody>
      </xdr:sp>
    </xdr:grpSp>
    <xdr:clientData/>
  </xdr:twoCellAnchor>
  <xdr:twoCellAnchor>
    <xdr:from>
      <xdr:col>8</xdr:col>
      <xdr:colOff>228600</xdr:colOff>
      <xdr:row>31</xdr:row>
      <xdr:rowOff>28575</xdr:rowOff>
    </xdr:from>
    <xdr:to>
      <xdr:col>9</xdr:col>
      <xdr:colOff>519000</xdr:colOff>
      <xdr:row>54</xdr:row>
      <xdr:rowOff>47624</xdr:rowOff>
    </xdr:to>
    <xdr:grpSp>
      <xdr:nvGrpSpPr>
        <xdr:cNvPr id="4098" name="Group 4097">
          <a:extLst>
            <a:ext uri="{FF2B5EF4-FFF2-40B4-BE49-F238E27FC236}">
              <a16:creationId xmlns:a16="http://schemas.microsoft.com/office/drawing/2014/main" id="{00000000-0008-0000-0300-000002100000}"/>
            </a:ext>
          </a:extLst>
        </xdr:cNvPr>
        <xdr:cNvGrpSpPr/>
      </xdr:nvGrpSpPr>
      <xdr:grpSpPr>
        <a:xfrm>
          <a:off x="5105400" y="5048250"/>
          <a:ext cx="900000" cy="3743324"/>
          <a:chOff x="5229225" y="5210175"/>
          <a:chExt cx="900000" cy="3743324"/>
        </a:xfrm>
      </xdr:grpSpPr>
      <xdr:sp macro="" textlink="">
        <xdr:nvSpPr>
          <xdr:cNvPr id="4096" name="Rectangle: Rounded Corners 4095">
            <a:extLst>
              <a:ext uri="{FF2B5EF4-FFF2-40B4-BE49-F238E27FC236}">
                <a16:creationId xmlns:a16="http://schemas.microsoft.com/office/drawing/2014/main" id="{00000000-0008-0000-0300-000000100000}"/>
              </a:ext>
            </a:extLst>
          </xdr:cNvPr>
          <xdr:cNvSpPr/>
        </xdr:nvSpPr>
        <xdr:spPr>
          <a:xfrm>
            <a:off x="5229225" y="5210175"/>
            <a:ext cx="900000" cy="3743324"/>
          </a:xfrm>
          <a:prstGeom prst="roundRect">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Pivot_tables!AI33">
        <xdr:nvSpPr>
          <xdr:cNvPr id="4097" name="TextBox 4096">
            <a:extLst>
              <a:ext uri="{FF2B5EF4-FFF2-40B4-BE49-F238E27FC236}">
                <a16:creationId xmlns:a16="http://schemas.microsoft.com/office/drawing/2014/main" id="{00000000-0008-0000-0300-000001100000}"/>
              </a:ext>
            </a:extLst>
          </xdr:cNvPr>
          <xdr:cNvSpPr txBox="1"/>
        </xdr:nvSpPr>
        <xdr:spPr>
          <a:xfrm>
            <a:off x="5277563" y="5318475"/>
            <a:ext cx="803325" cy="4632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1200" b="0" i="0" u="none" strike="noStrike">
                <a:solidFill>
                  <a:srgbClr val="B1F5F1"/>
                </a:solidFill>
                <a:latin typeface="Avenir Next LT Pro Light" panose="020B0304020202020204" pitchFamily="34" charset="0"/>
                <a:cs typeface="+mn-cs"/>
              </a:rPr>
              <a:t>Regional Totals</a:t>
            </a:r>
          </a:p>
        </xdr:txBody>
      </xdr:sp>
      <xdr:grpSp>
        <xdr:nvGrpSpPr>
          <xdr:cNvPr id="59" name="Group 58">
            <a:extLst>
              <a:ext uri="{FF2B5EF4-FFF2-40B4-BE49-F238E27FC236}">
                <a16:creationId xmlns:a16="http://schemas.microsoft.com/office/drawing/2014/main" id="{00000000-0008-0000-0300-00003B000000}"/>
              </a:ext>
            </a:extLst>
          </xdr:cNvPr>
          <xdr:cNvGrpSpPr/>
        </xdr:nvGrpSpPr>
        <xdr:grpSpPr>
          <a:xfrm>
            <a:off x="5277563" y="5842348"/>
            <a:ext cx="803325" cy="2964754"/>
            <a:chOff x="5286375" y="5918548"/>
            <a:chExt cx="803325" cy="2964754"/>
          </a:xfrm>
        </xdr:grpSpPr>
        <xdr:grpSp>
          <xdr:nvGrpSpPr>
            <xdr:cNvPr id="26" name="Group 25">
              <a:extLst>
                <a:ext uri="{FF2B5EF4-FFF2-40B4-BE49-F238E27FC236}">
                  <a16:creationId xmlns:a16="http://schemas.microsoft.com/office/drawing/2014/main" id="{00000000-0008-0000-0300-00001A000000}"/>
                </a:ext>
              </a:extLst>
            </xdr:cNvPr>
            <xdr:cNvGrpSpPr/>
          </xdr:nvGrpSpPr>
          <xdr:grpSpPr>
            <a:xfrm>
              <a:off x="5286375" y="5918548"/>
              <a:ext cx="803325" cy="529877"/>
              <a:chOff x="5277563" y="5994748"/>
              <a:chExt cx="803325" cy="529877"/>
            </a:xfrm>
          </xdr:grpSpPr>
          <xdr:sp macro="" textlink="">
            <xdr:nvSpPr>
              <xdr:cNvPr id="4106" name="TextBox 4105">
                <a:extLst>
                  <a:ext uri="{FF2B5EF4-FFF2-40B4-BE49-F238E27FC236}">
                    <a16:creationId xmlns:a16="http://schemas.microsoft.com/office/drawing/2014/main" id="{00000000-0008-0000-0300-00000A100000}"/>
                  </a:ext>
                </a:extLst>
              </xdr:cNvPr>
              <xdr:cNvSpPr txBox="1"/>
            </xdr:nvSpPr>
            <xdr:spPr>
              <a:xfrm>
                <a:off x="5277563" y="5994748"/>
                <a:ext cx="803325" cy="253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b="0" i="0" u="sng" strike="noStrike">
                    <a:solidFill>
                      <a:schemeClr val="bg1"/>
                    </a:solidFill>
                    <a:cs typeface="+mn-cs"/>
                  </a:rPr>
                  <a:t>Sales</a:t>
                </a:r>
              </a:p>
            </xdr:txBody>
          </xdr:sp>
          <xdr:sp macro="" textlink="Pivot_tables!AJ37">
            <xdr:nvSpPr>
              <xdr:cNvPr id="17" name="TextBox 16">
                <a:extLst>
                  <a:ext uri="{FF2B5EF4-FFF2-40B4-BE49-F238E27FC236}">
                    <a16:creationId xmlns:a16="http://schemas.microsoft.com/office/drawing/2014/main" id="{00000000-0008-0000-0300-000011000000}"/>
                  </a:ext>
                </a:extLst>
              </xdr:cNvPr>
              <xdr:cNvSpPr txBox="1"/>
            </xdr:nvSpPr>
            <xdr:spPr>
              <a:xfrm>
                <a:off x="5277563" y="6270973"/>
                <a:ext cx="803325" cy="253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E32ABF7D-175A-428B-818D-F2D703D8B3B6}" type="TxLink">
                  <a:rPr lang="en-US" sz="1100" b="0" i="0" u="none" strike="noStrike">
                    <a:solidFill>
                      <a:schemeClr val="bg1"/>
                    </a:solidFill>
                    <a:latin typeface="Avenir Next LT Pro"/>
                    <a:cs typeface="+mn-cs"/>
                  </a:rPr>
                  <a:pPr algn="ctr"/>
                  <a:t> 441,446 </a:t>
                </a:fld>
                <a:endParaRPr lang="en-US" sz="1100" b="0" i="0" u="none" strike="noStrike">
                  <a:solidFill>
                    <a:schemeClr val="bg1"/>
                  </a:solidFill>
                  <a:latin typeface="Avenir Next LT Pro"/>
                  <a:cs typeface="+mn-cs"/>
                </a:endParaRPr>
              </a:p>
            </xdr:txBody>
          </xdr:sp>
        </xdr:grpSp>
        <xdr:grpSp>
          <xdr:nvGrpSpPr>
            <xdr:cNvPr id="33" name="Group 32">
              <a:extLst>
                <a:ext uri="{FF2B5EF4-FFF2-40B4-BE49-F238E27FC236}">
                  <a16:creationId xmlns:a16="http://schemas.microsoft.com/office/drawing/2014/main" id="{00000000-0008-0000-0300-000021000000}"/>
                </a:ext>
              </a:extLst>
            </xdr:cNvPr>
            <xdr:cNvGrpSpPr/>
          </xdr:nvGrpSpPr>
          <xdr:grpSpPr>
            <a:xfrm>
              <a:off x="5286375" y="6527267"/>
              <a:ext cx="803325" cy="529877"/>
              <a:chOff x="5277563" y="5994748"/>
              <a:chExt cx="803325" cy="529877"/>
            </a:xfrm>
          </xdr:grpSpPr>
          <xdr:sp macro="" textlink="">
            <xdr:nvSpPr>
              <xdr:cNvPr id="34" name="TextBox 33">
                <a:extLst>
                  <a:ext uri="{FF2B5EF4-FFF2-40B4-BE49-F238E27FC236}">
                    <a16:creationId xmlns:a16="http://schemas.microsoft.com/office/drawing/2014/main" id="{00000000-0008-0000-0300-000022000000}"/>
                  </a:ext>
                </a:extLst>
              </xdr:cNvPr>
              <xdr:cNvSpPr txBox="1"/>
            </xdr:nvSpPr>
            <xdr:spPr>
              <a:xfrm>
                <a:off x="5277563" y="5994748"/>
                <a:ext cx="803325" cy="253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b="0" i="0" u="sng" strike="noStrike">
                    <a:solidFill>
                      <a:schemeClr val="bg1"/>
                    </a:solidFill>
                    <a:cs typeface="+mn-cs"/>
                  </a:rPr>
                  <a:t>Profit</a:t>
                </a:r>
              </a:p>
            </xdr:txBody>
          </xdr:sp>
          <xdr:sp macro="" textlink="Pivot_tables!AI37">
            <xdr:nvSpPr>
              <xdr:cNvPr id="36" name="TextBox 35">
                <a:extLst>
                  <a:ext uri="{FF2B5EF4-FFF2-40B4-BE49-F238E27FC236}">
                    <a16:creationId xmlns:a16="http://schemas.microsoft.com/office/drawing/2014/main" id="{00000000-0008-0000-0300-000024000000}"/>
                  </a:ext>
                </a:extLst>
              </xdr:cNvPr>
              <xdr:cNvSpPr txBox="1"/>
            </xdr:nvSpPr>
            <xdr:spPr>
              <a:xfrm>
                <a:off x="5277563" y="6270973"/>
                <a:ext cx="803325" cy="253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826B3038-B1F0-499E-AA47-181588FDB69D}" type="TxLink">
                  <a:rPr lang="en-US" sz="1100" b="0" i="0" u="none" strike="noStrike">
                    <a:solidFill>
                      <a:schemeClr val="bg1"/>
                    </a:solidFill>
                    <a:latin typeface="Avenir Next LT Pro"/>
                    <a:cs typeface="+mn-cs"/>
                  </a:rPr>
                  <a:pPr algn="ctr"/>
                  <a:t> 78,646 </a:t>
                </a:fld>
                <a:endParaRPr lang="en-US" sz="1100" b="0" i="0" u="none" strike="noStrike">
                  <a:solidFill>
                    <a:schemeClr val="bg1"/>
                  </a:solidFill>
                  <a:latin typeface="Avenir Next LT Pro"/>
                  <a:cs typeface="+mn-cs"/>
                </a:endParaRPr>
              </a:p>
            </xdr:txBody>
          </xdr:sp>
        </xdr:grpSp>
        <xdr:grpSp>
          <xdr:nvGrpSpPr>
            <xdr:cNvPr id="37" name="Group 36">
              <a:extLst>
                <a:ext uri="{FF2B5EF4-FFF2-40B4-BE49-F238E27FC236}">
                  <a16:creationId xmlns:a16="http://schemas.microsoft.com/office/drawing/2014/main" id="{00000000-0008-0000-0300-000025000000}"/>
                </a:ext>
              </a:extLst>
            </xdr:cNvPr>
            <xdr:cNvGrpSpPr/>
          </xdr:nvGrpSpPr>
          <xdr:grpSpPr>
            <a:xfrm>
              <a:off x="5286375" y="7135986"/>
              <a:ext cx="803325" cy="529877"/>
              <a:chOff x="5277563" y="5994748"/>
              <a:chExt cx="803325" cy="529877"/>
            </a:xfrm>
          </xdr:grpSpPr>
          <xdr:sp macro="" textlink="">
            <xdr:nvSpPr>
              <xdr:cNvPr id="42" name="TextBox 41">
                <a:extLst>
                  <a:ext uri="{FF2B5EF4-FFF2-40B4-BE49-F238E27FC236}">
                    <a16:creationId xmlns:a16="http://schemas.microsoft.com/office/drawing/2014/main" id="{00000000-0008-0000-0300-00002A000000}"/>
                  </a:ext>
                </a:extLst>
              </xdr:cNvPr>
              <xdr:cNvSpPr txBox="1"/>
            </xdr:nvSpPr>
            <xdr:spPr>
              <a:xfrm>
                <a:off x="5277563" y="5994748"/>
                <a:ext cx="803325" cy="253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b="0" i="0" u="sng" strike="noStrike">
                    <a:solidFill>
                      <a:schemeClr val="bg1"/>
                    </a:solidFill>
                    <a:cs typeface="+mn-cs"/>
                  </a:rPr>
                  <a:t>Discount</a:t>
                </a:r>
              </a:p>
            </xdr:txBody>
          </xdr:sp>
          <xdr:sp macro="" textlink="Pivot_tables!AH37">
            <xdr:nvSpPr>
              <xdr:cNvPr id="45" name="TextBox 44">
                <a:extLst>
                  <a:ext uri="{FF2B5EF4-FFF2-40B4-BE49-F238E27FC236}">
                    <a16:creationId xmlns:a16="http://schemas.microsoft.com/office/drawing/2014/main" id="{00000000-0008-0000-0300-00002D000000}"/>
                  </a:ext>
                </a:extLst>
              </xdr:cNvPr>
              <xdr:cNvSpPr txBox="1"/>
            </xdr:nvSpPr>
            <xdr:spPr>
              <a:xfrm>
                <a:off x="5277563" y="6270973"/>
                <a:ext cx="803325" cy="253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7DD3DFF6-E55B-4182-84B0-75039C1F075A}" type="TxLink">
                  <a:rPr lang="en-US" sz="1100" b="0" i="0" u="none" strike="noStrike">
                    <a:solidFill>
                      <a:schemeClr val="bg1"/>
                    </a:solidFill>
                    <a:latin typeface="Avenir Next LT Pro"/>
                    <a:cs typeface="+mn-cs"/>
                  </a:rPr>
                  <a:pPr algn="ctr"/>
                  <a:t> 27 </a:t>
                </a:fld>
                <a:endParaRPr lang="en-US" sz="1100" b="0" i="0" u="none" strike="noStrike">
                  <a:solidFill>
                    <a:schemeClr val="bg1"/>
                  </a:solidFill>
                  <a:latin typeface="Avenir Next LT Pro"/>
                  <a:cs typeface="+mn-cs"/>
                </a:endParaRPr>
              </a:p>
            </xdr:txBody>
          </xdr:sp>
        </xdr:grpSp>
        <xdr:grpSp>
          <xdr:nvGrpSpPr>
            <xdr:cNvPr id="47" name="Group 46">
              <a:extLst>
                <a:ext uri="{FF2B5EF4-FFF2-40B4-BE49-F238E27FC236}">
                  <a16:creationId xmlns:a16="http://schemas.microsoft.com/office/drawing/2014/main" id="{00000000-0008-0000-0300-00002F000000}"/>
                </a:ext>
              </a:extLst>
            </xdr:cNvPr>
            <xdr:cNvGrpSpPr/>
          </xdr:nvGrpSpPr>
          <xdr:grpSpPr>
            <a:xfrm>
              <a:off x="5286375" y="7744705"/>
              <a:ext cx="803325" cy="529877"/>
              <a:chOff x="5277563" y="5994748"/>
              <a:chExt cx="803325" cy="529877"/>
            </a:xfrm>
          </xdr:grpSpPr>
          <xdr:sp macro="" textlink="">
            <xdr:nvSpPr>
              <xdr:cNvPr id="48" name="TextBox 47">
                <a:extLst>
                  <a:ext uri="{FF2B5EF4-FFF2-40B4-BE49-F238E27FC236}">
                    <a16:creationId xmlns:a16="http://schemas.microsoft.com/office/drawing/2014/main" id="{00000000-0008-0000-0300-000030000000}"/>
                  </a:ext>
                </a:extLst>
              </xdr:cNvPr>
              <xdr:cNvSpPr txBox="1"/>
            </xdr:nvSpPr>
            <xdr:spPr>
              <a:xfrm>
                <a:off x="5277563" y="5994748"/>
                <a:ext cx="803325" cy="253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b="0" i="0" u="sng" strike="noStrike">
                    <a:solidFill>
                      <a:schemeClr val="bg1"/>
                    </a:solidFill>
                    <a:cs typeface="+mn-cs"/>
                  </a:rPr>
                  <a:t>Cost</a:t>
                </a:r>
              </a:p>
            </xdr:txBody>
          </xdr:sp>
          <xdr:sp macro="" textlink="Pivot_tables!AF37">
            <xdr:nvSpPr>
              <xdr:cNvPr id="49" name="TextBox 48">
                <a:extLst>
                  <a:ext uri="{FF2B5EF4-FFF2-40B4-BE49-F238E27FC236}">
                    <a16:creationId xmlns:a16="http://schemas.microsoft.com/office/drawing/2014/main" id="{00000000-0008-0000-0300-000031000000}"/>
                  </a:ext>
                </a:extLst>
              </xdr:cNvPr>
              <xdr:cNvSpPr txBox="1"/>
            </xdr:nvSpPr>
            <xdr:spPr>
              <a:xfrm>
                <a:off x="5277563" y="6270973"/>
                <a:ext cx="803325" cy="253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1F586AB3-E833-47CF-9400-7E7E45A09FD3}" type="TxLink">
                  <a:rPr lang="en-US" sz="1100" b="0" i="0" u="none" strike="noStrike">
                    <a:solidFill>
                      <a:schemeClr val="bg1"/>
                    </a:solidFill>
                    <a:latin typeface="Avenir Next LT Pro"/>
                    <a:cs typeface="+mn-cs"/>
                  </a:rPr>
                  <a:pPr algn="ctr"/>
                  <a:t> 335,102 </a:t>
                </a:fld>
                <a:endParaRPr lang="en-US" sz="1100" b="0" i="0" u="none" strike="noStrike">
                  <a:solidFill>
                    <a:schemeClr val="bg1"/>
                  </a:solidFill>
                  <a:latin typeface="Avenir Next LT Pro"/>
                  <a:cs typeface="+mn-cs"/>
                </a:endParaRPr>
              </a:p>
            </xdr:txBody>
          </xdr:sp>
        </xdr:grpSp>
        <xdr:grpSp>
          <xdr:nvGrpSpPr>
            <xdr:cNvPr id="51" name="Group 50">
              <a:extLst>
                <a:ext uri="{FF2B5EF4-FFF2-40B4-BE49-F238E27FC236}">
                  <a16:creationId xmlns:a16="http://schemas.microsoft.com/office/drawing/2014/main" id="{00000000-0008-0000-0300-000033000000}"/>
                </a:ext>
              </a:extLst>
            </xdr:cNvPr>
            <xdr:cNvGrpSpPr/>
          </xdr:nvGrpSpPr>
          <xdr:grpSpPr>
            <a:xfrm>
              <a:off x="5286375" y="8353425"/>
              <a:ext cx="803325" cy="529877"/>
              <a:chOff x="5277563" y="5994748"/>
              <a:chExt cx="803325" cy="529877"/>
            </a:xfrm>
          </xdr:grpSpPr>
          <xdr:sp macro="" textlink="">
            <xdr:nvSpPr>
              <xdr:cNvPr id="52" name="TextBox 51">
                <a:extLst>
                  <a:ext uri="{FF2B5EF4-FFF2-40B4-BE49-F238E27FC236}">
                    <a16:creationId xmlns:a16="http://schemas.microsoft.com/office/drawing/2014/main" id="{00000000-0008-0000-0300-000034000000}"/>
                  </a:ext>
                </a:extLst>
              </xdr:cNvPr>
              <xdr:cNvSpPr txBox="1"/>
            </xdr:nvSpPr>
            <xdr:spPr>
              <a:xfrm>
                <a:off x="5277563" y="5994748"/>
                <a:ext cx="803325" cy="253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b="0" i="0" u="sng" strike="noStrike">
                    <a:solidFill>
                      <a:schemeClr val="bg1"/>
                    </a:solidFill>
                    <a:cs typeface="+mn-cs"/>
                  </a:rPr>
                  <a:t>Shipping</a:t>
                </a:r>
              </a:p>
            </xdr:txBody>
          </xdr:sp>
          <xdr:sp macro="" textlink="Pivot_tables!AG37">
            <xdr:nvSpPr>
              <xdr:cNvPr id="54" name="TextBox 53">
                <a:extLst>
                  <a:ext uri="{FF2B5EF4-FFF2-40B4-BE49-F238E27FC236}">
                    <a16:creationId xmlns:a16="http://schemas.microsoft.com/office/drawing/2014/main" id="{00000000-0008-0000-0300-000036000000}"/>
                  </a:ext>
                </a:extLst>
              </xdr:cNvPr>
              <xdr:cNvSpPr txBox="1"/>
            </xdr:nvSpPr>
            <xdr:spPr>
              <a:xfrm>
                <a:off x="5277563" y="6270973"/>
                <a:ext cx="803325" cy="253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9FCCA1EF-E414-4265-9C71-3BDCBCDFEB98}" type="TxLink">
                  <a:rPr lang="en-US" sz="1100" b="0" i="0" u="none" strike="noStrike">
                    <a:solidFill>
                      <a:schemeClr val="bg1"/>
                    </a:solidFill>
                    <a:latin typeface="Avenir Next LT Pro"/>
                    <a:cs typeface="+mn-cs"/>
                  </a:rPr>
                  <a:pPr algn="ctr"/>
                  <a:t> 7,021 </a:t>
                </a:fld>
                <a:endParaRPr lang="en-US" sz="1100" b="0" i="0" u="none" strike="noStrike">
                  <a:solidFill>
                    <a:schemeClr val="bg1"/>
                  </a:solidFill>
                  <a:latin typeface="Avenir Next LT Pro"/>
                  <a:cs typeface="+mn-cs"/>
                </a:endParaRPr>
              </a:p>
            </xdr:txBody>
          </xdr:sp>
        </xdr:grpSp>
      </xdr:grpSp>
    </xdr:grpSp>
    <xdr:clientData/>
  </xdr:twoCellAnchor>
  <xdr:twoCellAnchor>
    <xdr:from>
      <xdr:col>1</xdr:col>
      <xdr:colOff>8435</xdr:colOff>
      <xdr:row>5</xdr:row>
      <xdr:rowOff>28575</xdr:rowOff>
    </xdr:from>
    <xdr:to>
      <xdr:col>8</xdr:col>
      <xdr:colOff>61235</xdr:colOff>
      <xdr:row>8</xdr:row>
      <xdr:rowOff>82800</xdr:rowOff>
    </xdr:to>
    <xdr:grpSp>
      <xdr:nvGrpSpPr>
        <xdr:cNvPr id="9" name="Group 8">
          <a:extLst>
            <a:ext uri="{FF2B5EF4-FFF2-40B4-BE49-F238E27FC236}">
              <a16:creationId xmlns:a16="http://schemas.microsoft.com/office/drawing/2014/main" id="{00000000-0008-0000-0300-000009000000}"/>
            </a:ext>
          </a:extLst>
        </xdr:cNvPr>
        <xdr:cNvGrpSpPr/>
      </xdr:nvGrpSpPr>
      <xdr:grpSpPr>
        <a:xfrm>
          <a:off x="618035" y="838200"/>
          <a:ext cx="4320000" cy="540000"/>
          <a:chOff x="618035" y="838200"/>
          <a:chExt cx="4320000" cy="540000"/>
        </a:xfrm>
      </xdr:grpSpPr>
      <xdr:sp macro="" textlink="">
        <xdr:nvSpPr>
          <xdr:cNvPr id="46" name="Rectangle: Rounded Corners 45">
            <a:extLst>
              <a:ext uri="{FF2B5EF4-FFF2-40B4-BE49-F238E27FC236}">
                <a16:creationId xmlns:a16="http://schemas.microsoft.com/office/drawing/2014/main" id="{00000000-0008-0000-0300-00002E000000}"/>
              </a:ext>
            </a:extLst>
          </xdr:cNvPr>
          <xdr:cNvSpPr/>
        </xdr:nvSpPr>
        <xdr:spPr>
          <a:xfrm>
            <a:off x="618035" y="838200"/>
            <a:ext cx="4320000" cy="540000"/>
          </a:xfrm>
          <a:prstGeom prst="roundRect">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Pivot_tables!Z6">
        <xdr:nvSpPr>
          <xdr:cNvPr id="13" name="TextBox 12">
            <a:extLst>
              <a:ext uri="{FF2B5EF4-FFF2-40B4-BE49-F238E27FC236}">
                <a16:creationId xmlns:a16="http://schemas.microsoft.com/office/drawing/2014/main" id="{00000000-0008-0000-0300-00000D000000}"/>
              </a:ext>
            </a:extLst>
          </xdr:cNvPr>
          <xdr:cNvSpPr txBox="1"/>
        </xdr:nvSpPr>
        <xdr:spPr>
          <a:xfrm>
            <a:off x="647700" y="936750"/>
            <a:ext cx="4276725"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b="0" i="0" u="none" strike="noStrike">
                <a:solidFill>
                  <a:srgbClr val="B1F5F1"/>
                </a:solidFill>
                <a:latin typeface="Avenir Next LT Pro"/>
                <a:cs typeface="Arial"/>
              </a:rPr>
              <a:t>Regional </a:t>
            </a:r>
            <a:fld id="{F5410F25-25F5-4B3E-BA05-22E01006A505}" type="TxLink">
              <a:rPr lang="en-US" sz="1600" b="0" i="0" u="none" strike="noStrike">
                <a:solidFill>
                  <a:srgbClr val="B1F5F1"/>
                </a:solidFill>
                <a:latin typeface="Avenir Next LT Pro"/>
                <a:cs typeface="Arial"/>
              </a:rPr>
              <a:pPr algn="ctr"/>
              <a:t>Distribution of the All other Cost</a:t>
            </a:fld>
            <a:endParaRPr lang="en-CA" sz="1600">
              <a:solidFill>
                <a:srgbClr val="B1F5F1"/>
              </a:solidFill>
              <a:latin typeface="Avenir Next LT Pro" panose="020B0504020202020204" pitchFamily="34" charset="0"/>
            </a:endParaRPr>
          </a:p>
        </xdr:txBody>
      </xdr:sp>
    </xdr:grpSp>
    <xdr:clientData/>
  </xdr:twoCellAnchor>
  <xdr:twoCellAnchor>
    <xdr:from>
      <xdr:col>1</xdr:col>
      <xdr:colOff>8437</xdr:colOff>
      <xdr:row>21</xdr:row>
      <xdr:rowOff>95250</xdr:rowOff>
    </xdr:from>
    <xdr:to>
      <xdr:col>4</xdr:col>
      <xdr:colOff>249637</xdr:colOff>
      <xdr:row>29</xdr:row>
      <xdr:rowOff>149850</xdr:rowOff>
    </xdr:to>
    <xdr:grpSp>
      <xdr:nvGrpSpPr>
        <xdr:cNvPr id="15" name="Group 14">
          <a:extLst>
            <a:ext uri="{FF2B5EF4-FFF2-40B4-BE49-F238E27FC236}">
              <a16:creationId xmlns:a16="http://schemas.microsoft.com/office/drawing/2014/main" id="{00000000-0008-0000-0300-00000F000000}"/>
            </a:ext>
          </a:extLst>
        </xdr:cNvPr>
        <xdr:cNvGrpSpPr/>
      </xdr:nvGrpSpPr>
      <xdr:grpSpPr>
        <a:xfrm>
          <a:off x="618037" y="3495675"/>
          <a:ext cx="2070000" cy="1350000"/>
          <a:chOff x="962024" y="3276600"/>
          <a:chExt cx="2070000" cy="1350000"/>
        </a:xfrm>
      </xdr:grpSpPr>
      <xdr:sp macro="" textlink="">
        <xdr:nvSpPr>
          <xdr:cNvPr id="205" name="Rectangle: Rounded Corners 204">
            <a:extLst>
              <a:ext uri="{FF2B5EF4-FFF2-40B4-BE49-F238E27FC236}">
                <a16:creationId xmlns:a16="http://schemas.microsoft.com/office/drawing/2014/main" id="{00000000-0008-0000-0300-0000CD000000}"/>
              </a:ext>
            </a:extLst>
          </xdr:cNvPr>
          <xdr:cNvSpPr/>
        </xdr:nvSpPr>
        <xdr:spPr>
          <a:xfrm>
            <a:off x="962024" y="3276600"/>
            <a:ext cx="2070000" cy="1350000"/>
          </a:xfrm>
          <a:prstGeom prst="roundRect">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Pivot_tables!Z7">
        <xdr:nvSpPr>
          <xdr:cNvPr id="39" name="TextBox 38">
            <a:extLst>
              <a:ext uri="{FF2B5EF4-FFF2-40B4-BE49-F238E27FC236}">
                <a16:creationId xmlns:a16="http://schemas.microsoft.com/office/drawing/2014/main" id="{00000000-0008-0000-0300-000027000000}"/>
              </a:ext>
            </a:extLst>
          </xdr:cNvPr>
          <xdr:cNvSpPr txBox="1"/>
        </xdr:nvSpPr>
        <xdr:spPr>
          <a:xfrm>
            <a:off x="1054049" y="3553801"/>
            <a:ext cx="1885950" cy="31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84067C53-E063-4E06-9F36-0100CEE2FD54}" type="TxLink">
              <a:rPr lang="en-US" sz="1400" b="0" i="0" u="none" strike="noStrike">
                <a:solidFill>
                  <a:schemeClr val="bg1"/>
                </a:solidFill>
                <a:latin typeface="Avenir Next LT Pro"/>
                <a:cs typeface="Arial"/>
              </a:rPr>
              <a:pPr algn="ctr"/>
              <a:t>Total Sales</a:t>
            </a:fld>
            <a:endParaRPr lang="en-US" sz="1400" b="0" i="0" u="none" strike="noStrike">
              <a:solidFill>
                <a:schemeClr val="bg1"/>
              </a:solidFill>
              <a:latin typeface="Avenir Next LT Pro Light" panose="020B0304020202020204" pitchFamily="34" charset="0"/>
              <a:cs typeface="+mn-cs"/>
            </a:endParaRPr>
          </a:p>
        </xdr:txBody>
      </xdr:sp>
      <xdr:sp macro="" textlink="Pivot_tables!AB55">
        <xdr:nvSpPr>
          <xdr:cNvPr id="40" name="TextBox 39">
            <a:extLst>
              <a:ext uri="{FF2B5EF4-FFF2-40B4-BE49-F238E27FC236}">
                <a16:creationId xmlns:a16="http://schemas.microsoft.com/office/drawing/2014/main" id="{00000000-0008-0000-0300-000028000000}"/>
              </a:ext>
            </a:extLst>
          </xdr:cNvPr>
          <xdr:cNvSpPr txBox="1"/>
        </xdr:nvSpPr>
        <xdr:spPr>
          <a:xfrm>
            <a:off x="1047751" y="3865096"/>
            <a:ext cx="1885950" cy="4843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2EB44A4B-837D-4A17-A264-A1CF0F14684E}" type="TxLink">
              <a:rPr lang="en-US" sz="2400" b="0" i="0" u="none" strike="noStrike">
                <a:solidFill>
                  <a:schemeClr val="bg1"/>
                </a:solidFill>
                <a:latin typeface="Avenir Next LT Pro"/>
                <a:cs typeface="Arial"/>
              </a:rPr>
              <a:pPr algn="ctr"/>
              <a:t>$1,881,525</a:t>
            </a:fld>
            <a:endParaRPr lang="en-US" sz="4800" b="0" i="0" u="none" strike="noStrike">
              <a:solidFill>
                <a:schemeClr val="bg1"/>
              </a:solidFill>
              <a:latin typeface="Avenir Next LT Pro Light" panose="020B0304020202020204" pitchFamily="34" charset="0"/>
              <a:cs typeface="Arial"/>
            </a:endParaRPr>
          </a:p>
        </xdr:txBody>
      </xdr:sp>
    </xdr:grpSp>
    <xdr:clientData/>
  </xdr:twoCellAnchor>
  <xdr:twoCellAnchor>
    <xdr:from>
      <xdr:col>4</xdr:col>
      <xdr:colOff>429637</xdr:colOff>
      <xdr:row>21</xdr:row>
      <xdr:rowOff>95250</xdr:rowOff>
    </xdr:from>
    <xdr:to>
      <xdr:col>8</xdr:col>
      <xdr:colOff>61237</xdr:colOff>
      <xdr:row>29</xdr:row>
      <xdr:rowOff>149850</xdr:rowOff>
    </xdr:to>
    <xdr:grpSp>
      <xdr:nvGrpSpPr>
        <xdr:cNvPr id="16" name="Group 15">
          <a:extLst>
            <a:ext uri="{FF2B5EF4-FFF2-40B4-BE49-F238E27FC236}">
              <a16:creationId xmlns:a16="http://schemas.microsoft.com/office/drawing/2014/main" id="{00000000-0008-0000-0300-000010000000}"/>
            </a:ext>
          </a:extLst>
        </xdr:cNvPr>
        <xdr:cNvGrpSpPr/>
      </xdr:nvGrpSpPr>
      <xdr:grpSpPr>
        <a:xfrm>
          <a:off x="2868037" y="3495675"/>
          <a:ext cx="2070000" cy="1350000"/>
          <a:chOff x="3212024" y="3276600"/>
          <a:chExt cx="2070000" cy="1350000"/>
        </a:xfrm>
      </xdr:grpSpPr>
      <xdr:sp macro="" textlink="">
        <xdr:nvSpPr>
          <xdr:cNvPr id="206" name="Rectangle: Rounded Corners 205">
            <a:extLst>
              <a:ext uri="{FF2B5EF4-FFF2-40B4-BE49-F238E27FC236}">
                <a16:creationId xmlns:a16="http://schemas.microsoft.com/office/drawing/2014/main" id="{00000000-0008-0000-0300-0000CE000000}"/>
              </a:ext>
            </a:extLst>
          </xdr:cNvPr>
          <xdr:cNvSpPr/>
        </xdr:nvSpPr>
        <xdr:spPr>
          <a:xfrm>
            <a:off x="3212024" y="3276600"/>
            <a:ext cx="2070000" cy="1350000"/>
          </a:xfrm>
          <a:prstGeom prst="roundRect">
            <a:avLst/>
          </a:prstGeom>
          <a:gradFill>
            <a:gsLst>
              <a:gs pos="0">
                <a:srgbClr val="DC25FA">
                  <a:alpha val="20000"/>
                </a:srgbClr>
              </a:gs>
              <a:gs pos="63000">
                <a:srgbClr val="9947F7">
                  <a:alpha val="20000"/>
                </a:srgbClr>
              </a:gs>
            </a:gsLst>
            <a:lin ang="39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43" name="TextBox 42">
            <a:extLst>
              <a:ext uri="{FF2B5EF4-FFF2-40B4-BE49-F238E27FC236}">
                <a16:creationId xmlns:a16="http://schemas.microsoft.com/office/drawing/2014/main" id="{00000000-0008-0000-0300-00002B000000}"/>
              </a:ext>
            </a:extLst>
          </xdr:cNvPr>
          <xdr:cNvSpPr txBox="1"/>
        </xdr:nvSpPr>
        <xdr:spPr>
          <a:xfrm>
            <a:off x="3437399" y="3553801"/>
            <a:ext cx="1619250" cy="3409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b="0" i="0" u="none" strike="noStrike">
                <a:solidFill>
                  <a:schemeClr val="bg1"/>
                </a:solidFill>
                <a:latin typeface="Avenir Next LT Pro Light" panose="020B0304020202020204" pitchFamily="34" charset="0"/>
                <a:cs typeface="+mn-cs"/>
              </a:rPr>
              <a:t>Average Per</a:t>
            </a:r>
            <a:r>
              <a:rPr lang="en-US" sz="1400" b="0" i="0" u="none" strike="noStrike" baseline="0">
                <a:solidFill>
                  <a:schemeClr val="bg1"/>
                </a:solidFill>
                <a:latin typeface="Avenir Next LT Pro Light" panose="020B0304020202020204" pitchFamily="34" charset="0"/>
                <a:cs typeface="+mn-cs"/>
              </a:rPr>
              <a:t> </a:t>
            </a:r>
            <a:r>
              <a:rPr lang="en-US" sz="1400" b="0" i="0" u="none" strike="noStrike">
                <a:solidFill>
                  <a:schemeClr val="bg1"/>
                </a:solidFill>
                <a:latin typeface="Avenir Next LT Pro Light" panose="020B0304020202020204" pitchFamily="34" charset="0"/>
                <a:cs typeface="+mn-cs"/>
              </a:rPr>
              <a:t>State</a:t>
            </a:r>
          </a:p>
        </xdr:txBody>
      </xdr:sp>
      <xdr:sp macro="" textlink="Pivot_tables!AB56">
        <xdr:nvSpPr>
          <xdr:cNvPr id="14" name="TextBox 13">
            <a:extLst>
              <a:ext uri="{FF2B5EF4-FFF2-40B4-BE49-F238E27FC236}">
                <a16:creationId xmlns:a16="http://schemas.microsoft.com/office/drawing/2014/main" id="{00000000-0008-0000-0300-00000E000000}"/>
              </a:ext>
            </a:extLst>
          </xdr:cNvPr>
          <xdr:cNvSpPr txBox="1"/>
        </xdr:nvSpPr>
        <xdr:spPr>
          <a:xfrm>
            <a:off x="3324225" y="3865096"/>
            <a:ext cx="1838325" cy="4843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fld id="{85F78F2F-F834-4128-8E48-201583416BE4}" type="TxLink">
              <a:rPr lang="en-US" sz="2400" b="0" i="0" u="none" strike="noStrike">
                <a:solidFill>
                  <a:schemeClr val="bg1"/>
                </a:solidFill>
                <a:effectLst/>
                <a:latin typeface="Avenir Next LT Pro"/>
                <a:ea typeface="+mn-ea"/>
                <a:cs typeface="+mn-cs"/>
              </a:rPr>
              <a:pPr marL="0" marR="0" lvl="0" indent="0" algn="ctr" defTabSz="914400" eaLnBrk="1" fontAlgn="auto" latinLnBrk="0" hangingPunct="1">
                <a:lnSpc>
                  <a:spcPct val="100000"/>
                </a:lnSpc>
                <a:spcBef>
                  <a:spcPts val="0"/>
                </a:spcBef>
                <a:spcAft>
                  <a:spcPts val="0"/>
                </a:spcAft>
                <a:buClrTx/>
                <a:buSzTx/>
                <a:buFontTx/>
                <a:buNone/>
                <a:tabLst/>
                <a:defRPr/>
              </a:pPr>
              <a:t> 38,398 </a:t>
            </a:fld>
            <a:endParaRPr lang="en-US" sz="2400" b="0" i="0" u="none" strike="noStrike">
              <a:solidFill>
                <a:schemeClr val="bg1"/>
              </a:solidFill>
              <a:latin typeface="Avenir Next LT Pro Light" panose="020B0304020202020204" pitchFamily="34" charset="0"/>
              <a:cs typeface="Arial"/>
            </a:endParaRPr>
          </a:p>
        </xdr:txBody>
      </xdr:sp>
    </xdr:grpSp>
    <xdr:clientData/>
  </xdr:twoCellAnchor>
  <xdr:twoCellAnchor>
    <xdr:from>
      <xdr:col>1</xdr:col>
      <xdr:colOff>8437</xdr:colOff>
      <xdr:row>9</xdr:row>
      <xdr:rowOff>123824</xdr:rowOff>
    </xdr:from>
    <xdr:to>
      <xdr:col>4</xdr:col>
      <xdr:colOff>361950</xdr:colOff>
      <xdr:row>20</xdr:row>
      <xdr:rowOff>70649</xdr:rowOff>
    </xdr:to>
    <xdr:grpSp>
      <xdr:nvGrpSpPr>
        <xdr:cNvPr id="61" name="Group 60">
          <a:extLst>
            <a:ext uri="{FF2B5EF4-FFF2-40B4-BE49-F238E27FC236}">
              <a16:creationId xmlns:a16="http://schemas.microsoft.com/office/drawing/2014/main" id="{00000000-0008-0000-0300-00003D000000}"/>
            </a:ext>
          </a:extLst>
        </xdr:cNvPr>
        <xdr:cNvGrpSpPr/>
      </xdr:nvGrpSpPr>
      <xdr:grpSpPr>
        <a:xfrm>
          <a:off x="618037" y="1581149"/>
          <a:ext cx="2182313" cy="1728000"/>
          <a:chOff x="741862" y="1743074"/>
          <a:chExt cx="2182313" cy="1728000"/>
        </a:xfrm>
      </xdr:grpSpPr>
      <xdr:sp macro="" textlink="">
        <xdr:nvSpPr>
          <xdr:cNvPr id="27" name="Rectangle: Rounded Corners 26">
            <a:extLst>
              <a:ext uri="{FF2B5EF4-FFF2-40B4-BE49-F238E27FC236}">
                <a16:creationId xmlns:a16="http://schemas.microsoft.com/office/drawing/2014/main" id="{00000000-0008-0000-0300-00001B000000}"/>
              </a:ext>
            </a:extLst>
          </xdr:cNvPr>
          <xdr:cNvSpPr/>
        </xdr:nvSpPr>
        <xdr:spPr>
          <a:xfrm>
            <a:off x="741862" y="1743074"/>
            <a:ext cx="2070000" cy="1728000"/>
          </a:xfrm>
          <a:prstGeom prst="roundRect">
            <a:avLst/>
          </a:prstGeom>
          <a:solidFill>
            <a:srgbClr val="070E2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Pivot_tables!AI32">
        <xdr:nvSpPr>
          <xdr:cNvPr id="20" name="TextBox 19">
            <a:extLst>
              <a:ext uri="{FF2B5EF4-FFF2-40B4-BE49-F238E27FC236}">
                <a16:creationId xmlns:a16="http://schemas.microsoft.com/office/drawing/2014/main" id="{00000000-0008-0000-0300-000014000000}"/>
              </a:ext>
            </a:extLst>
          </xdr:cNvPr>
          <xdr:cNvSpPr txBox="1"/>
        </xdr:nvSpPr>
        <xdr:spPr>
          <a:xfrm>
            <a:off x="848175" y="1871662"/>
            <a:ext cx="1857374" cy="3000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b="0" i="0" u="none" strike="noStrike">
                <a:solidFill>
                  <a:srgbClr val="D43260"/>
                </a:solidFill>
                <a:latin typeface="Avenir Next LT Pro" panose="020B0504020202020204" pitchFamily="34" charset="0"/>
                <a:cs typeface="Arial"/>
              </a:rPr>
              <a:t>Select Map Matrix</a:t>
            </a:r>
            <a:endParaRPr lang="en-CA" sz="1400" u="none">
              <a:solidFill>
                <a:srgbClr val="D43260"/>
              </a:solidFill>
              <a:latin typeface="Avenir Next LT Pro" panose="020B0504020202020204" pitchFamily="34" charset="0"/>
            </a:endParaRPr>
          </a:p>
        </xdr:txBody>
      </xdr:sp>
      <xdr:grpSp>
        <xdr:nvGrpSpPr>
          <xdr:cNvPr id="60" name="Group 59">
            <a:extLst>
              <a:ext uri="{FF2B5EF4-FFF2-40B4-BE49-F238E27FC236}">
                <a16:creationId xmlns:a16="http://schemas.microsoft.com/office/drawing/2014/main" id="{00000000-0008-0000-0300-00003C000000}"/>
              </a:ext>
            </a:extLst>
          </xdr:cNvPr>
          <xdr:cNvGrpSpPr/>
        </xdr:nvGrpSpPr>
        <xdr:grpSpPr>
          <a:xfrm>
            <a:off x="1189539" y="2166937"/>
            <a:ext cx="1734636" cy="1185863"/>
            <a:chOff x="1189539" y="2166937"/>
            <a:chExt cx="1734636" cy="1185863"/>
          </a:xfrm>
        </xdr:grpSpPr>
        <xdr:sp macro="" textlink="Pivot_tables!AI32">
          <xdr:nvSpPr>
            <xdr:cNvPr id="22" name="TextBox 21">
              <a:extLst>
                <a:ext uri="{FF2B5EF4-FFF2-40B4-BE49-F238E27FC236}">
                  <a16:creationId xmlns:a16="http://schemas.microsoft.com/office/drawing/2014/main" id="{00000000-0008-0000-0300-000016000000}"/>
                </a:ext>
              </a:extLst>
            </xdr:cNvPr>
            <xdr:cNvSpPr txBox="1"/>
          </xdr:nvSpPr>
          <xdr:spPr>
            <a:xfrm>
              <a:off x="1189539" y="2166937"/>
              <a:ext cx="1734636" cy="3000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200" b="0" i="0" u="none" strike="noStrike">
                  <a:solidFill>
                    <a:schemeClr val="bg1"/>
                  </a:solidFill>
                  <a:latin typeface="Avenir Next LT Pro" panose="020B0504020202020204" pitchFamily="34" charset="0"/>
                  <a:cs typeface="Arial"/>
                </a:rPr>
                <a:t>Cumulative Cost</a:t>
              </a:r>
              <a:endParaRPr lang="en-CA" sz="1200">
                <a:solidFill>
                  <a:schemeClr val="bg1"/>
                </a:solidFill>
                <a:latin typeface="Avenir Next LT Pro" panose="020B0504020202020204" pitchFamily="34" charset="0"/>
              </a:endParaRPr>
            </a:p>
          </xdr:txBody>
        </xdr:sp>
        <xdr:sp macro="" textlink="Pivot_tables!AI32">
          <xdr:nvSpPr>
            <xdr:cNvPr id="23" name="TextBox 22">
              <a:extLst>
                <a:ext uri="{FF2B5EF4-FFF2-40B4-BE49-F238E27FC236}">
                  <a16:creationId xmlns:a16="http://schemas.microsoft.com/office/drawing/2014/main" id="{00000000-0008-0000-0300-000017000000}"/>
                </a:ext>
              </a:extLst>
            </xdr:cNvPr>
            <xdr:cNvSpPr txBox="1"/>
          </xdr:nvSpPr>
          <xdr:spPr>
            <a:xfrm>
              <a:off x="1189539" y="2462212"/>
              <a:ext cx="1734636" cy="3000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200" b="0" i="0" u="none" strike="noStrike">
                  <a:solidFill>
                    <a:schemeClr val="bg1"/>
                  </a:solidFill>
                  <a:latin typeface="Avenir Next LT Pro" panose="020B0504020202020204" pitchFamily="34" charset="0"/>
                  <a:cs typeface="Arial"/>
                </a:rPr>
                <a:t>Shipping Cost</a:t>
              </a:r>
              <a:endParaRPr lang="en-CA" sz="1200">
                <a:solidFill>
                  <a:schemeClr val="bg1"/>
                </a:solidFill>
                <a:latin typeface="Avenir Next LT Pro" panose="020B0504020202020204" pitchFamily="34" charset="0"/>
              </a:endParaRPr>
            </a:p>
          </xdr:txBody>
        </xdr:sp>
        <xdr:sp macro="" textlink="Pivot_tables!AI32">
          <xdr:nvSpPr>
            <xdr:cNvPr id="24" name="TextBox 23">
              <a:extLst>
                <a:ext uri="{FF2B5EF4-FFF2-40B4-BE49-F238E27FC236}">
                  <a16:creationId xmlns:a16="http://schemas.microsoft.com/office/drawing/2014/main" id="{00000000-0008-0000-0300-000018000000}"/>
                </a:ext>
              </a:extLst>
            </xdr:cNvPr>
            <xdr:cNvSpPr txBox="1"/>
          </xdr:nvSpPr>
          <xdr:spPr>
            <a:xfrm>
              <a:off x="1189539" y="2747962"/>
              <a:ext cx="1734636" cy="3000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200" b="0" i="0" u="none" strike="noStrike">
                  <a:solidFill>
                    <a:schemeClr val="bg1"/>
                  </a:solidFill>
                  <a:latin typeface="Avenir Next LT Pro" panose="020B0504020202020204" pitchFamily="34" charset="0"/>
                  <a:cs typeface="Arial"/>
                </a:rPr>
                <a:t>Net Profit</a:t>
              </a:r>
              <a:endParaRPr lang="en-CA" sz="1200">
                <a:solidFill>
                  <a:schemeClr val="bg1"/>
                </a:solidFill>
                <a:latin typeface="Avenir Next LT Pro" panose="020B0504020202020204" pitchFamily="34" charset="0"/>
              </a:endParaRPr>
            </a:p>
          </xdr:txBody>
        </xdr:sp>
        <xdr:sp macro="" textlink="Pivot_tables!AI32">
          <xdr:nvSpPr>
            <xdr:cNvPr id="28" name="TextBox 27">
              <a:extLst>
                <a:ext uri="{FF2B5EF4-FFF2-40B4-BE49-F238E27FC236}">
                  <a16:creationId xmlns:a16="http://schemas.microsoft.com/office/drawing/2014/main" id="{00000000-0008-0000-0300-00001C000000}"/>
                </a:ext>
              </a:extLst>
            </xdr:cNvPr>
            <xdr:cNvSpPr txBox="1"/>
          </xdr:nvSpPr>
          <xdr:spPr>
            <a:xfrm>
              <a:off x="1189539" y="3052762"/>
              <a:ext cx="1734636" cy="3000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200" b="0" i="0" u="none" strike="noStrike">
                  <a:solidFill>
                    <a:schemeClr val="bg1"/>
                  </a:solidFill>
                  <a:latin typeface="Avenir Next LT Pro" panose="020B0504020202020204" pitchFamily="34" charset="0"/>
                  <a:cs typeface="Arial"/>
                </a:rPr>
                <a:t>Total</a:t>
              </a:r>
              <a:r>
                <a:rPr lang="en-US" sz="1200" b="0" i="0" u="none" strike="noStrike" baseline="0">
                  <a:solidFill>
                    <a:schemeClr val="bg1"/>
                  </a:solidFill>
                  <a:latin typeface="Avenir Next LT Pro" panose="020B0504020202020204" pitchFamily="34" charset="0"/>
                  <a:cs typeface="Arial"/>
                </a:rPr>
                <a:t> Sales</a:t>
              </a:r>
              <a:endParaRPr lang="en-CA" sz="1200">
                <a:solidFill>
                  <a:schemeClr val="bg1"/>
                </a:solidFill>
                <a:latin typeface="Avenir Next LT Pro" panose="020B0504020202020204" pitchFamily="34" charset="0"/>
              </a:endParaRPr>
            </a:p>
          </xdr:txBody>
        </xdr:sp>
      </xdr:grpSp>
      <mc:AlternateContent xmlns:mc="http://schemas.openxmlformats.org/markup-compatibility/2006">
        <mc:Choice xmlns:a14="http://schemas.microsoft.com/office/drawing/2010/main" Requires="a14">
          <xdr:grpSp>
            <xdr:nvGrpSpPr>
              <xdr:cNvPr id="18" name="Group 17">
                <a:extLst>
                  <a:ext uri="{FF2B5EF4-FFF2-40B4-BE49-F238E27FC236}">
                    <a16:creationId xmlns:a16="http://schemas.microsoft.com/office/drawing/2014/main" id="{00000000-0008-0000-0300-000012000000}"/>
                  </a:ext>
                </a:extLst>
              </xdr:cNvPr>
              <xdr:cNvGrpSpPr/>
            </xdr:nvGrpSpPr>
            <xdr:grpSpPr>
              <a:xfrm>
                <a:off x="1014862" y="2199000"/>
                <a:ext cx="1524000" cy="1115700"/>
                <a:chOff x="1235024" y="2160900"/>
                <a:chExt cx="1524000" cy="1115700"/>
              </a:xfrm>
            </xdr:grpSpPr>
            <xdr:sp macro="" textlink="">
              <xdr:nvSpPr>
                <xdr:cNvPr id="4100" name="Option Butto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1235024" y="2160900"/>
                  <a:ext cx="1524000"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08" name="Option Button 12" hidden="1">
                  <a:extLst>
                    <a:ext uri="{63B3BB69-23CF-44E3-9099-C40C66FF867C}">
                      <a14:compatExt spid="_x0000_s4108"/>
                    </a:ext>
                    <a:ext uri="{FF2B5EF4-FFF2-40B4-BE49-F238E27FC236}">
                      <a16:creationId xmlns:a16="http://schemas.microsoft.com/office/drawing/2014/main" id="{00000000-0008-0000-0300-00000C100000}"/>
                    </a:ext>
                  </a:extLst>
                </xdr:cNvPr>
                <xdr:cNvSpPr/>
              </xdr:nvSpPr>
              <xdr:spPr bwMode="auto">
                <a:xfrm>
                  <a:off x="1235024" y="2451413"/>
                  <a:ext cx="1524000"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09" name="Option Button 13" hidden="1">
                  <a:extLst>
                    <a:ext uri="{63B3BB69-23CF-44E3-9099-C40C66FF867C}">
                      <a14:compatExt spid="_x0000_s4109"/>
                    </a:ext>
                    <a:ext uri="{FF2B5EF4-FFF2-40B4-BE49-F238E27FC236}">
                      <a16:creationId xmlns:a16="http://schemas.microsoft.com/office/drawing/2014/main" id="{00000000-0008-0000-0300-00000D100000}"/>
                    </a:ext>
                  </a:extLst>
                </xdr:cNvPr>
                <xdr:cNvSpPr/>
              </xdr:nvSpPr>
              <xdr:spPr bwMode="auto">
                <a:xfrm>
                  <a:off x="1235024" y="2732400"/>
                  <a:ext cx="1524000"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10" name="Option Button 14"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1235024" y="3019425"/>
                  <a:ext cx="1524000"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mc:Choice>
        <mc:Fallback/>
      </mc:AlternateContent>
    </xdr:grpSp>
    <xdr:clientData/>
  </xdr:twoCellAnchor>
  <xdr:twoCellAnchor>
    <xdr:from>
      <xdr:col>4</xdr:col>
      <xdr:colOff>429637</xdr:colOff>
      <xdr:row>9</xdr:row>
      <xdr:rowOff>123825</xdr:rowOff>
    </xdr:from>
    <xdr:to>
      <xdr:col>8</xdr:col>
      <xdr:colOff>61237</xdr:colOff>
      <xdr:row>20</xdr:row>
      <xdr:rowOff>70650</xdr:rowOff>
    </xdr:to>
    <xdr:grpSp>
      <xdr:nvGrpSpPr>
        <xdr:cNvPr id="6" name="Group 5">
          <a:extLst>
            <a:ext uri="{FF2B5EF4-FFF2-40B4-BE49-F238E27FC236}">
              <a16:creationId xmlns:a16="http://schemas.microsoft.com/office/drawing/2014/main" id="{00000000-0008-0000-0300-000006000000}"/>
            </a:ext>
          </a:extLst>
        </xdr:cNvPr>
        <xdr:cNvGrpSpPr/>
      </xdr:nvGrpSpPr>
      <xdr:grpSpPr>
        <a:xfrm>
          <a:off x="2868037" y="1581150"/>
          <a:ext cx="2070000" cy="1728000"/>
          <a:chOff x="2991862" y="1695450"/>
          <a:chExt cx="2070000" cy="1728000"/>
        </a:xfrm>
      </xdr:grpSpPr>
      <xdr:sp macro="" textlink="">
        <xdr:nvSpPr>
          <xdr:cNvPr id="194" name="Rectangle: Rounded Corners 193">
            <a:extLst>
              <a:ext uri="{FF2B5EF4-FFF2-40B4-BE49-F238E27FC236}">
                <a16:creationId xmlns:a16="http://schemas.microsoft.com/office/drawing/2014/main" id="{00000000-0008-0000-0300-0000C2000000}"/>
              </a:ext>
            </a:extLst>
          </xdr:cNvPr>
          <xdr:cNvSpPr/>
        </xdr:nvSpPr>
        <xdr:spPr>
          <a:xfrm>
            <a:off x="2991862" y="1695450"/>
            <a:ext cx="2070000" cy="1728000"/>
          </a:xfrm>
          <a:prstGeom prst="roundRect">
            <a:avLst/>
          </a:prstGeom>
          <a:solidFill>
            <a:srgbClr val="070E2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Pivot_tables!AI32">
        <xdr:nvSpPr>
          <xdr:cNvPr id="31" name="TextBox 30">
            <a:extLst>
              <a:ext uri="{FF2B5EF4-FFF2-40B4-BE49-F238E27FC236}">
                <a16:creationId xmlns:a16="http://schemas.microsoft.com/office/drawing/2014/main" id="{00000000-0008-0000-0300-00001F000000}"/>
              </a:ext>
            </a:extLst>
          </xdr:cNvPr>
          <xdr:cNvSpPr txBox="1"/>
        </xdr:nvSpPr>
        <xdr:spPr>
          <a:xfrm>
            <a:off x="3098175" y="1838325"/>
            <a:ext cx="1857374" cy="3000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b="0" i="0" u="none" strike="noStrike">
                <a:solidFill>
                  <a:srgbClr val="D43260"/>
                </a:solidFill>
                <a:latin typeface="Avenir Next LT Pro" panose="020B0504020202020204" pitchFamily="34" charset="0"/>
                <a:cs typeface="Arial"/>
              </a:rPr>
              <a:t>Filters</a:t>
            </a:r>
            <a:endParaRPr lang="en-CA" sz="1400" u="none">
              <a:solidFill>
                <a:srgbClr val="D43260"/>
              </a:solidFill>
              <a:latin typeface="Avenir Next LT Pro" panose="020B0504020202020204" pitchFamily="34" charset="0"/>
            </a:endParaRPr>
          </a:p>
        </xdr:txBody>
      </xdr:sp>
    </xdr:grpSp>
    <xdr:clientData/>
  </xdr:twoCellAnchor>
  <xdr:twoCellAnchor>
    <xdr:from>
      <xdr:col>4</xdr:col>
      <xdr:colOff>555112</xdr:colOff>
      <xdr:row>12</xdr:row>
      <xdr:rowOff>23850</xdr:rowOff>
    </xdr:from>
    <xdr:to>
      <xdr:col>7</xdr:col>
      <xdr:colOff>526312</xdr:colOff>
      <xdr:row>19</xdr:row>
      <xdr:rowOff>78375</xdr:rowOff>
    </xdr:to>
    <mc:AlternateContent xmlns:mc="http://schemas.openxmlformats.org/markup-compatibility/2006" xmlns:a14="http://schemas.microsoft.com/office/drawing/2010/main">
      <mc:Choice Requires="a14">
        <xdr:graphicFrame macro="">
          <xdr:nvGraphicFramePr>
            <xdr:cNvPr id="184" name="Product Category 2">
              <a:extLst>
                <a:ext uri="{FF2B5EF4-FFF2-40B4-BE49-F238E27FC236}">
                  <a16:creationId xmlns:a16="http://schemas.microsoft.com/office/drawing/2014/main" id="{00000000-0008-0000-0300-0000B8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duct Category 2"/>
            </a:graphicData>
          </a:graphic>
        </xdr:graphicFrame>
      </mc:Choice>
      <mc:Fallback xmlns="">
        <xdr:sp macro="" textlink="">
          <xdr:nvSpPr>
            <xdr:cNvPr id="0" name=""/>
            <xdr:cNvSpPr>
              <a:spLocks noTextEdit="1"/>
            </xdr:cNvSpPr>
          </xdr:nvSpPr>
          <xdr:spPr>
            <a:xfrm>
              <a:off x="2993512" y="1966950"/>
              <a:ext cx="1800000" cy="1188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0</xdr:col>
      <xdr:colOff>9525</xdr:colOff>
      <xdr:row>0</xdr:row>
      <xdr:rowOff>0</xdr:rowOff>
    </xdr:from>
    <xdr:to>
      <xdr:col>37</xdr:col>
      <xdr:colOff>371475</xdr:colOff>
      <xdr:row>3</xdr:row>
      <xdr:rowOff>95250</xdr:rowOff>
    </xdr:to>
    <xdr:grpSp>
      <xdr:nvGrpSpPr>
        <xdr:cNvPr id="30" name="Group 29">
          <a:extLst>
            <a:ext uri="{FF2B5EF4-FFF2-40B4-BE49-F238E27FC236}">
              <a16:creationId xmlns:a16="http://schemas.microsoft.com/office/drawing/2014/main" id="{00000000-0008-0000-0300-00001E000000}"/>
            </a:ext>
          </a:extLst>
        </xdr:cNvPr>
        <xdr:cNvGrpSpPr/>
      </xdr:nvGrpSpPr>
      <xdr:grpSpPr>
        <a:xfrm>
          <a:off x="9525" y="0"/>
          <a:ext cx="22917150" cy="581025"/>
          <a:chOff x="0" y="0"/>
          <a:chExt cx="22917150" cy="581025"/>
        </a:xfrm>
      </xdr:grpSpPr>
      <xdr:grpSp>
        <xdr:nvGrpSpPr>
          <xdr:cNvPr id="32" name="Group 31">
            <a:extLst>
              <a:ext uri="{FF2B5EF4-FFF2-40B4-BE49-F238E27FC236}">
                <a16:creationId xmlns:a16="http://schemas.microsoft.com/office/drawing/2014/main" id="{00000000-0008-0000-0300-000020000000}"/>
              </a:ext>
            </a:extLst>
          </xdr:cNvPr>
          <xdr:cNvGrpSpPr/>
        </xdr:nvGrpSpPr>
        <xdr:grpSpPr>
          <a:xfrm>
            <a:off x="0" y="0"/>
            <a:ext cx="22917150" cy="581025"/>
            <a:chOff x="0" y="0"/>
            <a:chExt cx="22917150" cy="581025"/>
          </a:xfrm>
        </xdr:grpSpPr>
        <xdr:sp macro="" textlink="">
          <xdr:nvSpPr>
            <xdr:cNvPr id="4103" name="Rectangle 4102">
              <a:extLst>
                <a:ext uri="{FF2B5EF4-FFF2-40B4-BE49-F238E27FC236}">
                  <a16:creationId xmlns:a16="http://schemas.microsoft.com/office/drawing/2014/main" id="{00000000-0008-0000-0300-000007100000}"/>
                </a:ext>
              </a:extLst>
            </xdr:cNvPr>
            <xdr:cNvSpPr/>
          </xdr:nvSpPr>
          <xdr:spPr>
            <a:xfrm>
              <a:off x="0" y="0"/>
              <a:ext cx="22917150" cy="457200"/>
            </a:xfrm>
            <a:prstGeom prst="rect">
              <a:avLst/>
            </a:prstGeom>
            <a:solidFill>
              <a:srgbClr val="1D1D3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pic>
          <xdr:nvPicPr>
            <xdr:cNvPr id="4104" name="Picture 4103" descr="Superstore - NBC.com">
              <a:extLst>
                <a:ext uri="{FF2B5EF4-FFF2-40B4-BE49-F238E27FC236}">
                  <a16:creationId xmlns:a16="http://schemas.microsoft.com/office/drawing/2014/main" id="{00000000-0008-0000-0300-0000081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38126" y="142875"/>
              <a:ext cx="1314450" cy="438150"/>
            </a:xfrm>
            <a:prstGeom prst="rect">
              <a:avLst/>
            </a:prstGeom>
            <a:noFill/>
            <a:effectLst>
              <a:outerShdw blurRad="50800" dist="38100" dir="2700000" algn="tl" rotWithShape="0">
                <a:schemeClr val="tx1">
                  <a:alpha val="40000"/>
                </a:schemeClr>
              </a:outerShdw>
            </a:effectLst>
            <a:extLst>
              <a:ext uri="{909E8E84-426E-40DD-AFC4-6F175D3DCCD1}">
                <a14:hiddenFill xmlns:a14="http://schemas.microsoft.com/office/drawing/2010/main">
                  <a:solidFill>
                    <a:srgbClr val="FFFFFF"/>
                  </a:solidFill>
                </a14:hiddenFill>
              </a:ext>
            </a:extLst>
          </xdr:spPr>
        </xdr:pic>
        <xdr:sp macro="" textlink="">
          <xdr:nvSpPr>
            <xdr:cNvPr id="4105" name="TextBox 4104">
              <a:hlinkClick xmlns:r="http://schemas.openxmlformats.org/officeDocument/2006/relationships" r:id="rId5" tooltip="Distribution"/>
              <a:extLst>
                <a:ext uri="{FF2B5EF4-FFF2-40B4-BE49-F238E27FC236}">
                  <a16:creationId xmlns:a16="http://schemas.microsoft.com/office/drawing/2014/main" id="{00000000-0008-0000-0300-000009100000}"/>
                </a:ext>
              </a:extLst>
            </xdr:cNvPr>
            <xdr:cNvSpPr txBox="1"/>
          </xdr:nvSpPr>
          <xdr:spPr>
            <a:xfrm>
              <a:off x="12355214" y="73558"/>
              <a:ext cx="1222374"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Distribution</a:t>
              </a:r>
            </a:p>
          </xdr:txBody>
        </xdr:sp>
        <xdr:sp macro="" textlink="">
          <xdr:nvSpPr>
            <xdr:cNvPr id="4107" name="TextBox 4106">
              <a:hlinkClick xmlns:r="http://schemas.openxmlformats.org/officeDocument/2006/relationships" r:id="rId6" tooltip="Sales &amp; Profit"/>
              <a:extLst>
                <a:ext uri="{FF2B5EF4-FFF2-40B4-BE49-F238E27FC236}">
                  <a16:creationId xmlns:a16="http://schemas.microsoft.com/office/drawing/2014/main" id="{00000000-0008-0000-0300-00000B100000}"/>
                </a:ext>
              </a:extLst>
            </xdr:cNvPr>
            <xdr:cNvSpPr txBox="1"/>
          </xdr:nvSpPr>
          <xdr:spPr>
            <a:xfrm>
              <a:off x="10029825" y="73558"/>
              <a:ext cx="1266824"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Sales &amp;</a:t>
              </a:r>
              <a:r>
                <a:rPr lang="en-CA" sz="1400" baseline="0">
                  <a:solidFill>
                    <a:schemeClr val="bg1"/>
                  </a:solidFill>
                  <a:latin typeface="Avenir Next LT Pro" panose="020B0504020202020204" pitchFamily="34" charset="0"/>
                </a:rPr>
                <a:t> Profit</a:t>
              </a:r>
              <a:endParaRPr lang="en-CA" sz="1400">
                <a:solidFill>
                  <a:schemeClr val="bg1"/>
                </a:solidFill>
                <a:latin typeface="Avenir Next LT Pro" panose="020B0504020202020204" pitchFamily="34" charset="0"/>
              </a:endParaRPr>
            </a:p>
          </xdr:txBody>
        </xdr:sp>
        <xdr:sp macro="" textlink="">
          <xdr:nvSpPr>
            <xdr:cNvPr id="4116" name="TextBox 4115">
              <a:hlinkClick xmlns:r="http://schemas.openxmlformats.org/officeDocument/2006/relationships" r:id="rId7" tooltip="Trends"/>
              <a:extLst>
                <a:ext uri="{FF2B5EF4-FFF2-40B4-BE49-F238E27FC236}">
                  <a16:creationId xmlns:a16="http://schemas.microsoft.com/office/drawing/2014/main" id="{00000000-0008-0000-0300-000014100000}"/>
                </a:ext>
              </a:extLst>
            </xdr:cNvPr>
            <xdr:cNvSpPr txBox="1"/>
          </xdr:nvSpPr>
          <xdr:spPr>
            <a:xfrm>
              <a:off x="11441757" y="73558"/>
              <a:ext cx="768349"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Trends</a:t>
              </a:r>
            </a:p>
          </xdr:txBody>
        </xdr:sp>
        <xdr:sp macro="" textlink="">
          <xdr:nvSpPr>
            <xdr:cNvPr id="4117" name="TextBox 4116">
              <a:extLst>
                <a:ext uri="{FF2B5EF4-FFF2-40B4-BE49-F238E27FC236}">
                  <a16:creationId xmlns:a16="http://schemas.microsoft.com/office/drawing/2014/main" id="{00000000-0008-0000-0300-000015100000}"/>
                </a:ext>
              </a:extLst>
            </xdr:cNvPr>
            <xdr:cNvSpPr txBox="1"/>
          </xdr:nvSpPr>
          <xdr:spPr>
            <a:xfrm>
              <a:off x="2505075" y="95979"/>
              <a:ext cx="2619375"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Sales Performance  - FY 2015</a:t>
              </a:r>
            </a:p>
          </xdr:txBody>
        </xdr:sp>
        <xdr:sp macro="" textlink="">
          <xdr:nvSpPr>
            <xdr:cNvPr id="4118" name="Rectangle: Rounded Corners 4117">
              <a:extLst>
                <a:ext uri="{FF2B5EF4-FFF2-40B4-BE49-F238E27FC236}">
                  <a16:creationId xmlns:a16="http://schemas.microsoft.com/office/drawing/2014/main" id="{00000000-0008-0000-0300-000016100000}"/>
                </a:ext>
              </a:extLst>
            </xdr:cNvPr>
            <xdr:cNvSpPr/>
          </xdr:nvSpPr>
          <xdr:spPr>
            <a:xfrm>
              <a:off x="13991587" y="361950"/>
              <a:ext cx="468000" cy="36000"/>
            </a:xfrm>
            <a:prstGeom prst="roundRect">
              <a:avLst/>
            </a:prstGeom>
            <a:solidFill>
              <a:srgbClr val="194AF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4119" name="TextBox 4118">
              <a:hlinkClick xmlns:r="http://schemas.openxmlformats.org/officeDocument/2006/relationships" r:id="rId8" tooltip="Sales Map"/>
              <a:extLst>
                <a:ext uri="{FF2B5EF4-FFF2-40B4-BE49-F238E27FC236}">
                  <a16:creationId xmlns:a16="http://schemas.microsoft.com/office/drawing/2014/main" id="{00000000-0008-0000-0300-000017100000}"/>
                </a:ext>
              </a:extLst>
            </xdr:cNvPr>
            <xdr:cNvSpPr txBox="1"/>
          </xdr:nvSpPr>
          <xdr:spPr>
            <a:xfrm>
              <a:off x="13722696" y="73558"/>
              <a:ext cx="1019769" cy="310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CA" sz="1400">
                  <a:solidFill>
                    <a:schemeClr val="bg1"/>
                  </a:solidFill>
                  <a:latin typeface="Avenir Next LT Pro" panose="020B0504020202020204" pitchFamily="34" charset="0"/>
                </a:rPr>
                <a:t>Sales Map</a:t>
              </a:r>
            </a:p>
          </xdr:txBody>
        </xdr:sp>
      </xdr:grpSp>
      <xdr:pic>
        <xdr:nvPicPr>
          <xdr:cNvPr id="62" name="Picture 61">
            <a:hlinkClick xmlns:r="http://schemas.openxmlformats.org/officeDocument/2006/relationships" r:id="rId9"/>
            <a:extLst>
              <a:ext uri="{FF2B5EF4-FFF2-40B4-BE49-F238E27FC236}">
                <a16:creationId xmlns:a16="http://schemas.microsoft.com/office/drawing/2014/main" id="{00000000-0008-0000-0300-00003E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6144875" y="114300"/>
            <a:ext cx="1680593" cy="252000"/>
          </a:xfrm>
          <a:prstGeom prst="rect">
            <a:avLst/>
          </a:prstGeom>
        </xdr:spPr>
      </xdr:pic>
    </xdr:grpSp>
    <xdr:clientData/>
  </xdr:twoCellAnchor>
  <xdr:twoCellAnchor>
    <xdr:from>
      <xdr:col>24</xdr:col>
      <xdr:colOff>180975</xdr:colOff>
      <xdr:row>53</xdr:row>
      <xdr:rowOff>104775</xdr:rowOff>
    </xdr:from>
    <xdr:to>
      <xdr:col>28</xdr:col>
      <xdr:colOff>590550</xdr:colOff>
      <xdr:row>55</xdr:row>
      <xdr:rowOff>104775</xdr:rowOff>
    </xdr:to>
    <xdr:sp macro="" textlink="">
      <xdr:nvSpPr>
        <xdr:cNvPr id="4101" name="TextBox 4100">
          <a:extLst>
            <a:ext uri="{FF2B5EF4-FFF2-40B4-BE49-F238E27FC236}">
              <a16:creationId xmlns:a16="http://schemas.microsoft.com/office/drawing/2014/main" id="{00000000-0008-0000-0300-000005100000}"/>
            </a:ext>
          </a:extLst>
        </xdr:cNvPr>
        <xdr:cNvSpPr txBox="1"/>
      </xdr:nvSpPr>
      <xdr:spPr>
        <a:xfrm>
          <a:off x="14811375" y="8686800"/>
          <a:ext cx="2847975" cy="323850"/>
        </a:xfrm>
        <a:prstGeom prst="rect">
          <a:avLst/>
        </a:prstGeom>
        <a:solidFill>
          <a:schemeClr val="tx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0" i="0" u="none" strike="noStrike">
              <a:solidFill>
                <a:schemeClr val="bg1"/>
              </a:solidFill>
              <a:latin typeface="Avenir Next LT Pro" panose="020B0504020202020204" pitchFamily="34" charset="0"/>
              <a:cs typeface="+mn-cs"/>
            </a:rPr>
            <a:t>Regional Sales of each product category</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34634027774" backgroundQuery="1" createdVersion="8" refreshedVersion="8" minRefreshableVersion="3" recordCount="0" supportSubquery="1" supportAdvancedDrill="1" xr:uid="{AE6A2F22-CA16-4066-B68E-57CA3556E95D}">
  <cacheSource type="external" connectionId="1"/>
  <cacheFields count="7">
    <cacheField name="[Table_1].[Customer Segment].[Customer Segment]" caption="Customer Segment" numFmtId="0" hierarchy="7" level="1">
      <sharedItems count="4">
        <s v="Consumer"/>
        <s v="Corporate"/>
        <s v="Home Office"/>
        <s v="Small Business"/>
      </sharedItems>
    </cacheField>
    <cacheField name="[Table_1].[Product Sub-Category].[Product Sub-Category]" caption="Product Sub-Category" numFmtId="0" hierarchy="9" level="1">
      <sharedItems count="17">
        <s v="Appliances"/>
        <s v="Binders and Binder Accessories"/>
        <s v="Bookcases"/>
        <s v="Chairs &amp; Chairmats"/>
        <s v="Computer Peripherals"/>
        <s v="Copiers and Fax"/>
        <s v="Envelopes"/>
        <s v="Labels"/>
        <s v="Office Furnishings"/>
        <s v="Office Machines"/>
        <s v="Paper"/>
        <s v="Pens &amp; Art Supplies"/>
        <s v="Rubber Bands"/>
        <s v="Scissors, Rulers and Trimmers"/>
        <s v="Storage &amp; Organization"/>
        <s v="Tables"/>
        <s v="Telephones and Communication"/>
      </sharedItems>
    </cacheField>
    <cacheField name="[Measures].[Sum of Sales]" caption="Sum of Sales" numFmtId="0" hierarchy="38" level="32767"/>
    <cacheField name="[Measures].[Sum of Profit]" caption="Sum of Profit" numFmtId="0" hierarchy="40" level="32767"/>
    <cacheField name="[Table_1].[Order Priority].[Order Priority]" caption="Order Priority" numFmtId="0" hierarchy="2" level="1">
      <sharedItems count="5">
        <s v="Critical"/>
        <s v="High"/>
        <s v="Low"/>
        <s v="Medium"/>
        <s v="N/A"/>
      </sharedItems>
    </cacheField>
    <cacheField name="[Measures].[Distinct Count of Order ID]" caption="Distinct Count of Order ID" numFmtId="0" hierarchy="48" level="32767"/>
    <cacheField name="[Measures].[Max of Order Date]" caption="Max of Order Date" numFmtId="0" hierarchy="50" level="32767"/>
  </cacheFields>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2" memberValueDatatype="130" unbalanced="0">
      <fieldsUsage count="2">
        <fieldUsage x="-1"/>
        <fieldUsage x="4"/>
      </fieldsUsage>
    </cacheHierarchy>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2" memberValueDatatype="130" unbalanced="0">
      <fieldsUsage count="2">
        <fieldUsage x="-1"/>
        <fieldUsage x="0"/>
      </fieldsUsage>
    </cacheHierarchy>
    <cacheHierarchy uniqueName="[Table_1].[Product Category]" caption="Product Category" attribute="1" defaultMemberUniqueName="[Table_1].[Product Category].[All]" allUniqueName="[Table_1].[Product Category].[All]" dimensionUniqueName="[Table_1]" displayFolder="" count="0" memberValueDatatype="130" unbalanced="0"/>
    <cacheHierarchy uniqueName="[Table_1].[Product Sub-Category]" caption="Product Sub-Category" attribute="1" defaultMemberUniqueName="[Table_1].[Product Sub-Category].[All]" allUniqueName="[Table_1].[Product Sub-Category].[All]" dimensionUniqueName="[Table_1]" displayFolder="" count="2" memberValueDatatype="130" unbalanced="0">
      <fieldsUsage count="2">
        <fieldUsage x="-1"/>
        <fieldUsage x="1"/>
      </fieldsUsage>
    </cacheHierarchy>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0"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oneField="1" hidden="1">
      <fieldsUsage count="1">
        <fieldUsage x="2"/>
      </fieldsUsage>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hidden="1">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oneField="1" hidden="1">
      <fieldsUsage count="1">
        <fieldUsage x="3"/>
      </fieldsUsage>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oneField="1" hidden="1">
      <fieldsUsage count="1">
        <fieldUsage x="5"/>
      </fieldsUsage>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oneField="1" hidden="1">
      <fieldsUsage count="1">
        <fieldUsage x="6"/>
      </fieldsUsage>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1237384257" backgroundQuery="1" createdVersion="8" refreshedVersion="8" minRefreshableVersion="3" recordCount="0" supportSubquery="1" supportAdvancedDrill="1" xr:uid="{A64C017E-31DE-4DEC-A63A-7088F855994B}">
  <cacheSource type="external" connectionId="1"/>
  <cacheFields count="6">
    <cacheField name="[Table_1].[Order Date (Month)].[Order Date (Month)]" caption="Order Date (Month)" numFmtId="0" hierarchy="30" level="1">
      <sharedItems count="6">
        <s v="Jan"/>
        <s v="Feb"/>
        <s v="Mar"/>
        <s v="Apr"/>
        <s v="May"/>
        <s v="Jun"/>
      </sharedItems>
    </cacheField>
    <cacheField name="[Table_1].[Order Date].[Order Date]" caption="Order Date" numFmtId="0" hierarchy="18" level="1">
      <sharedItems containsSemiMixedTypes="0" containsNonDate="0" containsDate="1" containsString="0" minDate="2015-01-01T00:00:00" maxDate="2015-07-01T00:00:00" count="179">
        <d v="2015-01-01T00:00:00"/>
        <d v="2015-01-02T00:00:00"/>
        <d v="2015-01-03T00:00:00"/>
        <d v="2015-01-04T00:00:00"/>
        <d v="2015-01-05T00:00:00"/>
        <d v="2015-01-06T00:00:00"/>
        <d v="2015-01-07T00:00:00"/>
        <d v="2015-01-08T00:00:00"/>
        <d v="2015-01-09T00:00:00"/>
        <d v="2015-01-10T00:00:00"/>
        <d v="2015-01-11T00:00:00"/>
        <d v="2015-01-12T00:00:00"/>
        <d v="2015-01-13T00:00:00"/>
        <d v="2015-01-14T00:00:00"/>
        <d v="2015-01-15T00:00:00"/>
        <d v="2015-01-16T00:00:00"/>
        <d v="2015-01-17T00:00:00"/>
        <d v="2015-01-18T00:00:00"/>
        <d v="2015-01-19T00:00:00"/>
        <d v="2015-01-20T00:00:00"/>
        <d v="2015-01-21T00:00:00"/>
        <d v="2015-01-22T00:00:00"/>
        <d v="2015-01-23T00:00:00"/>
        <d v="2015-01-24T00:00:00"/>
        <d v="2015-01-25T00:00:00"/>
        <d v="2015-01-26T00:00:00"/>
        <d v="2015-01-27T00:00:00"/>
        <d v="2015-01-28T00:00:00"/>
        <d v="2015-01-29T00:00:00"/>
        <d v="2015-01-30T00:00:00"/>
        <d v="2015-01-31T00:00:00"/>
        <d v="2015-02-01T00:00:00"/>
        <d v="2015-02-02T00:00:00"/>
        <d v="2015-02-03T00:00:00"/>
        <d v="2015-02-04T00:00:00"/>
        <d v="2015-02-05T00:00:00"/>
        <d v="2015-02-06T00:00:00"/>
        <d v="2015-02-07T00:00:00"/>
        <d v="2015-02-08T00:00:00"/>
        <d v="2015-02-09T00:00:00"/>
        <d v="2015-02-10T00:00:00"/>
        <d v="2015-02-11T00:00:00"/>
        <d v="2015-02-12T00:00:00"/>
        <d v="2015-02-13T00:00:00"/>
        <d v="2015-02-14T00:00:00"/>
        <d v="2015-02-15T00:00:00"/>
        <d v="2015-02-16T00:00:00"/>
        <d v="2015-02-17T00:00:00"/>
        <d v="2015-02-18T00:00:00"/>
        <d v="2015-02-19T00:00:00"/>
        <d v="2015-02-20T00:00:00"/>
        <d v="2015-02-21T00:00:00"/>
        <d v="2015-02-22T00:00:00"/>
        <d v="2015-02-23T00:00:00"/>
        <d v="2015-02-24T00:00:00"/>
        <d v="2015-02-25T00:00:00"/>
        <d v="2015-02-26T00:00:00"/>
        <d v="2015-02-27T00:00:00"/>
        <d v="2015-02-28T00:00:00"/>
        <d v="2015-03-01T00:00:00"/>
        <d v="2015-03-02T00:00:00"/>
        <d v="2015-03-03T00:00:00"/>
        <d v="2015-03-04T00:00:00"/>
        <d v="2015-03-05T00:00:00"/>
        <d v="2015-03-06T00:00:00"/>
        <d v="2015-03-07T00:00:00"/>
        <d v="2015-03-08T00:00:00"/>
        <d v="2015-03-09T00:00:00"/>
        <d v="2015-03-10T00:00:00"/>
        <d v="2015-03-11T00:00:00"/>
        <d v="2015-03-12T00:00:00"/>
        <d v="2015-03-13T00:00:00"/>
        <d v="2015-03-14T00:00:00"/>
        <d v="2015-03-15T00:00:00"/>
        <d v="2015-03-16T00:00:00"/>
        <d v="2015-03-17T00:00:00"/>
        <d v="2015-03-18T00:00:00"/>
        <d v="2015-03-19T00:00:00"/>
        <d v="2015-03-20T00:00:00"/>
        <d v="2015-03-21T00:00:00"/>
        <d v="2015-03-22T00:00:00"/>
        <d v="2015-03-23T00:00:00"/>
        <d v="2015-03-24T00:00:00"/>
        <d v="2015-03-25T00:00:00"/>
        <d v="2015-03-26T00:00:00"/>
        <d v="2015-03-27T00:00:00"/>
        <d v="2015-03-28T00:00:00"/>
        <d v="2015-03-29T00:00:00"/>
        <d v="2015-03-30T00:00:00"/>
        <d v="2015-03-31T00:00:00"/>
        <d v="2015-04-01T00:00:00"/>
        <d v="2015-04-02T00:00:00"/>
        <d v="2015-04-04T00:00:00"/>
        <d v="2015-04-05T00:00:00"/>
        <d v="2015-04-06T00:00:00"/>
        <d v="2015-04-07T00:00:00"/>
        <d v="2015-04-08T00:00:00"/>
        <d v="2015-04-09T00:00:00"/>
        <d v="2015-04-10T00:00:00"/>
        <d v="2015-04-11T00:00:00"/>
        <d v="2015-04-12T00:00:00"/>
        <d v="2015-04-13T00:00:00"/>
        <d v="2015-04-14T00:00:00"/>
        <d v="2015-04-15T00:00:00"/>
        <d v="2015-04-16T00:00:00"/>
        <d v="2015-04-17T00:00:00"/>
        <d v="2015-04-18T00:00:00"/>
        <d v="2015-04-19T00:00:00"/>
        <d v="2015-04-20T00:00:00"/>
        <d v="2015-04-21T00:00:00"/>
        <d v="2015-04-22T00:00:00"/>
        <d v="2015-04-23T00:00:00"/>
        <d v="2015-04-24T00:00:00"/>
        <d v="2015-04-25T00:00:00"/>
        <d v="2015-04-26T00:00:00"/>
        <d v="2015-04-27T00:00:00"/>
        <d v="2015-04-28T00:00:00"/>
        <d v="2015-04-29T00:00:00"/>
        <d v="2015-04-30T00:00:00"/>
        <d v="2015-05-01T00:00:00"/>
        <d v="2015-05-02T00:00:00"/>
        <d v="2015-05-03T00:00:00"/>
        <d v="2015-05-04T00:00:00"/>
        <d v="2015-05-05T00:00:00"/>
        <d v="2015-05-06T00:00:00"/>
        <d v="2015-05-07T00:00:00"/>
        <d v="2015-05-08T00:00:00"/>
        <d v="2015-05-09T00:00:00"/>
        <d v="2015-05-10T00:00:00"/>
        <d v="2015-05-11T00:00:00"/>
        <d v="2015-05-12T00:00:00"/>
        <d v="2015-05-13T00:00:00"/>
        <d v="2015-05-14T00:00:00"/>
        <d v="2015-05-15T00:00:00"/>
        <d v="2015-05-16T00:00:00"/>
        <d v="2015-05-17T00:00:00"/>
        <d v="2015-05-18T00:00:00"/>
        <d v="2015-05-19T00:00:00"/>
        <d v="2015-05-20T00:00:00"/>
        <d v="2015-05-21T00:00:00"/>
        <d v="2015-05-22T00:00:00"/>
        <d v="2015-05-23T00:00:00"/>
        <d v="2015-05-24T00:00:00"/>
        <d v="2015-05-25T00:00:00"/>
        <d v="2015-05-26T00:00:00"/>
        <d v="2015-05-27T00:00:00"/>
        <d v="2015-05-28T00:00:00"/>
        <d v="2015-05-29T00:00:00"/>
        <d v="2015-05-30T00:00:00"/>
        <d v="2015-06-01T00:00:00"/>
        <d v="2015-06-02T00:00:00"/>
        <d v="2015-06-03T00:00:00"/>
        <d v="2015-06-04T00:00:00"/>
        <d v="2015-06-05T00:00:00"/>
        <d v="2015-06-06T00:00:00"/>
        <d v="2015-06-07T00:00:00"/>
        <d v="2015-06-08T00:00:00"/>
        <d v="2015-06-09T00:00:00"/>
        <d v="2015-06-10T00:00:00"/>
        <d v="2015-06-11T00:00:00"/>
        <d v="2015-06-12T00:00:00"/>
        <d v="2015-06-13T00:00:00"/>
        <d v="2015-06-14T00:00:00"/>
        <d v="2015-06-15T00:00:00"/>
        <d v="2015-06-16T00:00:00"/>
        <d v="2015-06-17T00:00:00"/>
        <d v="2015-06-18T00:00:00"/>
        <d v="2015-06-19T00:00:00"/>
        <d v="2015-06-20T00:00:00"/>
        <d v="2015-06-21T00:00:00"/>
        <d v="2015-06-22T00:00:00"/>
        <d v="2015-06-23T00:00:00"/>
        <d v="2015-06-24T00:00:00"/>
        <d v="2015-06-25T00:00:00"/>
        <d v="2015-06-26T00:00:00"/>
        <d v="2015-06-27T00:00:00"/>
        <d v="2015-06-28T00:00:00"/>
        <d v="2015-06-29T00:00:00"/>
        <d v="2015-06-30T00:00:00"/>
      </sharedItems>
    </cacheField>
    <cacheField name="[Measures].[Sum of Sales]" caption="Sum of Sales" numFmtId="0" hierarchy="38" level="32767"/>
    <cacheField name="[Measures].[Sum of Profit]" caption="Sum of Profit" numFmtId="0" hierarchy="40" level="32767"/>
    <cacheField name="[Measures].[Sum of Quantity ordered new]" caption="Sum of Quantity ordered new" numFmtId="0" hierarchy="39" level="32767"/>
    <cacheField name="[Table_1].[Customer Segment].[Customer Segment]" caption="Customer Segment" numFmtId="0" hierarchy="7" level="1">
      <sharedItems containsSemiMixedTypes="0" containsNonDate="0" containsString="0"/>
    </cacheField>
  </cacheFields>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0" memberValueDatatype="130" unbalanced="0"/>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2" memberValueDatatype="130" unbalanced="0">
      <fieldsUsage count="2">
        <fieldUsage x="-1"/>
        <fieldUsage x="5"/>
      </fieldsUsage>
    </cacheHierarchy>
    <cacheHierarchy uniqueName="[Table_1].[Product Category]" caption="Product Category" attribute="1" defaultMemberUniqueName="[Table_1].[Product Category].[All]" allUniqueName="[Table_1].[Product Category].[All]" dimensionUniqueName="[Table_1]" displayFolder="" count="0" memberValueDatatype="130" unbalanced="0"/>
    <cacheHierarchy uniqueName="[Table_1].[Product Sub-Category]" caption="Product Sub-Category" attribute="1" defaultMemberUniqueName="[Table_1].[Product Sub-Category].[All]" allUniqueName="[Table_1].[Product Sub-Category].[All]" dimensionUniqueName="[Table_1]" displayFolder="" count="0"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2" memberValueDatatype="7" unbalanced="0">
      <fieldsUsage count="2">
        <fieldUsage x="-1"/>
        <fieldUsage x="1"/>
      </fieldsUsage>
    </cacheHierarchy>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2"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2" memberValueDatatype="130" unbalanced="0">
      <fieldsUsage count="2">
        <fieldUsage x="-1"/>
        <fieldUsage x="0"/>
      </fieldsUsage>
    </cacheHierarchy>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oneField="1" hidden="1">
      <fieldsUsage count="1">
        <fieldUsage x="2"/>
      </fieldsUsage>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oneField="1" hidden="1">
      <fieldsUsage count="1">
        <fieldUsage x="4"/>
      </fieldsUsage>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oneField="1" hidden="1">
      <fieldsUsage count="1">
        <fieldUsage x="3"/>
      </fieldsUsage>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123773148" backgroundQuery="1" createdVersion="8" refreshedVersion="8" minRefreshableVersion="3" recordCount="0" supportSubquery="1" supportAdvancedDrill="1" xr:uid="{5FBC046E-FB2C-4F0D-BC53-17414D36FF13}">
  <cacheSource type="external" connectionId="1"/>
  <cacheFields count="5">
    <cacheField name="[Measures].[Sum of Sales]" caption="Sum of Sales" numFmtId="0" hierarchy="38" level="32767"/>
    <cacheField name="[Measures].[Sum of Profit]" caption="Sum of Profit" numFmtId="0" hierarchy="40" level="32767"/>
    <cacheField name="[Measures].[Sum of Quantity ordered new]" caption="Sum of Quantity ordered new" numFmtId="0" hierarchy="39" level="32767"/>
    <cacheField name="[Table_1].[Manager].[Manager]" caption="Manager" numFmtId="0" hierarchy="25" level="1">
      <sharedItems count="4">
        <s v="Chris"/>
        <s v="Erin"/>
        <s v="Sam"/>
        <s v="William"/>
      </sharedItems>
    </cacheField>
    <cacheField name="[Table_1].[Customer Segment].[Customer Segment]" caption="Customer Segment" numFmtId="0" hierarchy="7" level="1">
      <sharedItems containsSemiMixedTypes="0" containsNonDate="0" containsString="0"/>
    </cacheField>
  </cacheFields>
  <cacheHierarchies count="53">
    <cacheHierarchy uniqueName="[Table_1].[Customer ID]" caption="Customer ID" attribute="1" defaultMemberUniqueName="[Table_1].[Customer ID].[All]" allUniqueName="[Table_1].[Customer ID].[All]" dimensionUniqueName="[Table_1]" displayFolder="" count="2" memberValueDatatype="20" unbalanced="0"/>
    <cacheHierarchy uniqueName="[Table_1].[Customer Name]" caption="Customer Name" attribute="1" defaultMemberUniqueName="[Table_1].[Customer Name].[All]" allUniqueName="[Table_1].[Customer Name].[All]" dimensionUniqueName="[Table_1]" displayFolder="" count="2" memberValueDatatype="130" unbalanced="0"/>
    <cacheHierarchy uniqueName="[Table_1].[Order Priority]" caption="Order Priority" attribute="1" defaultMemberUniqueName="[Table_1].[Order Priority].[All]" allUniqueName="[Table_1].[Order Priority].[All]" dimensionUniqueName="[Table_1]" displayFolder="" count="2" memberValueDatatype="130" unbalanced="0"/>
    <cacheHierarchy uniqueName="[Table_1].[Discount]" caption="Discount" attribute="1" defaultMemberUniqueName="[Table_1].[Discount].[All]" allUniqueName="[Table_1].[Discount].[All]" dimensionUniqueName="[Table_1]" displayFolder="" count="2" memberValueDatatype="5" unbalanced="0"/>
    <cacheHierarchy uniqueName="[Table_1].[Unit Price]" caption="Unit Price" attribute="1" defaultMemberUniqueName="[Table_1].[Unit Price].[All]" allUniqueName="[Table_1].[Unit Price].[All]" dimensionUniqueName="[Table_1]" displayFolder="" count="2" memberValueDatatype="5" unbalanced="0"/>
    <cacheHierarchy uniqueName="[Table_1].[Shipping Cost]" caption="Shipping Cost" attribute="1" defaultMemberUniqueName="[Table_1].[Shipping Cost].[All]" allUniqueName="[Table_1].[Shipping Cost].[All]" dimensionUniqueName="[Table_1]" displayFolder="" count="2" memberValueDatatype="5" unbalanced="0"/>
    <cacheHierarchy uniqueName="[Table_1].[Ship Mode]" caption="Ship Mode" attribute="1" defaultMemberUniqueName="[Table_1].[Ship Mode].[All]" allUniqueName="[Table_1].[Ship Mode].[All]" dimensionUniqueName="[Table_1]" displayFolder="" count="2" memberValueDatatype="130" unbalanced="0"/>
    <cacheHierarchy uniqueName="[Table_1].[Customer Segment]" caption="Customer Segment" attribute="1" defaultMemberUniqueName="[Table_1].[Customer Segment].[All]" allUniqueName="[Table_1].[Customer Segment].[All]" dimensionUniqueName="[Table_1]" displayFolder="" count="2" memberValueDatatype="130" unbalanced="0">
      <fieldsUsage count="2">
        <fieldUsage x="-1"/>
        <fieldUsage x="4"/>
      </fieldsUsage>
    </cacheHierarchy>
    <cacheHierarchy uniqueName="[Table_1].[Product Category]" caption="Product Category" attribute="1" defaultMemberUniqueName="[Table_1].[Product Category].[All]" allUniqueName="[Table_1].[Product Category].[All]" dimensionUniqueName="[Table_1]" displayFolder="" count="2" memberValueDatatype="130" unbalanced="0"/>
    <cacheHierarchy uniqueName="[Table_1].[Product Sub-Category]" caption="Product Sub-Category" attribute="1" defaultMemberUniqueName="[Table_1].[Product Sub-Category].[All]" allUniqueName="[Table_1].[Product Sub-Category].[All]" dimensionUniqueName="[Table_1]" displayFolder="" count="2" memberValueDatatype="130" unbalanced="0"/>
    <cacheHierarchy uniqueName="[Table_1].[Product Container]" caption="Product Container" attribute="1" defaultMemberUniqueName="[Table_1].[Product Container].[All]" allUniqueName="[Table_1].[Product Container].[All]" dimensionUniqueName="[Table_1]" displayFolder="" count="2" memberValueDatatype="130" unbalanced="0"/>
    <cacheHierarchy uniqueName="[Table_1].[Product Name]" caption="Product Name" attribute="1" defaultMemberUniqueName="[Table_1].[Product Name].[All]" allUniqueName="[Table_1].[Product Name].[All]" dimensionUniqueName="[Table_1]" displayFolder="" count="2" memberValueDatatype="130" unbalanced="0"/>
    <cacheHierarchy uniqueName="[Table_1].[Product Base Margin]" caption="Product Base Margin" attribute="1" defaultMemberUniqueName="[Table_1].[Product Base Margin].[All]" allUniqueName="[Table_1].[Product Base Margin].[All]" dimensionUniqueName="[Table_1]" displayFolder="" count="2" memberValueDatatype="5" unbalanced="0"/>
    <cacheHierarchy uniqueName="[Table_1].[Country]" caption="Country" attribute="1" defaultMemberUniqueName="[Table_1].[Country].[All]" allUniqueName="[Table_1].[Country].[All]" dimensionUniqueName="[Table_1]" displayFolder="" count="2" memberValueDatatype="130" unbalanced="0"/>
    <cacheHierarchy uniqueName="[Table_1].[Region]" caption="Region" attribute="1" defaultMemberUniqueName="[Table_1].[Region].[All]" allUniqueName="[Table_1].[Region].[All]" dimensionUniqueName="[Table_1]" displayFolder="" count="2" memberValueDatatype="130" unbalanced="0"/>
    <cacheHierarchy uniqueName="[Table_1].[State or Province]" caption="State or Province" attribute="1" defaultMemberUniqueName="[Table_1].[State or Province].[All]" allUniqueName="[Table_1].[State or Province].[All]" dimensionUniqueName="[Table_1]" displayFolder="" count="2" memberValueDatatype="130" unbalanced="0"/>
    <cacheHierarchy uniqueName="[Table_1].[City]" caption="City" attribute="1" defaultMemberUniqueName="[Table_1].[City].[All]" allUniqueName="[Table_1].[City].[All]" dimensionUniqueName="[Table_1]" displayFolder="" count="2" memberValueDatatype="130" unbalanced="0"/>
    <cacheHierarchy uniqueName="[Table_1].[Postal Code]" caption="Postal Code" attribute="1" defaultMemberUniqueName="[Table_1].[Postal Code].[All]" allUniqueName="[Table_1].[Postal Code].[All]" dimensionUniqueName="[Table_1]" displayFolder="" count="2" memberValueDatatype="20" unbalanced="0"/>
    <cacheHierarchy uniqueName="[Table_1].[Order Date]" caption="Order Date" attribute="1" time="1" defaultMemberUniqueName="[Table_1].[Order Date].[All]" allUniqueName="[Table_1].[Order Date].[All]" dimensionUniqueName="[Table_1]" displayFolder="" count="2" memberValueDatatype="7" unbalanced="0"/>
    <cacheHierarchy uniqueName="[Table_1].[Ship Date]" caption="Ship Date" attribute="1" time="1" defaultMemberUniqueName="[Table_1].[Ship Date].[All]" allUniqueName="[Table_1].[Ship Date].[All]" dimensionUniqueName="[Table_1]" displayFolder="" count="2" memberValueDatatype="7" unbalanced="0"/>
    <cacheHierarchy uniqueName="[Table_1].[Profit]" caption="Profit" attribute="1" defaultMemberUniqueName="[Table_1].[Profit].[All]" allUniqueName="[Table_1].[Profit].[All]" dimensionUniqueName="[Table_1]" displayFolder="" count="2" memberValueDatatype="5" unbalanced="0"/>
    <cacheHierarchy uniqueName="[Table_1].[Quantity ordered new]" caption="Quantity ordered new" attribute="1" defaultMemberUniqueName="[Table_1].[Quantity ordered new].[All]" allUniqueName="[Table_1].[Quantity ordered new].[All]" dimensionUniqueName="[Table_1]" displayFolder="" count="2" memberValueDatatype="20" unbalanced="0"/>
    <cacheHierarchy uniqueName="[Table_1].[Sales]" caption="Sales" attribute="1" defaultMemberUniqueName="[Table_1].[Sales].[All]" allUniqueName="[Table_1].[Sales].[All]" dimensionUniqueName="[Table_1]" displayFolder="" count="2" memberValueDatatype="5" unbalanced="0"/>
    <cacheHierarchy uniqueName="[Table_1].[Order ID]" caption="Order ID" attribute="1" defaultMemberUniqueName="[Table_1].[Order ID].[All]" allUniqueName="[Table_1].[Order ID].[All]" dimensionUniqueName="[Table_1]" displayFolder="" count="2" memberValueDatatype="20" unbalanced="0"/>
    <cacheHierarchy uniqueName="[Table_1].[Total]" caption="Total" attribute="1" defaultMemberUniqueName="[Table_1].[Total].[All]" allUniqueName="[Table_1].[Total].[All]" dimensionUniqueName="[Table_1]" displayFolder="" count="2" memberValueDatatype="5" unbalanced="0"/>
    <cacheHierarchy uniqueName="[Table_1].[Manager]" caption="Manager" attribute="1" defaultMemberUniqueName="[Table_1].[Manager].[All]" allUniqueName="[Table_1].[Manager].[All]" dimensionUniqueName="[Table_1]" displayFolder="" count="2" memberValueDatatype="130" unbalanced="0">
      <fieldsUsage count="2">
        <fieldUsage x="-1"/>
        <fieldUsage x="3"/>
      </fieldsUsage>
    </cacheHierarchy>
    <cacheHierarchy uniqueName="[Table_1].[Dollar Discount]" caption="Dollar Discount" attribute="1" defaultMemberUniqueName="[Table_1].[Dollar Discount].[All]" allUniqueName="[Table_1].[Dollar Discount].[All]" dimensionUniqueName="[Table_1]" displayFolder="" count="2" memberValueDatatype="5" unbalanced="0"/>
    <cacheHierarchy uniqueName="[Table_1].[Gross Cost]" caption="Gross Cost" attribute="1" defaultMemberUniqueName="[Table_1].[Gross Cost].[All]" allUniqueName="[Table_1].[Gross Cost].[All]" dimensionUniqueName="[Table_1]" displayFolder="" count="2" memberValueDatatype="5" unbalanced="0"/>
    <cacheHierarchy uniqueName="[Table_1].[Gross Profit]" caption="Gross Profit" attribute="1" defaultMemberUniqueName="[Table_1].[Gross Profit].[All]" allUniqueName="[Table_1].[Gross Profit].[All]" dimensionUniqueName="[Table_1]" displayFolder="" count="2" memberValueDatatype="5" unbalanced="0"/>
    <cacheHierarchy uniqueName="[Table_1].[Cumulative cost]" caption="Cumulative cost" attribute="1" defaultMemberUniqueName="[Table_1].[Cumulative cost].[All]" allUniqueName="[Table_1].[Cumulative cost].[All]" dimensionUniqueName="[Table_1]" displayFolder="" count="2" memberValueDatatype="5" unbalanced="0"/>
    <cacheHierarchy uniqueName="[Table_1].[Order Date (Month)]" caption="Order Date (Month)" attribute="1" defaultMemberUniqueName="[Table_1].[Order Date (Month)].[All]" allUniqueName="[Table_1].[Order Date (Month)].[All]" dimensionUniqueName="[Table_1]" displayFolder="" count="2"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2"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oneField="1" hidden="1">
      <fieldsUsage count="1">
        <fieldUsage x="0"/>
      </fieldsUsage>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oneField="1" hidden="1">
      <fieldsUsage count="1">
        <fieldUsage x="2"/>
      </fieldsUsage>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oneField="1" hidden="1">
      <fieldsUsage count="1">
        <fieldUsage x="1"/>
      </fieldsUsage>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1237962965" backgroundQuery="1" createdVersion="8" refreshedVersion="8" minRefreshableVersion="3" recordCount="0" supportSubquery="1" supportAdvancedDrill="1" xr:uid="{1CFE1DCE-BA7F-4A57-960A-BB3853FDB87A}">
  <cacheSource type="external" connectionId="1"/>
  <cacheFields count="5">
    <cacheField name="[Table_1].[Product Sub-Category].[Product Sub-Category]" caption="Product Sub-Category" numFmtId="0" hierarchy="9" level="1">
      <sharedItems count="17">
        <s v="Appliances"/>
        <s v="Binders and Binder Accessories"/>
        <s v="Bookcases"/>
        <s v="Chairs &amp; Chairmats"/>
        <s v="Computer Peripherals"/>
        <s v="Copiers and Fax"/>
        <s v="Envelopes"/>
        <s v="Labels"/>
        <s v="Office Furnishings"/>
        <s v="Office Machines"/>
        <s v="Paper"/>
        <s v="Pens &amp; Art Supplies"/>
        <s v="Rubber Bands"/>
        <s v="Scissors, Rulers and Trimmers"/>
        <s v="Storage &amp; Organization"/>
        <s v="Tables"/>
        <s v="Telephones and Communication"/>
      </sharedItems>
    </cacheField>
    <cacheField name="[Measures].[Sum of Sales]" caption="Sum of Sales" numFmtId="0" hierarchy="38" level="32767"/>
    <cacheField name="[Measures].[Sum of Profit]" caption="Sum of Profit" numFmtId="0" hierarchy="40" level="32767"/>
    <cacheField name="[Measures].[Sum of Quantity ordered new]" caption="Sum of Quantity ordered new" numFmtId="0" hierarchy="39" level="32767"/>
    <cacheField name="[Table_1].[Customer Segment].[Customer Segment]" caption="Customer Segment" numFmtId="0" hierarchy="7" level="1">
      <sharedItems containsSemiMixedTypes="0" containsNonDate="0" containsString="0"/>
    </cacheField>
  </cacheFields>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0" memberValueDatatype="130" unbalanced="0"/>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2" memberValueDatatype="130" unbalanced="0">
      <fieldsUsage count="2">
        <fieldUsage x="-1"/>
        <fieldUsage x="4"/>
      </fieldsUsage>
    </cacheHierarchy>
    <cacheHierarchy uniqueName="[Table_1].[Product Category]" caption="Product Category" attribute="1" defaultMemberUniqueName="[Table_1].[Product Category].[All]" allUniqueName="[Table_1].[Product Category].[All]" dimensionUniqueName="[Table_1]" displayFolder="" count="0" memberValueDatatype="130" unbalanced="0"/>
    <cacheHierarchy uniqueName="[Table_1].[Product Sub-Category]" caption="Product Sub-Category" attribute="1" defaultMemberUniqueName="[Table_1].[Product Sub-Category].[All]" allUniqueName="[Table_1].[Product Sub-Category].[All]" dimensionUniqueName="[Table_1]" displayFolder="" count="2" memberValueDatatype="130" unbalanced="0">
      <fieldsUsage count="2">
        <fieldUsage x="-1"/>
        <fieldUsage x="0"/>
      </fieldsUsage>
    </cacheHierarchy>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2"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2"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oneField="1" hidden="1">
      <fieldsUsage count="1">
        <fieldUsage x="1"/>
      </fieldsUsage>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oneField="1" hidden="1">
      <fieldsUsage count="1">
        <fieldUsage x="3"/>
      </fieldsUsage>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oneField="1" hidden="1">
      <fieldsUsage count="1">
        <fieldUsage x="2"/>
      </fieldsUsage>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2586342593" backgroundQuery="1" createdVersion="8" refreshedVersion="8" minRefreshableVersion="3" recordCount="0" supportSubquery="1" supportAdvancedDrill="1" xr:uid="{73701C9E-20F7-49AA-A446-2D010840C27C}">
  <cacheSource type="external" connectionId="1"/>
  <cacheFields count="7">
    <cacheField name="[Table_1].[Customer Segment].[Customer Segment]" caption="Customer Segment" numFmtId="0" hierarchy="7" level="1">
      <sharedItems count="4">
        <s v="Consumer"/>
        <s v="Corporate"/>
        <s v="Home Office"/>
        <s v="Small Business"/>
      </sharedItems>
    </cacheField>
    <cacheField name="[Table_1].[Product Sub-Category].[Product Sub-Category]" caption="Product Sub-Category" numFmtId="0" hierarchy="9" level="1">
      <sharedItems count="17">
        <s v="Appliances"/>
        <s v="Binders and Binder Accessories"/>
        <s v="Bookcases"/>
        <s v="Chairs &amp; Chairmats"/>
        <s v="Computer Peripherals"/>
        <s v="Copiers and Fax"/>
        <s v="Envelopes"/>
        <s v="Labels"/>
        <s v="Office Furnishings"/>
        <s v="Office Machines"/>
        <s v="Paper"/>
        <s v="Pens &amp; Art Supplies"/>
        <s v="Rubber Bands"/>
        <s v="Scissors, Rulers and Trimmers"/>
        <s v="Storage &amp; Organization"/>
        <s v="Tables"/>
        <s v="Telephones and Communication"/>
      </sharedItems>
    </cacheField>
    <cacheField name="[Measures].[Sum of Sales]" caption="Sum of Sales" numFmtId="0" hierarchy="38" level="32767"/>
    <cacheField name="[Measures].[Sum of Profit]" caption="Sum of Profit" numFmtId="0" hierarchy="40" level="32767"/>
    <cacheField name="[Table_1].[Order Priority].[Order Priority]" caption="Order Priority" numFmtId="0" hierarchy="2" level="1">
      <sharedItems count="5">
        <s v="Critical"/>
        <s v="High"/>
        <s v="Low"/>
        <s v="Medium"/>
        <s v="N/A"/>
      </sharedItems>
    </cacheField>
    <cacheField name="[Measures].[Distinct Count of Order ID]" caption="Distinct Count of Order ID" numFmtId="0" hierarchy="48" level="32767"/>
    <cacheField name="[Measures].[Max of Order Date]" caption="Max of Order Date" numFmtId="0" hierarchy="50" level="32767"/>
  </cacheFields>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2" memberValueDatatype="130" unbalanced="0">
      <fieldsUsage count="2">
        <fieldUsage x="-1"/>
        <fieldUsage x="4"/>
      </fieldsUsage>
    </cacheHierarchy>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2" memberValueDatatype="130" unbalanced="0">
      <fieldsUsage count="2">
        <fieldUsage x="-1"/>
        <fieldUsage x="0"/>
      </fieldsUsage>
    </cacheHierarchy>
    <cacheHierarchy uniqueName="[Table_1].[Product Category]" caption="Product Category" attribute="1" defaultMemberUniqueName="[Table_1].[Product Category].[All]" allUniqueName="[Table_1].[Product Category].[All]" dimensionUniqueName="[Table_1]" displayFolder="" count="2" memberValueDatatype="130" unbalanced="0"/>
    <cacheHierarchy uniqueName="[Table_1].[Product Sub-Category]" caption="Product Sub-Category" attribute="1" defaultMemberUniqueName="[Table_1].[Product Sub-Category].[All]" allUniqueName="[Table_1].[Product Sub-Category].[All]" dimensionUniqueName="[Table_1]" displayFolder="" count="2" memberValueDatatype="130" unbalanced="0">
      <fieldsUsage count="2">
        <fieldUsage x="-1"/>
        <fieldUsage x="1"/>
      </fieldsUsage>
    </cacheHierarchy>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0"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oneField="1" hidden="1">
      <fieldsUsage count="1">
        <fieldUsage x="2"/>
      </fieldsUsage>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hidden="1">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oneField="1" hidden="1">
      <fieldsUsage count="1">
        <fieldUsage x="3"/>
      </fieldsUsage>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oneField="1" hidden="1">
      <fieldsUsage count="1">
        <fieldUsage x="5"/>
      </fieldsUsage>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oneField="1" hidden="1">
      <fieldsUsage count="1">
        <fieldUsage x="6"/>
      </fieldsUsage>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2588310187" backgroundQuery="1" createdVersion="8" refreshedVersion="8" minRefreshableVersion="3" recordCount="0" supportSubquery="1" supportAdvancedDrill="1" xr:uid="{92415BE5-3FEC-4B28-8344-7766094E621F}">
  <cacheSource type="external" connectionId="1"/>
  <cacheFields count="4">
    <cacheField name="[Table_1].[City].[City]" caption="City" numFmtId="0" hierarchy="16" level="1">
      <sharedItems count="3">
        <s v="Janesville"/>
        <s v="Laguna Hills"/>
        <s v="Walla Walla"/>
      </sharedItems>
    </cacheField>
    <cacheField name="[Measures].[Sum of Quantity ordered new]" caption="Sum of Quantity ordered new" numFmtId="0" hierarchy="39" level="32767"/>
    <cacheField name="[Measures].[Sum of Profit]" caption="Sum of Profit" numFmtId="0" hierarchy="40" level="32767"/>
    <cacheField name="[Table_1].[Order Priority].[Order Priority]" caption="Order Priority" numFmtId="0" hierarchy="2" level="1">
      <sharedItems containsSemiMixedTypes="0" containsNonDate="0" containsString="0"/>
    </cacheField>
  </cacheFields>
  <cacheHierarchies count="54">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2" memberValueDatatype="130" unbalanced="0">
      <fieldsUsage count="2">
        <fieldUsage x="-1"/>
        <fieldUsage x="3"/>
      </fieldsUsage>
    </cacheHierarchy>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2" memberValueDatatype="130" unbalanced="0"/>
    <cacheHierarchy uniqueName="[Table_1].[Product Category]" caption="Product Category" attribute="1" defaultMemberUniqueName="[Table_1].[Product Category].[All]" allUniqueName="[Table_1].[Product Category].[All]" dimensionUniqueName="[Table_1]" displayFolder="" count="0" memberValueDatatype="130" unbalanced="0"/>
    <cacheHierarchy uniqueName="[Table_1].[Product Sub-Category]" caption="Product Sub-Category" attribute="1" defaultMemberUniqueName="[Table_1].[Product Sub-Category].[All]" allUniqueName="[Table_1].[Product Sub-Category].[All]" dimensionUniqueName="[Table_1]" displayFolder="" count="2"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2" memberValueDatatype="130" unbalanced="0">
      <fieldsUsage count="2">
        <fieldUsage x="-1"/>
        <fieldUsage x="0"/>
      </fieldsUsage>
    </cacheHierarchy>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0"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hidden="1">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oneField="1" hidden="1">
      <fieldsUsage count="1">
        <fieldUsage x="1"/>
      </fieldsUsage>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oneField="1" hidden="1">
      <fieldsUsage count="1">
        <fieldUsage x="2"/>
      </fieldsUsage>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Count of Sales]" caption="Count of Sales" measure="1" displayFolder="" measureGroup="Table_1" count="0" hidden="1">
      <extLst>
        <ext xmlns:x15="http://schemas.microsoft.com/office/spreadsheetml/2010/11/main" uri="{B97F6D7D-B522-45F9-BDA1-12C45D357490}">
          <x15:cacheHierarchy aggregatedColumn="22"/>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2590740742" backgroundQuery="1" createdVersion="8" refreshedVersion="8" minRefreshableVersion="3" recordCount="0" supportSubquery="1" supportAdvancedDrill="1" xr:uid="{FB4642D6-B92E-400B-A017-2186B7CC55FB}">
  <cacheSource type="external" connectionId="1"/>
  <cacheFields count="4">
    <cacheField name="[Table_1].[City].[City]" caption="City" numFmtId="0" hierarchy="16" level="1">
      <sharedItems count="3">
        <s v="Janesville"/>
        <s v="Laguna Hills"/>
        <s v="Walla Walla"/>
      </sharedItems>
    </cacheField>
    <cacheField name="[Measures].[Sum of Sales]" caption="Sum of Sales" numFmtId="0" hierarchy="38" level="32767"/>
    <cacheField name="[Measures].[Sum of Quantity ordered new]" caption="Sum of Quantity ordered new" numFmtId="0" hierarchy="39" level="32767"/>
    <cacheField name="[Table_1].[Order Priority].[Order Priority]" caption="Order Priority" numFmtId="0" hierarchy="2" level="1">
      <sharedItems containsSemiMixedTypes="0" containsNonDate="0" containsString="0"/>
    </cacheField>
  </cacheFields>
  <cacheHierarchies count="54">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2" memberValueDatatype="130" unbalanced="0">
      <fieldsUsage count="2">
        <fieldUsage x="-1"/>
        <fieldUsage x="3"/>
      </fieldsUsage>
    </cacheHierarchy>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2" memberValueDatatype="130" unbalanced="0"/>
    <cacheHierarchy uniqueName="[Table_1].[Product Category]" caption="Product Category" attribute="1" defaultMemberUniqueName="[Table_1].[Product Category].[All]" allUniqueName="[Table_1].[Product Category].[All]" dimensionUniqueName="[Table_1]" displayFolder="" count="0" memberValueDatatype="130" unbalanced="0"/>
    <cacheHierarchy uniqueName="[Table_1].[Product Sub-Category]" caption="Product Sub-Category" attribute="1" defaultMemberUniqueName="[Table_1].[Product Sub-Category].[All]" allUniqueName="[Table_1].[Product Sub-Category].[All]" dimensionUniqueName="[Table_1]" displayFolder="" count="2"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2" memberValueDatatype="130" unbalanced="0">
      <fieldsUsage count="2">
        <fieldUsage x="-1"/>
        <fieldUsage x="0"/>
      </fieldsUsage>
    </cacheHierarchy>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0"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oneField="1" hidden="1">
      <fieldsUsage count="1">
        <fieldUsage x="1"/>
      </fieldsUsage>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oneField="1" hidden="1">
      <fieldsUsage count="1">
        <fieldUsage x="2"/>
      </fieldsUsage>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hidden="1">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Count of Sales]" caption="Count of Sales" measure="1" displayFolder="" measureGroup="Table_1" count="0" hidden="1">
      <extLst>
        <ext xmlns:x15="http://schemas.microsoft.com/office/spreadsheetml/2010/11/main" uri="{B97F6D7D-B522-45F9-BDA1-12C45D357490}">
          <x15:cacheHierarchy aggregatedColumn="22"/>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2592824074" backgroundQuery="1" createdVersion="8" refreshedVersion="8" minRefreshableVersion="3" recordCount="0" supportSubquery="1" supportAdvancedDrill="1" xr:uid="{4C4FA4F7-8C68-4050-BC35-01E737F72F9F}">
  <cacheSource type="external" connectionId="1"/>
  <cacheFields count="4">
    <cacheField name="[Table_1].[Product Name].[Product Name]" caption="Product Name" numFmtId="0" hierarchy="11" level="1">
      <sharedItems count="3">
        <s v="*Staples* Packaging Labels"/>
        <s v="Avery Reinforcements for Hole-Punch Pages"/>
        <s v="Letter Slitter"/>
      </sharedItems>
    </cacheField>
    <cacheField name="[Measures].[Sum of Sales]" caption="Sum of Sales" numFmtId="0" hierarchy="38" level="32767"/>
    <cacheField name="[Measures].[Sum of Quantity ordered new]" caption="Sum of Quantity ordered new" numFmtId="0" hierarchy="39" level="32767"/>
    <cacheField name="[Table_1].[Order Priority].[Order Priority]" caption="Order Priority" numFmtId="0" hierarchy="2" level="1">
      <sharedItems containsSemiMixedTypes="0" containsNonDate="0" containsString="0"/>
    </cacheField>
  </cacheFields>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2" memberValueDatatype="130" unbalanced="0">
      <fieldsUsage count="2">
        <fieldUsage x="-1"/>
        <fieldUsage x="3"/>
      </fieldsUsage>
    </cacheHierarchy>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2" memberValueDatatype="130" unbalanced="0"/>
    <cacheHierarchy uniqueName="[Table_1].[Product Category]" caption="Product Category" attribute="1" defaultMemberUniqueName="[Table_1].[Product Category].[All]" allUniqueName="[Table_1].[Product Category].[All]" dimensionUniqueName="[Table_1]" displayFolder="" count="0" memberValueDatatype="130" unbalanced="0"/>
    <cacheHierarchy uniqueName="[Table_1].[Product Sub-Category]" caption="Product Sub-Category" attribute="1" defaultMemberUniqueName="[Table_1].[Product Sub-Category].[All]" allUniqueName="[Table_1].[Product Sub-Category].[All]" dimensionUniqueName="[Table_1]" displayFolder="" count="2"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2" memberValueDatatype="130" unbalanced="0">
      <fieldsUsage count="2">
        <fieldUsage x="-1"/>
        <fieldUsage x="0"/>
      </fieldsUsage>
    </cacheHierarchy>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0"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oneField="1" hidden="1">
      <fieldsUsage count="1">
        <fieldUsage x="1"/>
      </fieldsUsage>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oneField="1" hidden="1">
      <fieldsUsage count="1">
        <fieldUsage x="2"/>
      </fieldsUsage>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hidden="1">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2595023145" backgroundQuery="1" createdVersion="8" refreshedVersion="8" minRefreshableVersion="3" recordCount="0" supportSubquery="1" supportAdvancedDrill="1" xr:uid="{BF622764-B714-420D-BDB4-FE7BAC4D467B}">
  <cacheSource type="external" connectionId="1"/>
  <cacheFields count="4">
    <cacheField name="[Table_1].[Product Name].[Product Name]" caption="Product Name" numFmtId="0" hierarchy="11" level="1">
      <sharedItems count="3">
        <s v="5165"/>
        <s v="Okidata Pacemark 4410N Wide Format Dot Matrix Printer"/>
        <s v="Polycom ViewStation™ ISDN Videoconferencing Unit"/>
      </sharedItems>
    </cacheField>
    <cacheField name="[Measures].[Sum of Quantity ordered new]" caption="Sum of Quantity ordered new" numFmtId="0" hierarchy="39" level="32767"/>
    <cacheField name="[Measures].[Sum of Profit]" caption="Sum of Profit" numFmtId="0" hierarchy="40" level="32767"/>
    <cacheField name="[Table_1].[Order Priority].[Order Priority]" caption="Order Priority" numFmtId="0" hierarchy="2" level="1">
      <sharedItems containsSemiMixedTypes="0" containsNonDate="0" containsString="0"/>
    </cacheField>
  </cacheFields>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2" memberValueDatatype="130" unbalanced="0">
      <fieldsUsage count="2">
        <fieldUsage x="-1"/>
        <fieldUsage x="3"/>
      </fieldsUsage>
    </cacheHierarchy>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2" memberValueDatatype="130" unbalanced="0"/>
    <cacheHierarchy uniqueName="[Table_1].[Product Category]" caption="Product Category" attribute="1" defaultMemberUniqueName="[Table_1].[Product Category].[All]" allUniqueName="[Table_1].[Product Category].[All]" dimensionUniqueName="[Table_1]" displayFolder="" count="0" memberValueDatatype="130" unbalanced="0"/>
    <cacheHierarchy uniqueName="[Table_1].[Product Sub-Category]" caption="Product Sub-Category" attribute="1" defaultMemberUniqueName="[Table_1].[Product Sub-Category].[All]" allUniqueName="[Table_1].[Product Sub-Category].[All]" dimensionUniqueName="[Table_1]" displayFolder="" count="2"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2" memberValueDatatype="130" unbalanced="0">
      <fieldsUsage count="2">
        <fieldUsage x="-1"/>
        <fieldUsage x="0"/>
      </fieldsUsage>
    </cacheHierarchy>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0"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hidden="1">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oneField="1" hidden="1">
      <fieldsUsage count="1">
        <fieldUsage x="1"/>
      </fieldsUsage>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oneField="1" hidden="1">
      <fieldsUsage count="1">
        <fieldUsage x="2"/>
      </fieldsUsage>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2597106485" backgroundQuery="1" createdVersion="8" refreshedVersion="8" minRefreshableVersion="3" recordCount="0" supportSubquery="1" supportAdvancedDrill="1" xr:uid="{7A3C73FB-CE88-4830-BD0C-BC2D9D679447}">
  <cacheSource type="external" connectionId="1"/>
  <cacheFields count="4">
    <cacheField name="[Table_1].[City].[City]" caption="City" numFmtId="0" hierarchy="16" level="1">
      <sharedItems count="3">
        <s v="Los Angeles"/>
        <s v="New York City"/>
        <s v="Washington"/>
      </sharedItems>
    </cacheField>
    <cacheField name="[Measures].[Sum of Quantity ordered new]" caption="Sum of Quantity ordered new" numFmtId="0" hierarchy="39" level="32767"/>
    <cacheField name="[Measures].[Sum of Profit]" caption="Sum of Profit" numFmtId="0" hierarchy="40" level="32767"/>
    <cacheField name="[Table_1].[Order Priority].[Order Priority]" caption="Order Priority" numFmtId="0" hierarchy="2" level="1">
      <sharedItems containsSemiMixedTypes="0" containsNonDate="0" containsString="0"/>
    </cacheField>
  </cacheFields>
  <cacheHierarchies count="54">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2" memberValueDatatype="130" unbalanced="0">
      <fieldsUsage count="2">
        <fieldUsage x="-1"/>
        <fieldUsage x="3"/>
      </fieldsUsage>
    </cacheHierarchy>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2" memberValueDatatype="130" unbalanced="0"/>
    <cacheHierarchy uniqueName="[Table_1].[Product Category]" caption="Product Category" attribute="1" defaultMemberUniqueName="[Table_1].[Product Category].[All]" allUniqueName="[Table_1].[Product Category].[All]" dimensionUniqueName="[Table_1]" displayFolder="" count="0" memberValueDatatype="130" unbalanced="0"/>
    <cacheHierarchy uniqueName="[Table_1].[Product Sub-Category]" caption="Product Sub-Category" attribute="1" defaultMemberUniqueName="[Table_1].[Product Sub-Category].[All]" allUniqueName="[Table_1].[Product Sub-Category].[All]" dimensionUniqueName="[Table_1]" displayFolder="" count="2"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2" memberValueDatatype="130" unbalanced="0">
      <fieldsUsage count="2">
        <fieldUsage x="-1"/>
        <fieldUsage x="0"/>
      </fieldsUsage>
    </cacheHierarchy>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0"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hidden="1">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oneField="1" hidden="1">
      <fieldsUsage count="1">
        <fieldUsage x="1"/>
      </fieldsUsage>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oneField="1" hidden="1">
      <fieldsUsage count="1">
        <fieldUsage x="2"/>
      </fieldsUsage>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Count of Sales]" caption="Count of Sales" measure="1" displayFolder="" measureGroup="Table_1" count="0" hidden="1">
      <extLst>
        <ext xmlns:x15="http://schemas.microsoft.com/office/spreadsheetml/2010/11/main" uri="{B97F6D7D-B522-45F9-BDA1-12C45D357490}">
          <x15:cacheHierarchy aggregatedColumn="22"/>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2599189817" backgroundQuery="1" createdVersion="8" refreshedVersion="8" minRefreshableVersion="3" recordCount="0" supportSubquery="1" supportAdvancedDrill="1" xr:uid="{93539609-FC7F-4D0D-AEB1-E05312B64A9C}">
  <cacheSource type="external" connectionId="1"/>
  <cacheFields count="4">
    <cacheField name="[Table_1].[Product Name].[Product Name]" caption="Product Name" numFmtId="0" hierarchy="11" level="1">
      <sharedItems count="3">
        <s v="Fellowes PB500 Electric Punch Plastic Comb Binding Machine with Manual Bind"/>
        <s v="Global Troy™ Executive Leather Low-Back Tilter"/>
        <s v="Lexmark 4227 Plus Dot Matrix Printer"/>
      </sharedItems>
    </cacheField>
    <cacheField name="[Measures].[Sum of Quantity ordered new]" caption="Sum of Quantity ordered new" numFmtId="0" hierarchy="39" level="32767"/>
    <cacheField name="[Measures].[Sum of Profit]" caption="Sum of Profit" numFmtId="0" hierarchy="40" level="32767"/>
    <cacheField name="[Table_1].[Order Priority].[Order Priority]" caption="Order Priority" numFmtId="0" hierarchy="2" level="1">
      <sharedItems containsSemiMixedTypes="0" containsNonDate="0" containsString="0"/>
    </cacheField>
  </cacheFields>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2" memberValueDatatype="130" unbalanced="0">
      <fieldsUsage count="2">
        <fieldUsage x="-1"/>
        <fieldUsage x="3"/>
      </fieldsUsage>
    </cacheHierarchy>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2" memberValueDatatype="130" unbalanced="0"/>
    <cacheHierarchy uniqueName="[Table_1].[Product Category]" caption="Product Category" attribute="1" defaultMemberUniqueName="[Table_1].[Product Category].[All]" allUniqueName="[Table_1].[Product Category].[All]" dimensionUniqueName="[Table_1]" displayFolder="" count="0" memberValueDatatype="130" unbalanced="0"/>
    <cacheHierarchy uniqueName="[Table_1].[Product Sub-Category]" caption="Product Sub-Category" attribute="1" defaultMemberUniqueName="[Table_1].[Product Sub-Category].[All]" allUniqueName="[Table_1].[Product Sub-Category].[All]" dimensionUniqueName="[Table_1]" displayFolder="" count="2"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2" memberValueDatatype="130" unbalanced="0">
      <fieldsUsage count="2">
        <fieldUsage x="-1"/>
        <fieldUsage x="0"/>
      </fieldsUsage>
    </cacheHierarchy>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0"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hidden="1">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oneField="1" hidden="1">
      <fieldsUsage count="1">
        <fieldUsage x="1"/>
      </fieldsUsage>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oneField="1" hidden="1">
      <fieldsUsage count="1">
        <fieldUsage x="2"/>
      </fieldsUsage>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2601041665" backgroundQuery="1" createdVersion="8" refreshedVersion="8" minRefreshableVersion="3" recordCount="0" supportSubquery="1" supportAdvancedDrill="1" xr:uid="{A51B00C0-8C4F-49A8-9D95-44F54F6CE43E}">
  <cacheSource type="external" connectionId="1"/>
  <cacheFields count="4">
    <cacheField name="[Table_1].[City].[City]" caption="City" numFmtId="0" hierarchy="16" level="1">
      <sharedItems count="3">
        <s v="Los Angeles"/>
        <s v="New York City"/>
        <s v="Washington"/>
      </sharedItems>
    </cacheField>
    <cacheField name="[Measures].[Sum of Sales]" caption="Sum of Sales" numFmtId="0" hierarchy="38" level="32767"/>
    <cacheField name="[Measures].[Sum of Quantity ordered new]" caption="Sum of Quantity ordered new" numFmtId="0" hierarchy="39" level="32767"/>
    <cacheField name="[Table_1].[Order Priority].[Order Priority]" caption="Order Priority" numFmtId="0" hierarchy="2" level="1">
      <sharedItems containsSemiMixedTypes="0" containsNonDate="0" containsString="0"/>
    </cacheField>
  </cacheFields>
  <cacheHierarchies count="54">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2" memberValueDatatype="130" unbalanced="0">
      <fieldsUsage count="2">
        <fieldUsage x="-1"/>
        <fieldUsage x="3"/>
      </fieldsUsage>
    </cacheHierarchy>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2" memberValueDatatype="130" unbalanced="0"/>
    <cacheHierarchy uniqueName="[Table_1].[Product Category]" caption="Product Category" attribute="1" defaultMemberUniqueName="[Table_1].[Product Category].[All]" allUniqueName="[Table_1].[Product Category].[All]" dimensionUniqueName="[Table_1]" displayFolder="" count="0" memberValueDatatype="130" unbalanced="0"/>
    <cacheHierarchy uniqueName="[Table_1].[Product Sub-Category]" caption="Product Sub-Category" attribute="1" defaultMemberUniqueName="[Table_1].[Product Sub-Category].[All]" allUniqueName="[Table_1].[Product Sub-Category].[All]" dimensionUniqueName="[Table_1]" displayFolder="" count="2"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2" memberValueDatatype="130" unbalanced="0">
      <fieldsUsage count="2">
        <fieldUsage x="-1"/>
        <fieldUsage x="0"/>
      </fieldsUsage>
    </cacheHierarchy>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0"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oneField="1" hidden="1">
      <fieldsUsage count="1">
        <fieldUsage x="1"/>
      </fieldsUsage>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oneField="1" hidden="1">
      <fieldsUsage count="1">
        <fieldUsage x="2"/>
      </fieldsUsage>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hidden="1">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Count of Sales]" caption="Count of Sales" measure="1" displayFolder="" measureGroup="Table_1" count="0" hidden="1">
      <extLst>
        <ext xmlns:x15="http://schemas.microsoft.com/office/spreadsheetml/2010/11/main" uri="{B97F6D7D-B522-45F9-BDA1-12C45D357490}">
          <x15:cacheHierarchy aggregatedColumn="22"/>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2603124997" backgroundQuery="1" createdVersion="8" refreshedVersion="8" minRefreshableVersion="3" recordCount="0" supportSubquery="1" supportAdvancedDrill="1" xr:uid="{ED1035D6-2414-47B8-97A7-EDD299087649}">
  <cacheSource type="external" connectionId="1"/>
  <cacheFields count="4">
    <cacheField name="[Table_1].[Product Name].[Product Name]" caption="Product Name" numFmtId="0" hierarchy="11" level="1">
      <sharedItems count="3">
        <s v="Fellowes PB500 Electric Punch Plastic Comb Binding Machine with Manual Bind"/>
        <s v="Global Troy™ Executive Leather Low-Back Tilter"/>
        <s v="Lexmark 4227 Plus Dot Matrix Printer"/>
      </sharedItems>
    </cacheField>
    <cacheField name="[Measures].[Sum of Sales]" caption="Sum of Sales" numFmtId="0" hierarchy="38" level="32767"/>
    <cacheField name="[Measures].[Sum of Quantity ordered new]" caption="Sum of Quantity ordered new" numFmtId="0" hierarchy="39" level="32767"/>
    <cacheField name="[Table_1].[Order Priority].[Order Priority]" caption="Order Priority" numFmtId="0" hierarchy="2" level="1">
      <sharedItems containsSemiMixedTypes="0" containsNonDate="0" containsString="0"/>
    </cacheField>
  </cacheFields>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2" memberValueDatatype="130" unbalanced="0">
      <fieldsUsage count="2">
        <fieldUsage x="-1"/>
        <fieldUsage x="3"/>
      </fieldsUsage>
    </cacheHierarchy>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2" memberValueDatatype="130" unbalanced="0"/>
    <cacheHierarchy uniqueName="[Table_1].[Product Category]" caption="Product Category" attribute="1" defaultMemberUniqueName="[Table_1].[Product Category].[All]" allUniqueName="[Table_1].[Product Category].[All]" dimensionUniqueName="[Table_1]" displayFolder="" count="0" memberValueDatatype="130" unbalanced="0"/>
    <cacheHierarchy uniqueName="[Table_1].[Product Sub-Category]" caption="Product Sub-Category" attribute="1" defaultMemberUniqueName="[Table_1].[Product Sub-Category].[All]" allUniqueName="[Table_1].[Product Sub-Category].[All]" dimensionUniqueName="[Table_1]" displayFolder="" count="2"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2" memberValueDatatype="130" unbalanced="0">
      <fieldsUsage count="2">
        <fieldUsage x="-1"/>
        <fieldUsage x="0"/>
      </fieldsUsage>
    </cacheHierarchy>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0"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oneField="1" hidden="1">
      <fieldsUsage count="1">
        <fieldUsage x="1"/>
      </fieldsUsage>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oneField="1" hidden="1">
      <fieldsUsage count="1">
        <fieldUsage x="2"/>
      </fieldsUsage>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hidden="1">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4764467589" backgroundQuery="1" createdVersion="8" refreshedVersion="8" minRefreshableVersion="3" recordCount="0" supportSubquery="1" supportAdvancedDrill="1" xr:uid="{44FAA082-A0B3-4AE3-8E0E-311B32186386}">
  <cacheSource type="external" connectionId="1"/>
  <cacheFields count="6">
    <cacheField name="[Table_1].[State or Province].[State or Province]" caption="State or Province" numFmtId="0" hierarchy="15" level="1">
      <sharedItems count="49">
        <s v="Alabama"/>
        <s v="Arizona"/>
        <s v="Arkansas"/>
        <s v="California"/>
        <s v="Colorado"/>
        <s v="Connecticut"/>
        <s v="Delaware"/>
        <s v="District of Columbia"/>
        <s v="Florida"/>
        <s v="Georgia"/>
        <s v="Idaho"/>
        <s v="Illinois"/>
        <s v="Indiana"/>
        <s v="Iowa"/>
        <s v="Kansas"/>
        <s v="Kentucky"/>
        <s v="Louisiana"/>
        <s v="Maine"/>
        <s v="Maryland"/>
        <s v="Massachusetts"/>
        <s v="Michigan"/>
        <s v="Minnesota"/>
        <s v="Mississippi"/>
        <s v="Missouri"/>
        <s v="Montana"/>
        <s v="Nebraska"/>
        <s v="Nevada"/>
        <s v="New Hampshire"/>
        <s v="New Jersey"/>
        <s v="New Mexico"/>
        <s v="New York"/>
        <s v="North Carolina"/>
        <s v="North Dakota"/>
        <s v="Ohio"/>
        <s v="Oklahoma"/>
        <s v="Oregon"/>
        <s v="Pennsylvania"/>
        <s v="Rhode Island"/>
        <s v="South Carolina"/>
        <s v="South Dakota"/>
        <s v="Tennessee"/>
        <s v="Texas"/>
        <s v="Utah"/>
        <s v="Vermont"/>
        <s v="Virginia"/>
        <s v="Washington"/>
        <s v="West Virginia"/>
        <s v="Wisconsin"/>
        <s v="Wyoming"/>
      </sharedItems>
    </cacheField>
    <cacheField name="[Measures].[Sum of Sales]" caption="Sum of Sales" numFmtId="0" hierarchy="38" level="32767"/>
    <cacheField name="[Measures].[Sum of Cumulative cost]" caption="Sum of Cumulative cost" numFmtId="0" hierarchy="45" level="32767"/>
    <cacheField name="[Measures].[Sum of Shipping Cost]" caption="Sum of Shipping Cost" numFmtId="0" hierarchy="43" level="32767"/>
    <cacheField name="[Measures].[Sum of Profit]" caption="Sum of Profit" numFmtId="0" hierarchy="40" level="32767"/>
    <cacheField name="[Table_1].[Product Category].[Product Category]" caption="Product Category" numFmtId="0" hierarchy="8" level="1">
      <sharedItems containsSemiMixedTypes="0" containsNonDate="0" containsString="0"/>
    </cacheField>
  </cacheFields>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0" memberValueDatatype="130" unbalanced="0"/>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0" memberValueDatatype="130" unbalanced="0"/>
    <cacheHierarchy uniqueName="[Table_1].[Product Category]" caption="Product Category" attribute="1" defaultMemberUniqueName="[Table_1].[Product Category].[All]" allUniqueName="[Table_1].[Product Category].[All]" dimensionUniqueName="[Table_1]" displayFolder="" count="2" memberValueDatatype="130" unbalanced="0">
      <fieldsUsage count="2">
        <fieldUsage x="-1"/>
        <fieldUsage x="5"/>
      </fieldsUsage>
    </cacheHierarchy>
    <cacheHierarchy uniqueName="[Table_1].[Product Sub-Category]" caption="Product Sub-Category" attribute="1" defaultMemberUniqueName="[Table_1].[Product Sub-Category].[All]" allUniqueName="[Table_1].[Product Sub-Category].[All]" dimensionUniqueName="[Table_1]" displayFolder="" count="0"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2" memberValueDatatype="130" unbalanced="0">
      <fieldsUsage count="2">
        <fieldUsage x="-1"/>
        <fieldUsage x="0"/>
      </fieldsUsage>
    </cacheHierarchy>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0"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oneField="1" hidden="1">
      <fieldsUsage count="1">
        <fieldUsage x="1"/>
      </fieldsUsage>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hidden="1">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oneField="1" hidden="1">
      <fieldsUsage count="1">
        <fieldUsage x="4"/>
      </fieldsUsage>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oneField="1" hidden="1">
      <fieldsUsage count="1">
        <fieldUsage x="3"/>
      </fieldsUsage>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oneField="1" hidden="1">
      <fieldsUsage count="1">
        <fieldUsage x="2"/>
      </fieldsUsage>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4764814813" backgroundQuery="1" createdVersion="8" refreshedVersion="8" minRefreshableVersion="3" recordCount="0" supportSubquery="1" supportAdvancedDrill="1" xr:uid="{E897EDF8-9571-46EC-BA5A-BD7CC27F79D0}">
  <cacheSource type="external" connectionId="1"/>
  <cacheFields count="3">
    <cacheField name="[Measures].[Sum of Sales]" caption="Sum of Sales" numFmtId="0" hierarchy="38" level="32767"/>
    <cacheField name="[Measures].[Sum of Profit]" caption="Sum of Profit" numFmtId="0" hierarchy="40" level="32767"/>
    <cacheField name="[Table_1].[Product Category].[Product Category]" caption="Product Category" numFmtId="0" hierarchy="8" level="1">
      <sharedItems containsSemiMixedTypes="0" containsNonDate="0" containsString="0"/>
    </cacheField>
  </cacheFields>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0" memberValueDatatype="130" unbalanced="0"/>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0" memberValueDatatype="130" unbalanced="0"/>
    <cacheHierarchy uniqueName="[Table_1].[Product Category]" caption="Product Category" attribute="1" defaultMemberUniqueName="[Table_1].[Product Category].[All]" allUniqueName="[Table_1].[Product Category].[All]" dimensionUniqueName="[Table_1]" displayFolder="" count="2" memberValueDatatype="130" unbalanced="0">
      <fieldsUsage count="2">
        <fieldUsage x="-1"/>
        <fieldUsage x="2"/>
      </fieldsUsage>
    </cacheHierarchy>
    <cacheHierarchy uniqueName="[Table_1].[Product Sub-Category]" caption="Product Sub-Category" attribute="1" defaultMemberUniqueName="[Table_1].[Product Sub-Category].[All]" allUniqueName="[Table_1].[Product Sub-Category].[All]" dimensionUniqueName="[Table_1]" displayFolder="" count="0"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2"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oneField="1" hidden="1">
      <fieldsUsage count="1">
        <fieldUsage x="0"/>
      </fieldsUsage>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hidden="1">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oneField="1" hidden="1">
      <fieldsUsage count="1">
        <fieldUsage x="1"/>
      </fieldsUsage>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4765046297" backgroundQuery="1" createdVersion="8" refreshedVersion="8" minRefreshableVersion="3" recordCount="0" supportSubquery="1" supportAdvancedDrill="1" xr:uid="{41E6DC86-5B05-4862-A350-E46814FE96B6}">
  <cacheSource type="external" connectionId="1"/>
  <cacheFields count="4">
    <cacheField name="[Measures].[Sum of Sales]" caption="Sum of Sales" numFmtId="0" hierarchy="38" level="32767"/>
    <cacheField name="[Table_1].[Order Date (Month)].[Order Date (Month)]" caption="Order Date (Month)" numFmtId="0" hierarchy="30" level="1">
      <sharedItems count="6">
        <s v="Jan"/>
        <s v="Feb"/>
        <s v="Mar"/>
        <s v="Apr"/>
        <s v="May"/>
        <s v="Jun"/>
      </sharedItems>
    </cacheField>
    <cacheField name="[Table_1].[Product Category].[Product Category]" caption="Product Category" numFmtId="0" hierarchy="8" level="1">
      <sharedItems containsSemiMixedTypes="0" containsNonDate="0" containsString="0"/>
    </cacheField>
    <cacheField name="Dummy0" numFmtId="0" hierarchy="53" level="32767">
      <extLst>
        <ext xmlns:x14="http://schemas.microsoft.com/office/spreadsheetml/2009/9/main" uri="{63CAB8AC-B538-458d-9737-405883B0398D}">
          <x14:cacheField ignore="1"/>
        </ext>
      </extLst>
    </cacheField>
  </cacheFields>
  <cacheHierarchies count="54">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0" memberValueDatatype="130" unbalanced="0"/>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0" memberValueDatatype="130" unbalanced="0"/>
    <cacheHierarchy uniqueName="[Table_1].[Product Category]" caption="Product Category" attribute="1" defaultMemberUniqueName="[Table_1].[Product Category].[All]" allUniqueName="[Table_1].[Product Category].[All]" dimensionUniqueName="[Table_1]" displayFolder="" count="2" memberValueDatatype="130" unbalanced="0">
      <fieldsUsage count="2">
        <fieldUsage x="-1"/>
        <fieldUsage x="2"/>
      </fieldsUsage>
    </cacheHierarchy>
    <cacheHierarchy uniqueName="[Table_1].[Product Sub-Category]" caption="Product Sub-Category" attribute="1" defaultMemberUniqueName="[Table_1].[Product Sub-Category].[All]" allUniqueName="[Table_1].[Product Sub-Category].[All]" dimensionUniqueName="[Table_1]" displayFolder="" count="0"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2" memberValueDatatype="130" unbalanced="0">
      <fieldsUsage count="2">
        <fieldUsage x="-1"/>
        <fieldUsage x="1"/>
      </fieldsUsage>
    </cacheHierarchy>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oneField="1" hidden="1">
      <fieldsUsage count="1">
        <fieldUsage x="0"/>
      </fieldsUsage>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hidden="1">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hidden="1">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y uniqueName="Dummy0" caption="Customer ID" measure="1" count="0">
      <extLst>
        <ext xmlns:x14="http://schemas.microsoft.com/office/spreadsheetml/2009/9/main" uri="{8CF416AD-EC4C-4aba-99F5-12A058AE0983}">
          <x14:cacheHierarchy ignore="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476539352" backgroundQuery="1" createdVersion="8" refreshedVersion="8" minRefreshableVersion="3" recordCount="0" supportSubquery="1" supportAdvancedDrill="1" xr:uid="{120AD106-49BB-4013-A226-DAC1E99FDB72}">
  <cacheSource type="external" connectionId="1"/>
  <cacheFields count="6">
    <cacheField name="[Measures].[Sum of Sales]" caption="Sum of Sales" numFmtId="0" hierarchy="38" level="32767"/>
    <cacheField name="[Table_1].[Product Sub-Category].[Product Sub-Category]" caption="Product Sub-Category" numFmtId="0" hierarchy="9" level="1">
      <sharedItems count="17">
        <s v="Appliances"/>
        <s v="Binders and Binder Accessories"/>
        <s v="Bookcases"/>
        <s v="Chairs &amp; Chairmats"/>
        <s v="Computer Peripherals"/>
        <s v="Copiers and Fax"/>
        <s v="Envelopes"/>
        <s v="Labels"/>
        <s v="Office Furnishings"/>
        <s v="Office Machines"/>
        <s v="Paper"/>
        <s v="Pens &amp; Art Supplies"/>
        <s v="Rubber Bands"/>
        <s v="Scissors, Rulers and Trimmers"/>
        <s v="Storage &amp; Organization"/>
        <s v="Tables"/>
        <s v="Telephones and Communication"/>
      </sharedItems>
    </cacheField>
    <cacheField name="[Measures].[Sum of Quantity ordered new]" caption="Sum of Quantity ordered new" numFmtId="0" hierarchy="39" level="32767"/>
    <cacheField name="[Table_1].[Product Category].[Product Category]" caption="Product Category" numFmtId="0" hierarchy="8" level="1">
      <sharedItems containsSemiMixedTypes="0" containsNonDate="0" containsString="0"/>
    </cacheField>
    <cacheField name="Dummy0" numFmtId="0" hierarchy="53" level="32767">
      <extLst>
        <ext xmlns:x14="http://schemas.microsoft.com/office/spreadsheetml/2009/9/main" uri="{63CAB8AC-B538-458d-9737-405883B0398D}">
          <x14:cacheField ignore="1"/>
        </ext>
      </extLst>
    </cacheField>
    <cacheField name="Dummy1" numFmtId="0" hierarchy="54" level="32767">
      <extLst>
        <ext xmlns:x14="http://schemas.microsoft.com/office/spreadsheetml/2009/9/main" uri="{63CAB8AC-B538-458d-9737-405883B0398D}">
          <x14:cacheField ignore="1"/>
        </ext>
      </extLst>
    </cacheField>
  </cacheFields>
  <cacheHierarchies count="55">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0" memberValueDatatype="130" unbalanced="0"/>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0" memberValueDatatype="130" unbalanced="0"/>
    <cacheHierarchy uniqueName="[Table_1].[Product Category]" caption="Product Category" attribute="1" defaultMemberUniqueName="[Table_1].[Product Category].[All]" allUniqueName="[Table_1].[Product Category].[All]" dimensionUniqueName="[Table_1]" displayFolder="" count="2" memberValueDatatype="130" unbalanced="0">
      <fieldsUsage count="2">
        <fieldUsage x="-1"/>
        <fieldUsage x="3"/>
      </fieldsUsage>
    </cacheHierarchy>
    <cacheHierarchy uniqueName="[Table_1].[Product Sub-Category]" caption="Product Sub-Category" attribute="1" defaultMemberUniqueName="[Table_1].[Product Sub-Category].[All]" allUniqueName="[Table_1].[Product Sub-Category].[All]" dimensionUniqueName="[Table_1]" displayFolder="" count="2" memberValueDatatype="130" unbalanced="0">
      <fieldsUsage count="2">
        <fieldUsage x="-1"/>
        <fieldUsage x="1"/>
      </fieldsUsage>
    </cacheHierarchy>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2"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oneField="1" hidden="1">
      <fieldsUsage count="1">
        <fieldUsage x="0"/>
      </fieldsUsage>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oneField="1" hidden="1">
      <fieldsUsage count="1">
        <fieldUsage x="2"/>
      </fieldsUsage>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hidden="1">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y uniqueName="Dummy0" caption="Customer ID" measure="1" count="0">
      <extLst>
        <ext xmlns:x14="http://schemas.microsoft.com/office/spreadsheetml/2009/9/main" uri="{8CF416AD-EC4C-4aba-99F5-12A058AE0983}">
          <x14:cacheHierarchy ignore="1"/>
        </ext>
      </extLst>
    </cacheHierarchy>
    <cacheHierarchy uniqueName="Dummy1" caption="Customer ID" measure="1" count="0">
      <extLst>
        <ext xmlns:x14="http://schemas.microsoft.com/office/spreadsheetml/2009/9/main" uri="{8CF416AD-EC4C-4aba-99F5-12A058AE0983}">
          <x14:cacheHierarchy ignore="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4765624998" backgroundQuery="1" createdVersion="8" refreshedVersion="8" minRefreshableVersion="3" recordCount="0" supportSubquery="1" supportAdvancedDrill="1" xr:uid="{262F750F-AAED-4B26-8F78-789B59509A5E}">
  <cacheSource type="external" connectionId="1"/>
  <cacheFields count="3">
    <cacheField name="[Table_1].[Order Date (Month)].[Order Date (Month)]" caption="Order Date (Month)" numFmtId="0" hierarchy="30" level="1">
      <sharedItems count="6">
        <s v="Jan"/>
        <s v="Feb"/>
        <s v="Mar"/>
        <s v="Apr"/>
        <s v="May"/>
        <s v="Jun"/>
      </sharedItems>
    </cacheField>
    <cacheField name="[Measures].[Sum of Profit]" caption="Sum of Profit" numFmtId="0" hierarchy="40" level="32767"/>
    <cacheField name="[Table_1].[Product Category].[Product Category]" caption="Product Category" numFmtId="0" hierarchy="8" level="1">
      <sharedItems containsSemiMixedTypes="0" containsNonDate="0" containsString="0"/>
    </cacheField>
  </cacheFields>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0" memberValueDatatype="130" unbalanced="0"/>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0" memberValueDatatype="130" unbalanced="0"/>
    <cacheHierarchy uniqueName="[Table_1].[Product Category]" caption="Product Category" attribute="1" defaultMemberUniqueName="[Table_1].[Product Category].[All]" allUniqueName="[Table_1].[Product Category].[All]" dimensionUniqueName="[Table_1]" displayFolder="" count="2" memberValueDatatype="130" unbalanced="0">
      <fieldsUsage count="2">
        <fieldUsage x="-1"/>
        <fieldUsage x="2"/>
      </fieldsUsage>
    </cacheHierarchy>
    <cacheHierarchy uniqueName="[Table_1].[Product Sub-Category]" caption="Product Sub-Category" attribute="1" defaultMemberUniqueName="[Table_1].[Product Sub-Category].[All]" allUniqueName="[Table_1].[Product Sub-Category].[All]" dimensionUniqueName="[Table_1]" displayFolder="" count="0"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2" memberValueDatatype="130" unbalanced="0">
      <fieldsUsage count="2">
        <fieldUsage x="-1"/>
        <fieldUsage x="0"/>
      </fieldsUsage>
    </cacheHierarchy>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hidden="1">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hidden="1">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oneField="1" hidden="1">
      <fieldsUsage count="1">
        <fieldUsage x="1"/>
      </fieldsUsage>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4765856482" backgroundQuery="1" createdVersion="8" refreshedVersion="8" minRefreshableVersion="3" recordCount="0" supportSubquery="1" supportAdvancedDrill="1" xr:uid="{BF041D2A-B764-420F-A996-18885B5D1594}">
  <cacheSource type="external" connectionId="1"/>
  <cacheFields count="3">
    <cacheField name="[Table_1].[Region].[Region]" caption="Region" numFmtId="0" hierarchy="14" level="1">
      <sharedItems count="4">
        <s v="Central"/>
        <s v="East"/>
        <s v="South"/>
        <s v="West"/>
      </sharedItems>
    </cacheField>
    <cacheField name="[Measures].[Sum of Profit]" caption="Sum of Profit" numFmtId="0" hierarchy="40" level="32767"/>
    <cacheField name="[Table_1].[Product Category].[Product Category]" caption="Product Category" numFmtId="0" hierarchy="8" level="1">
      <sharedItems containsSemiMixedTypes="0" containsNonDate="0" containsString="0"/>
    </cacheField>
  </cacheFields>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0" memberValueDatatype="130" unbalanced="0"/>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0" memberValueDatatype="130" unbalanced="0"/>
    <cacheHierarchy uniqueName="[Table_1].[Product Category]" caption="Product Category" attribute="1" defaultMemberUniqueName="[Table_1].[Product Category].[All]" allUniqueName="[Table_1].[Product Category].[All]" dimensionUniqueName="[Table_1]" displayFolder="" count="2" memberValueDatatype="130" unbalanced="0">
      <fieldsUsage count="2">
        <fieldUsage x="-1"/>
        <fieldUsage x="2"/>
      </fieldsUsage>
    </cacheHierarchy>
    <cacheHierarchy uniqueName="[Table_1].[Product Sub-Category]" caption="Product Sub-Category" attribute="1" defaultMemberUniqueName="[Table_1].[Product Sub-Category].[All]" allUniqueName="[Table_1].[Product Sub-Category].[All]" dimensionUniqueName="[Table_1]" displayFolder="" count="0"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2" memberValueDatatype="130" unbalanced="0">
      <fieldsUsage count="2">
        <fieldUsage x="-1"/>
        <fieldUsage x="0"/>
      </fieldsUsage>
    </cacheHierarchy>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2"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hidden="1">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hidden="1">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oneField="1" hidden="1">
      <fieldsUsage count="1">
        <fieldUsage x="1"/>
      </fieldsUsage>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476608796" backgroundQuery="1" createdVersion="8" refreshedVersion="8" minRefreshableVersion="3" recordCount="0" supportSubquery="1" supportAdvancedDrill="1" xr:uid="{3BB6CB97-59F5-4435-A820-999465528375}">
  <cacheSource type="external" connectionId="1"/>
  <cacheFields count="7">
    <cacheField name="[Table_1].[Product Category].[Product Category]" caption="Product Category" numFmtId="0" hierarchy="8" level="1">
      <sharedItems count="3">
        <s v="Furniture"/>
        <s v="Office Supplies"/>
        <s v="Technology"/>
      </sharedItems>
    </cacheField>
    <cacheField name="[Measures].[Sum of Profit]" caption="Sum of Profit" numFmtId="0" hierarchy="40" level="32767"/>
    <cacheField name="[Measures].[Sum of Cumulative cost]" caption="Sum of Cumulative cost" numFmtId="0" hierarchy="45" level="32767"/>
    <cacheField name="[Measures].[Sum of Shipping Cost]" caption="Sum of Shipping Cost" numFmtId="0" hierarchy="43" level="32767"/>
    <cacheField name="[Table_1].[Region].[Region]" caption="Region" numFmtId="0" hierarchy="14" level="1">
      <sharedItems count="4">
        <s v="Central"/>
        <s v="East"/>
        <s v="South"/>
        <s v="West"/>
      </sharedItems>
    </cacheField>
    <cacheField name="[Measures].[Sum of Discount]" caption="Sum of Discount" numFmtId="0" hierarchy="42" level="32767"/>
    <cacheField name="[Measures].[Sum of Sales]" caption="Sum of Sales" numFmtId="0" hierarchy="38" level="32767"/>
  </cacheFields>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0" memberValueDatatype="130" unbalanced="0"/>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0" memberValueDatatype="130" unbalanced="0"/>
    <cacheHierarchy uniqueName="[Table_1].[Product Category]" caption="Product Category" attribute="1" defaultMemberUniqueName="[Table_1].[Product Category].[All]" allUniqueName="[Table_1].[Product Category].[All]" dimensionUniqueName="[Table_1]" displayFolder="" count="2" memberValueDatatype="130" unbalanced="0">
      <fieldsUsage count="2">
        <fieldUsage x="-1"/>
        <fieldUsage x="0"/>
      </fieldsUsage>
    </cacheHierarchy>
    <cacheHierarchy uniqueName="[Table_1].[Product Sub-Category]" caption="Product Sub-Category" attribute="1" defaultMemberUniqueName="[Table_1].[Product Sub-Category].[All]" allUniqueName="[Table_1].[Product Sub-Category].[All]" dimensionUniqueName="[Table_1]" displayFolder="" count="0"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2" memberValueDatatype="130" unbalanced="0">
      <fieldsUsage count="2">
        <fieldUsage x="-1"/>
        <fieldUsage x="4"/>
      </fieldsUsage>
    </cacheHierarchy>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0"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oneField="1" hidden="1">
      <fieldsUsage count="1">
        <fieldUsage x="6"/>
      </fieldsUsage>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hidden="1">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oneField="1" hidden="1">
      <fieldsUsage count="1">
        <fieldUsage x="1"/>
      </fieldsUsage>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oneField="1" hidden="1">
      <fieldsUsage count="1">
        <fieldUsage x="5"/>
      </fieldsUsage>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oneField="1" hidden="1">
      <fieldsUsage count="1">
        <fieldUsage x="3"/>
      </fieldsUsage>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oneField="1" hidden="1">
      <fieldsUsage count="1">
        <fieldUsage x="2"/>
      </fieldsUsage>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9.694766319444" backgroundQuery="1" createdVersion="8" refreshedVersion="8" minRefreshableVersion="3" recordCount="0" supportSubquery="1" supportAdvancedDrill="1" xr:uid="{E3D2111C-004B-4304-8042-C487CF3D251D}">
  <cacheSource type="external" connectionId="1"/>
  <cacheFields count="6">
    <cacheField name="[Table_1].[Product Sub-Category].[Product Sub-Category]" caption="Product Sub-Category" numFmtId="0" hierarchy="9" level="1">
      <sharedItems count="17">
        <s v="Appliances"/>
        <s v="Binders and Binder Accessories"/>
        <s v="Bookcases"/>
        <s v="Chairs &amp; Chairmats"/>
        <s v="Computer Peripherals"/>
        <s v="Copiers and Fax"/>
        <s v="Envelopes"/>
        <s v="Labels"/>
        <s v="Office Furnishings"/>
        <s v="Office Machines"/>
        <s v="Paper"/>
        <s v="Pens &amp; Art Supplies"/>
        <s v="Rubber Bands"/>
        <s v="Scissors, Rulers and Trimmers"/>
        <s v="Storage &amp; Organization"/>
        <s v="Tables"/>
        <s v="Telephones and Communication"/>
      </sharedItems>
    </cacheField>
    <cacheField name="[Measures].[Σ Discount]" caption="Σ Discount" numFmtId="0" hierarchy="32" level="32767"/>
    <cacheField name="[Measures].[Σ Profit]" caption="Σ Profit" numFmtId="0" hierarchy="33" level="32767"/>
    <cacheField name="[Measures].[Σ Shipping]" caption="Σ Shipping" numFmtId="0" hierarchy="34" level="32767"/>
    <cacheField name="[Measures].[Σ Costs]" caption="Σ Costs" numFmtId="0" hierarchy="35" level="32767"/>
    <cacheField name="[Table_1].[Product Category].[Product Category]" caption="Product Category" numFmtId="0" hierarchy="8" level="1">
      <sharedItems containsSemiMixedTypes="0" containsNonDate="0" containsString="0"/>
    </cacheField>
  </cacheFields>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0" memberValueDatatype="130" unbalanced="0"/>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0" memberValueDatatype="130" unbalanced="0"/>
    <cacheHierarchy uniqueName="[Table_1].[Product Category]" caption="Product Category" attribute="1" defaultMemberUniqueName="[Table_1].[Product Category].[All]" allUniqueName="[Table_1].[Product Category].[All]" dimensionUniqueName="[Table_1]" displayFolder="" count="2" memberValueDatatype="130" unbalanced="0">
      <fieldsUsage count="2">
        <fieldUsage x="-1"/>
        <fieldUsage x="5"/>
      </fieldsUsage>
    </cacheHierarchy>
    <cacheHierarchy uniqueName="[Table_1].[Product Sub-Category]" caption="Product Sub-Category" attribute="1" defaultMemberUniqueName="[Table_1].[Product Sub-Category].[All]" allUniqueName="[Table_1].[Product Sub-Category].[All]" dimensionUniqueName="[Table_1]" displayFolder="" count="2" memberValueDatatype="130" unbalanced="0">
      <fieldsUsage count="2">
        <fieldUsage x="-1"/>
        <fieldUsage x="0"/>
      </fieldsUsage>
    </cacheHierarchy>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2"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oneField="1">
      <fieldsUsage count="1">
        <fieldUsage x="1"/>
      </fieldsUsage>
    </cacheHierarchy>
    <cacheHierarchy uniqueName="[Measures].[Σ Profit]" caption="Σ Profit" measure="1" displayFolder="" measureGroup="Table_1" count="0" oneField="1">
      <fieldsUsage count="1">
        <fieldUsage x="2"/>
      </fieldsUsage>
    </cacheHierarchy>
    <cacheHierarchy uniqueName="[Measures].[Σ Shipping]" caption="Σ Shipping" measure="1" displayFolder="" measureGroup="Table_1" count="0" oneField="1">
      <fieldsUsage count="1">
        <fieldUsage x="3"/>
      </fieldsUsage>
    </cacheHierarchy>
    <cacheHierarchy uniqueName="[Measures].[Σ Costs]" caption="Σ Costs" measure="1" displayFolder="" measureGroup="Table_1" count="0" oneField="1">
      <fieldsUsage count="1">
        <fieldUsage x="4"/>
      </fieldsUsage>
    </cacheHierarchy>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hidden="1">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hidden="1">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hidden="1">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_1" uniqueName="[Table_1]" caption="Table_1"/>
  </dimensions>
  <measureGroups count="1">
    <measureGroup name="Table_1" caption="Table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7.481895370373" backgroundQuery="1" createdVersion="3" refreshedVersion="8" minRefreshableVersion="3" recordCount="0" supportSubquery="1" supportAdvancedDrill="1" xr:uid="{7C2C1867-7F37-4504-A41F-F103AC968402}">
  <cacheSource type="external" connectionId="1">
    <extLst>
      <ext xmlns:x14="http://schemas.microsoft.com/office/spreadsheetml/2009/9/main" uri="{F057638F-6D5F-4e77-A914-E7F072B9BCA8}">
        <x14:sourceConnection name="ThisWorkbookDataModel"/>
      </ext>
    </extLst>
  </cacheSource>
  <cacheFields count="0"/>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0" memberValueDatatype="130" unbalanced="0"/>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2" memberValueDatatype="130" unbalanced="0"/>
    <cacheHierarchy uniqueName="[Table_1].[Product Category]" caption="Product Category" attribute="1" defaultMemberUniqueName="[Table_1].[Product Category].[All]" allUniqueName="[Table_1].[Product Category].[All]" dimensionUniqueName="[Table_1]" displayFolder="" count="0" memberValueDatatype="130" unbalanced="0"/>
    <cacheHierarchy uniqueName="[Table_1].[Product Sub-Category]" caption="Product Sub-Category" attribute="1" defaultMemberUniqueName="[Table_1].[Product Sub-Category].[All]" allUniqueName="[Table_1].[Product Sub-Category].[All]" dimensionUniqueName="[Table_1]" displayFolder="" count="2"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0"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hidden="1">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hidden="1">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hidden="1">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extLst>
    <ext xmlns:x14="http://schemas.microsoft.com/office/spreadsheetml/2009/9/main" uri="{725AE2AE-9491-48be-B2B4-4EB974FC3084}">
      <x14:pivotCacheDefinition slicerData="1" pivotCacheId="1183887746"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7.481899999999" backgroundQuery="1" createdVersion="3" refreshedVersion="8" minRefreshableVersion="3" recordCount="0" supportSubquery="1" supportAdvancedDrill="1" xr:uid="{D5B8597A-949A-4699-823C-DB3176E479F5}">
  <cacheSource type="external" connectionId="1">
    <extLst>
      <ext xmlns:x14="http://schemas.microsoft.com/office/spreadsheetml/2009/9/main" uri="{F057638F-6D5F-4e77-A914-E7F072B9BCA8}">
        <x14:sourceConnection name="ThisWorkbookDataModel"/>
      </ext>
    </extLst>
  </cacheSource>
  <cacheFields count="0"/>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2" memberValueDatatype="130" unbalanced="0"/>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0" memberValueDatatype="130" unbalanced="0"/>
    <cacheHierarchy uniqueName="[Table_1].[Product Category]" caption="Product Category" attribute="1" defaultMemberUniqueName="[Table_1].[Product Category].[All]" allUniqueName="[Table_1].[Product Category].[All]" dimensionUniqueName="[Table_1]" displayFolder="" count="0" memberValueDatatype="130" unbalanced="0"/>
    <cacheHierarchy uniqueName="[Table_1].[Product Sub-Category]" caption="Product Sub-Category" attribute="1" defaultMemberUniqueName="[Table_1].[Product Sub-Category].[All]" allUniqueName="[Table_1].[Product Sub-Category].[All]" dimensionUniqueName="[Table_1]" displayFolder="" count="0"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0"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hidden="1">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hidden="1">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hidden="1">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extLst>
    <ext xmlns:x14="http://schemas.microsoft.com/office/spreadsheetml/2009/9/main" uri="{725AE2AE-9491-48be-B2B4-4EB974FC3084}">
      <x14:pivotCacheDefinition slicerData="1" pivotCacheId="384521452"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7.481901967592" backgroundQuery="1" createdVersion="3" refreshedVersion="8" minRefreshableVersion="3" recordCount="0" supportSubquery="1" supportAdvancedDrill="1" xr:uid="{F88EDA1F-EA74-4BB5-8B2F-C9BA9A3A70D3}">
  <cacheSource type="external" connectionId="1">
    <extLst>
      <ext xmlns:x14="http://schemas.microsoft.com/office/spreadsheetml/2009/9/main" uri="{F057638F-6D5F-4e77-A914-E7F072B9BCA8}">
        <x14:sourceConnection name="ThisWorkbookDataModel"/>
      </ext>
    </extLst>
  </cacheSource>
  <cacheFields count="0"/>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0" memberValueDatatype="130" unbalanced="0"/>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0" memberValueDatatype="130" unbalanced="0"/>
    <cacheHierarchy uniqueName="[Table_1].[Product Category]" caption="Product Category" attribute="1" defaultMemberUniqueName="[Table_1].[Product Category].[All]" allUniqueName="[Table_1].[Product Category].[All]" dimensionUniqueName="[Table_1]" displayFolder="" count="2" memberValueDatatype="130" unbalanced="0"/>
    <cacheHierarchy uniqueName="[Table_1].[Product Sub-Category]" caption="Product Sub-Category" attribute="1" defaultMemberUniqueName="[Table_1].[Product Sub-Category].[All]" allUniqueName="[Table_1].[Product Sub-Category].[All]" dimensionUniqueName="[Table_1]" displayFolder="" count="0"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0"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2"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hidden="1">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hidden="1">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hidden="1">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extLst>
    <ext xmlns:x14="http://schemas.microsoft.com/office/spreadsheetml/2009/9/main" uri="{725AE2AE-9491-48be-B2B4-4EB974FC3084}">
      <x14:pivotCacheDefinition slicerData="1" pivotCacheId="1056932175"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rabh Lakhanpal" refreshedDate="45217.481917592595" backgroundQuery="1" createdVersion="3" refreshedVersion="8" minRefreshableVersion="3" recordCount="0" supportSubquery="1" supportAdvancedDrill="1" xr:uid="{7B636FE8-7976-4778-B864-5FEE1F7E3F6D}">
  <cacheSource type="external" connectionId="1">
    <extLst>
      <ext xmlns:x14="http://schemas.microsoft.com/office/spreadsheetml/2009/9/main" uri="{F057638F-6D5F-4e77-A914-E7F072B9BCA8}">
        <x14:sourceConnection name="ThisWorkbookDataModel"/>
      </ext>
    </extLst>
  </cacheSource>
  <cacheFields count="0"/>
  <cacheHierarchies count="53">
    <cacheHierarchy uniqueName="[Table_1].[Customer ID]" caption="Customer ID" attribute="1" defaultMemberUniqueName="[Table_1].[Customer ID].[All]" allUniqueName="[Table_1].[Customer ID].[All]" dimensionUniqueName="[Table_1]" displayFolder="" count="0" memberValueDatatype="20" unbalanced="0"/>
    <cacheHierarchy uniqueName="[Table_1].[Customer Name]" caption="Customer Name" attribute="1" defaultMemberUniqueName="[Table_1].[Customer Name].[All]" allUniqueName="[Table_1].[Customer Name].[All]" dimensionUniqueName="[Table_1]" displayFolder="" count="0" memberValueDatatype="130" unbalanced="0"/>
    <cacheHierarchy uniqueName="[Table_1].[Order Priority]" caption="Order Priority" attribute="1" defaultMemberUniqueName="[Table_1].[Order Priority].[All]" allUniqueName="[Table_1].[Order Priority].[All]" dimensionUniqueName="[Table_1]" displayFolder="" count="0" memberValueDatatype="130" unbalanced="0"/>
    <cacheHierarchy uniqueName="[Table_1].[Discount]" caption="Discount" attribute="1" defaultMemberUniqueName="[Table_1].[Discount].[All]" allUniqueName="[Table_1].[Discount].[All]" dimensionUniqueName="[Table_1]" displayFolder="" count="0" memberValueDatatype="5" unbalanced="0"/>
    <cacheHierarchy uniqueName="[Table_1].[Unit Price]" caption="Unit Price" attribute="1" defaultMemberUniqueName="[Table_1].[Unit Price].[All]" allUniqueName="[Table_1].[Unit Price].[All]" dimensionUniqueName="[Table_1]" displayFolder="" count="0" memberValueDatatype="5" unbalanced="0"/>
    <cacheHierarchy uniqueName="[Table_1].[Shipping Cost]" caption="Shipping Cost" attribute="1" defaultMemberUniqueName="[Table_1].[Shipping Cost].[All]" allUniqueName="[Table_1].[Shipping Cost].[All]" dimensionUniqueName="[Table_1]" displayFolder="" count="0" memberValueDatatype="5" unbalanced="0"/>
    <cacheHierarchy uniqueName="[Table_1].[Ship Mode]" caption="Ship Mode" attribute="1" defaultMemberUniqueName="[Table_1].[Ship Mode].[All]" allUniqueName="[Table_1].[Ship Mode].[All]" dimensionUniqueName="[Table_1]" displayFolder="" count="0" memberValueDatatype="130" unbalanced="0"/>
    <cacheHierarchy uniqueName="[Table_1].[Customer Segment]" caption="Customer Segment" attribute="1" defaultMemberUniqueName="[Table_1].[Customer Segment].[All]" allUniqueName="[Table_1].[Customer Segment].[All]" dimensionUniqueName="[Table_1]" displayFolder="" count="2" memberValueDatatype="130" unbalanced="0"/>
    <cacheHierarchy uniqueName="[Table_1].[Product Category]" caption="Product Category" attribute="1" defaultMemberUniqueName="[Table_1].[Product Category].[All]" allUniqueName="[Table_1].[Product Category].[All]" dimensionUniqueName="[Table_1]" displayFolder="" count="0" memberValueDatatype="130" unbalanced="0"/>
    <cacheHierarchy uniqueName="[Table_1].[Product Sub-Category]" caption="Product Sub-Category" attribute="1" defaultMemberUniqueName="[Table_1].[Product Sub-Category].[All]" allUniqueName="[Table_1].[Product Sub-Category].[All]" dimensionUniqueName="[Table_1]" displayFolder="" count="0" memberValueDatatype="130" unbalanced="0"/>
    <cacheHierarchy uniqueName="[Table_1].[Product Container]" caption="Product Container" attribute="1" defaultMemberUniqueName="[Table_1].[Product Container].[All]" allUniqueName="[Table_1].[Product Container].[All]" dimensionUniqueName="[Table_1]" displayFolder="" count="0" memberValueDatatype="130" unbalanced="0"/>
    <cacheHierarchy uniqueName="[Table_1].[Product Name]" caption="Product Name" attribute="1" defaultMemberUniqueName="[Table_1].[Product Name].[All]" allUniqueName="[Table_1].[Product Name].[All]" dimensionUniqueName="[Table_1]" displayFolder="" count="0" memberValueDatatype="130" unbalanced="0"/>
    <cacheHierarchy uniqueName="[Table_1].[Product Base Margin]" caption="Product Base Margin" attribute="1" defaultMemberUniqueName="[Table_1].[Product Base Margin].[All]" allUniqueName="[Table_1].[Product Base Margin].[All]" dimensionUniqueName="[Table_1]" displayFolder="" count="0" memberValueDatatype="5" unbalanced="0"/>
    <cacheHierarchy uniqueName="[Table_1].[Country]" caption="Country" attribute="1" defaultMemberUniqueName="[Table_1].[Country].[All]" allUniqueName="[Table_1].[Country].[All]" dimensionUniqueName="[Table_1]" displayFolder="" count="0" memberValueDatatype="130" unbalanced="0"/>
    <cacheHierarchy uniqueName="[Table_1].[Region]" caption="Region" attribute="1" defaultMemberUniqueName="[Table_1].[Region].[All]" allUniqueName="[Table_1].[Region].[All]" dimensionUniqueName="[Table_1]" displayFolder="" count="0" memberValueDatatype="130" unbalanced="0"/>
    <cacheHierarchy uniqueName="[Table_1].[State or Province]" caption="State or Province" attribute="1" defaultMemberUniqueName="[Table_1].[State or Province].[All]" allUniqueName="[Table_1].[State or Province].[All]" dimensionUniqueName="[Table_1]" displayFolder="" count="0" memberValueDatatype="130" unbalanced="0"/>
    <cacheHierarchy uniqueName="[Table_1].[City]" caption="City" attribute="1" defaultMemberUniqueName="[Table_1].[City].[All]" allUniqueName="[Table_1].[City].[All]" dimensionUniqueName="[Table_1]" displayFolder="" count="0" memberValueDatatype="130" unbalanced="0"/>
    <cacheHierarchy uniqueName="[Table_1].[Postal Code]" caption="Postal Code" attribute="1" defaultMemberUniqueName="[Table_1].[Postal Code].[All]" allUniqueName="[Table_1].[Postal Code].[All]" dimensionUniqueName="[Table_1]" displayFolder="" count="0" memberValueDatatype="20" unbalanced="0"/>
    <cacheHierarchy uniqueName="[Table_1].[Order Date]" caption="Order Date" attribute="1" time="1" defaultMemberUniqueName="[Table_1].[Order Date].[All]" allUniqueName="[Table_1].[Order Date].[All]" dimensionUniqueName="[Table_1]" displayFolder="" count="0" memberValueDatatype="7" unbalanced="0"/>
    <cacheHierarchy uniqueName="[Table_1].[Ship Date]" caption="Ship Date" attribute="1" time="1" defaultMemberUniqueName="[Table_1].[Ship Date].[All]" allUniqueName="[Table_1].[Ship Date].[All]" dimensionUniqueName="[Table_1]" displayFolder="" count="0" memberValueDatatype="7" unbalanced="0"/>
    <cacheHierarchy uniqueName="[Table_1].[Profit]" caption="Profit" attribute="1" defaultMemberUniqueName="[Table_1].[Profit].[All]" allUniqueName="[Table_1].[Profit].[All]" dimensionUniqueName="[Table_1]" displayFolder="" count="0" memberValueDatatype="5" unbalanced="0"/>
    <cacheHierarchy uniqueName="[Table_1].[Quantity ordered new]" caption="Quantity ordered new" attribute="1" defaultMemberUniqueName="[Table_1].[Quantity ordered new].[All]" allUniqueName="[Table_1].[Quantity ordered new].[All]" dimensionUniqueName="[Table_1]" displayFolder="" count="0" memberValueDatatype="20" unbalanced="0"/>
    <cacheHierarchy uniqueName="[Table_1].[Sales]" caption="Sales" attribute="1" defaultMemberUniqueName="[Table_1].[Sales].[All]" allUniqueName="[Table_1].[Sales].[All]" dimensionUniqueName="[Table_1]" displayFolder="" count="0" memberValueDatatype="5" unbalanced="0"/>
    <cacheHierarchy uniqueName="[Table_1].[Order ID]" caption="Order ID" attribute="1" defaultMemberUniqueName="[Table_1].[Order ID].[All]" allUniqueName="[Table_1].[Order ID].[All]" dimensionUniqueName="[Table_1]" displayFolder="" count="0" memberValueDatatype="20" unbalanced="0"/>
    <cacheHierarchy uniqueName="[Table_1].[Total]" caption="Total" attribute="1" defaultMemberUniqueName="[Table_1].[Total].[All]" allUniqueName="[Table_1].[Total].[All]" dimensionUniqueName="[Table_1]" displayFolder="" count="0" memberValueDatatype="5" unbalanced="0"/>
    <cacheHierarchy uniqueName="[Table_1].[Manager]" caption="Manager" attribute="1" defaultMemberUniqueName="[Table_1].[Manager].[All]" allUniqueName="[Table_1].[Manager].[All]" dimensionUniqueName="[Table_1]" displayFolder="" count="2" memberValueDatatype="130" unbalanced="0"/>
    <cacheHierarchy uniqueName="[Table_1].[Dollar Discount]" caption="Dollar Discount" attribute="1" defaultMemberUniqueName="[Table_1].[Dollar Discount].[All]" allUniqueName="[Table_1].[Dollar Discount].[All]" dimensionUniqueName="[Table_1]" displayFolder="" count="0" memberValueDatatype="5" unbalanced="0"/>
    <cacheHierarchy uniqueName="[Table_1].[Gross Cost]" caption="Gross Cost" attribute="1" defaultMemberUniqueName="[Table_1].[Gross Cost].[All]" allUniqueName="[Table_1].[Gross Cost].[All]" dimensionUniqueName="[Table_1]" displayFolder="" count="0" memberValueDatatype="5" unbalanced="0"/>
    <cacheHierarchy uniqueName="[Table_1].[Gross Profit]" caption="Gross Profit" attribute="1" defaultMemberUniqueName="[Table_1].[Gross Profit].[All]" allUniqueName="[Table_1].[Gross Profit].[All]" dimensionUniqueName="[Table_1]" displayFolder="" count="0" memberValueDatatype="5" unbalanced="0"/>
    <cacheHierarchy uniqueName="[Table_1].[Cumulative cost]" caption="Cumulative cost" attribute="1" defaultMemberUniqueName="[Table_1].[Cumulative cost].[All]" allUniqueName="[Table_1].[Cumulative cost].[All]" dimensionUniqueName="[Table_1]" displayFolder="" count="0" memberValueDatatype="5" unbalanced="0"/>
    <cacheHierarchy uniqueName="[Table_1].[Order Date (Month)]" caption="Order Date (Month)" attribute="1" defaultMemberUniqueName="[Table_1].[Order Date (Month)].[All]" allUniqueName="[Table_1].[Order Date (Month)].[All]" dimensionUniqueName="[Table_1]" displayFolder="" count="2" memberValueDatatype="130" unbalanced="0"/>
    <cacheHierarchy uniqueName="[Table_1].[Order Date (Month Index)]" caption="Order Date (Month Index)" attribute="1" defaultMemberUniqueName="[Table_1].[Order Date (Month Index)].[All]" allUniqueName="[Table_1].[Order Date (Month Index)].[All]" dimensionUniqueName="[Table_1]" displayFolder="" count="0" memberValueDatatype="20" unbalanced="0" hidden="1"/>
    <cacheHierarchy uniqueName="[Measures].[Σ Discount]" caption="Σ Discount" measure="1" displayFolder="" measureGroup="Table_1" count="0"/>
    <cacheHierarchy uniqueName="[Measures].[Σ Profit]" caption="Σ Profit" measure="1" displayFolder="" measureGroup="Table_1" count="0"/>
    <cacheHierarchy uniqueName="[Measures].[Σ Shipping]" caption="Σ Shipping" measure="1" displayFolder="" measureGroup="Table_1" count="0"/>
    <cacheHierarchy uniqueName="[Measures].[Σ Costs]" caption="Σ Costs" measure="1" displayFolder="" measureGroup="Table_1" count="0"/>
    <cacheHierarchy uniqueName="[Measures].[__XL_Count Table_1]" caption="__XL_Count Table_1" measure="1" displayFolder="" measureGroup="Table_1" count="0" hidden="1"/>
    <cacheHierarchy uniqueName="[Measures].[__No measures defined]" caption="__No measures defined" measure="1" displayFolder="" count="0" hidden="1"/>
    <cacheHierarchy uniqueName="[Measures].[Sum of Sales]" caption="Sum of Sales" measure="1" displayFolder="" measureGroup="Table_1" count="0" hidden="1">
      <extLst>
        <ext xmlns:x15="http://schemas.microsoft.com/office/spreadsheetml/2010/11/main" uri="{B97F6D7D-B522-45F9-BDA1-12C45D357490}">
          <x15:cacheHierarchy aggregatedColumn="22"/>
        </ext>
      </extLst>
    </cacheHierarchy>
    <cacheHierarchy uniqueName="[Measures].[Sum of Quantity ordered new]" caption="Sum of Quantity ordered new" measure="1" displayFolder="" measureGroup="Table_1" count="0" hidden="1">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_1" count="0" hidden="1">
      <extLst>
        <ext xmlns:x15="http://schemas.microsoft.com/office/spreadsheetml/2010/11/main" uri="{B97F6D7D-B522-45F9-BDA1-12C45D357490}">
          <x15:cacheHierarchy aggregatedColumn="20"/>
        </ext>
      </extLst>
    </cacheHierarchy>
    <cacheHierarchy uniqueName="[Measures].[Count of Product Category]" caption="Count of Product Category" measure="1" displayFolder="" measureGroup="Table_1" count="0" hidden="1">
      <extLst>
        <ext xmlns:x15="http://schemas.microsoft.com/office/spreadsheetml/2010/11/main" uri="{B97F6D7D-B522-45F9-BDA1-12C45D357490}">
          <x15:cacheHierarchy aggregatedColumn="8"/>
        </ext>
      </extLst>
    </cacheHierarchy>
    <cacheHierarchy uniqueName="[Measures].[Sum of Discount]" caption="Sum of Discount" measure="1" displayFolder="" measureGroup="Table_1" count="0" hidden="1">
      <extLst>
        <ext xmlns:x15="http://schemas.microsoft.com/office/spreadsheetml/2010/11/main" uri="{B97F6D7D-B522-45F9-BDA1-12C45D357490}">
          <x15:cacheHierarchy aggregatedColumn="3"/>
        </ext>
      </extLst>
    </cacheHierarchy>
    <cacheHierarchy uniqueName="[Measures].[Sum of Shipping Cost]" caption="Sum of Shipping Cost" measure="1" displayFolder="" measureGroup="Table_1" count="0" hidden="1">
      <extLst>
        <ext xmlns:x15="http://schemas.microsoft.com/office/spreadsheetml/2010/11/main" uri="{B97F6D7D-B522-45F9-BDA1-12C45D357490}">
          <x15:cacheHierarchy aggregatedColumn="5"/>
        </ext>
      </extLst>
    </cacheHierarchy>
    <cacheHierarchy uniqueName="[Measures].[Sum of Dollar Discount]" caption="Sum of Dollar Discount" measure="1" displayFolder="" measureGroup="Table_1" count="0" hidden="1">
      <extLst>
        <ext xmlns:x15="http://schemas.microsoft.com/office/spreadsheetml/2010/11/main" uri="{B97F6D7D-B522-45F9-BDA1-12C45D357490}">
          <x15:cacheHierarchy aggregatedColumn="26"/>
        </ext>
      </extLst>
    </cacheHierarchy>
    <cacheHierarchy uniqueName="[Measures].[Sum of Cumulative cost]" caption="Sum of Cumulative cost" measure="1" displayFolder="" measureGroup="Table_1" count="0" hidden="1">
      <extLst>
        <ext xmlns:x15="http://schemas.microsoft.com/office/spreadsheetml/2010/11/main" uri="{B97F6D7D-B522-45F9-BDA1-12C45D357490}">
          <x15:cacheHierarchy aggregatedColumn="29"/>
        </ext>
      </extLst>
    </cacheHierarchy>
    <cacheHierarchy uniqueName="[Measures].[Sum of Postal Code]" caption="Sum of Postal Code" measure="1" displayFolder="" measureGroup="Table_1" count="0" hidden="1">
      <extLst>
        <ext xmlns:x15="http://schemas.microsoft.com/office/spreadsheetml/2010/11/main" uri="{B97F6D7D-B522-45F9-BDA1-12C45D357490}">
          <x15:cacheHierarchy aggregatedColumn="17"/>
        </ext>
      </extLst>
    </cacheHierarchy>
    <cacheHierarchy uniqueName="[Measures].[Sum of Order ID]" caption="Sum of Order ID" measure="1" displayFolder="" measureGroup="Table_1" count="0" hidden="1">
      <extLst>
        <ext xmlns:x15="http://schemas.microsoft.com/office/spreadsheetml/2010/11/main" uri="{B97F6D7D-B522-45F9-BDA1-12C45D357490}">
          <x15:cacheHierarchy aggregatedColumn="23"/>
        </ext>
      </extLst>
    </cacheHierarchy>
    <cacheHierarchy uniqueName="[Measures].[Distinct Count of Order ID]" caption="Distinct Count of Order ID" measure="1" displayFolder="" measureGroup="Table_1" count="0" hidden="1">
      <extLst>
        <ext xmlns:x15="http://schemas.microsoft.com/office/spreadsheetml/2010/11/main" uri="{B97F6D7D-B522-45F9-BDA1-12C45D357490}">
          <x15:cacheHierarchy aggregatedColumn="23"/>
        </ext>
      </extLst>
    </cacheHierarchy>
    <cacheHierarchy uniqueName="[Measures].[Count of Order Date]" caption="Count of Order Date" measure="1" displayFolder="" measureGroup="Table_1" count="0" hidden="1">
      <extLst>
        <ext xmlns:x15="http://schemas.microsoft.com/office/spreadsheetml/2010/11/main" uri="{B97F6D7D-B522-45F9-BDA1-12C45D357490}">
          <x15:cacheHierarchy aggregatedColumn="18"/>
        </ext>
      </extLst>
    </cacheHierarchy>
    <cacheHierarchy uniqueName="[Measures].[Max of Order Date]" caption="Max of Order Date" measure="1" displayFolder="" measureGroup="Table_1" count="0" hidden="1">
      <extLst>
        <ext xmlns:x15="http://schemas.microsoft.com/office/spreadsheetml/2010/11/main" uri="{B97F6D7D-B522-45F9-BDA1-12C45D357490}">
          <x15:cacheHierarchy aggregatedColumn="18"/>
        </ext>
      </extLst>
    </cacheHierarchy>
    <cacheHierarchy uniqueName="[Measures].[Count of Product Name]" caption="Count of Product Name" measure="1" displayFolder="" measureGroup="Table_1" count="0" hidden="1">
      <extLst>
        <ext xmlns:x15="http://schemas.microsoft.com/office/spreadsheetml/2010/11/main" uri="{B97F6D7D-B522-45F9-BDA1-12C45D357490}">
          <x15:cacheHierarchy aggregatedColumn="11"/>
        </ext>
      </extLst>
    </cacheHierarchy>
    <cacheHierarchy uniqueName="[Measures].[Distinct Count of Product Name]" caption="Distinct Count of Product Name" measure="1" displayFolder="" measureGroup="Table_1" count="0" hidden="1">
      <extLst>
        <ext xmlns:x15="http://schemas.microsoft.com/office/spreadsheetml/2010/11/main" uri="{B97F6D7D-B522-45F9-BDA1-12C45D357490}">
          <x15:cacheHierarchy aggregatedColumn="11"/>
        </ext>
      </extLst>
    </cacheHierarchy>
  </cacheHierarchies>
  <kpis count="0"/>
  <extLst>
    <ext xmlns:x14="http://schemas.microsoft.com/office/spreadsheetml/2009/9/main" uri="{725AE2AE-9491-48be-B2B4-4EB974FC3084}">
      <x14:pivotCacheDefinition slicerData="1" pivotCacheId="102800551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D831DD6-3947-4CCD-8750-7DC15B0B0499}" name="Distribution_LeastSellingProducts" cacheId="7" applyNumberFormats="0" applyBorderFormats="0" applyFontFormats="0" applyPatternFormats="0" applyAlignmentFormats="0" applyWidthHeightFormats="1" dataCaption="Values" updatedVersion="8" minRefreshableVersion="3" useAutoFormatting="1" subtotalHiddenItems="1" rowGrandTotals="0" itemPrintTitles="1" createdVersion="8" indent="0" outline="1" outlineData="1" multipleFieldFilters="0" rowHeaderCaption="Product Name">
  <location ref="CJ17:CL20" firstHeaderRow="0" firstDataRow="1" firstDataCol="1"/>
  <pivotFields count="4">
    <pivotField axis="axisRow" allDrilled="1" subtotalTop="0" showAll="0" measureFilter="1" dataSourceSort="1" defaultSubtotal="0" defaultAttributeDrillState="1">
      <items count="3">
        <item x="0"/>
        <item x="1"/>
        <item x="2"/>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
    <i>
      <x/>
    </i>
    <i>
      <x v="1"/>
    </i>
    <i>
      <x v="2"/>
    </i>
  </rowItems>
  <colFields count="1">
    <field x="-2"/>
  </colFields>
  <colItems count="2">
    <i>
      <x/>
    </i>
    <i i="1">
      <x v="1"/>
    </i>
  </colItems>
  <dataFields count="2">
    <dataField name="Sales" fld="1" baseField="0" baseItem="0" numFmtId="168"/>
    <dataField name="Quantity" fld="2" baseField="0" baseItem="0"/>
  </dataFields>
  <formats count="17">
    <format dxfId="79">
      <pivotArea outline="0" collapsedLevelsAreSubtotals="1" fieldPosition="0">
        <references count="1">
          <reference field="4294967294" count="1" selected="0">
            <x v="0"/>
          </reference>
        </references>
      </pivotArea>
    </format>
    <format dxfId="78">
      <pivotArea dataOnly="0" labelOnly="1" outline="0" fieldPosition="0">
        <references count="1">
          <reference field="4294967294" count="1">
            <x v="0"/>
          </reference>
        </references>
      </pivotArea>
    </format>
    <format dxfId="77">
      <pivotArea type="all" dataOnly="0" outline="0" fieldPosition="0"/>
    </format>
    <format dxfId="76">
      <pivotArea outline="0" collapsedLevelsAreSubtotals="1" fieldPosition="0"/>
    </format>
    <format dxfId="75">
      <pivotArea field="0" type="button" dataOnly="0" labelOnly="1" outline="0" axis="axisRow" fieldPosition="0"/>
    </format>
    <format dxfId="74">
      <pivotArea dataOnly="0" labelOnly="1" fieldPosition="0">
        <references count="1">
          <reference field="0" count="0"/>
        </references>
      </pivotArea>
    </format>
    <format dxfId="73">
      <pivotArea dataOnly="0" labelOnly="1" outline="0" fieldPosition="0">
        <references count="1">
          <reference field="4294967294" count="2">
            <x v="0"/>
            <x v="1"/>
          </reference>
        </references>
      </pivotArea>
    </format>
    <format dxfId="72">
      <pivotArea type="all" dataOnly="0" outline="0" fieldPosition="0"/>
    </format>
    <format dxfId="71">
      <pivotArea outline="0" collapsedLevelsAreSubtotals="1" fieldPosition="0"/>
    </format>
    <format dxfId="70">
      <pivotArea field="0" type="button" dataOnly="0" labelOnly="1" outline="0" axis="axisRow" fieldPosition="0"/>
    </format>
    <format dxfId="69">
      <pivotArea dataOnly="0" labelOnly="1" fieldPosition="0">
        <references count="1">
          <reference field="0" count="0"/>
        </references>
      </pivotArea>
    </format>
    <format dxfId="68">
      <pivotArea dataOnly="0" labelOnly="1" outline="0" fieldPosition="0">
        <references count="1">
          <reference field="4294967294" count="2">
            <x v="0"/>
            <x v="1"/>
          </reference>
        </references>
      </pivotArea>
    </format>
    <format dxfId="67">
      <pivotArea type="all" dataOnly="0" outline="0" fieldPosition="0"/>
    </format>
    <format dxfId="66">
      <pivotArea outline="0" collapsedLevelsAreSubtotals="1" fieldPosition="0"/>
    </format>
    <format dxfId="65">
      <pivotArea field="0" type="button" dataOnly="0" labelOnly="1" outline="0" axis="axisRow" fieldPosition="0"/>
    </format>
    <format dxfId="64">
      <pivotArea dataOnly="0" labelOnly="1" fieldPosition="0">
        <references count="1">
          <reference field="0" count="0"/>
        </references>
      </pivotArea>
    </format>
    <format dxfId="63">
      <pivotArea dataOnly="0" labelOnly="1" outline="0" fieldPosition="0">
        <references count="1">
          <reference field="4294967294" count="2">
            <x v="0"/>
            <x v="1"/>
          </reference>
        </references>
      </pivotArea>
    </format>
  </formats>
  <pivotHierarchies count="53">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es"/>
    <pivotHierarchy dragToData="1" caption="Quantit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38">
      <autoFilter ref="A1">
        <filterColumn colId="0">
          <top10 top="0" val="3" filterVal="3"/>
        </filterColumn>
      </autoFilter>
    </filter>
  </filters>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98F7B23-6170-416C-B638-C60923186402}" name="Sales&amp;Profit_BarChart" cacheId="17" applyNumberFormats="0" applyBorderFormats="0" applyFontFormats="0" applyPatternFormats="0" applyAlignmentFormats="0" applyWidthHeightFormats="1" dataCaption="Values" tag="c6d8c68b-c2ed-46c6-92a7-0edbcf960931" updatedVersion="8" minRefreshableVersion="3" subtotalHiddenItems="1" itemPrintTitles="1" createdVersion="8" indent="0" outline="1" outlineData="1" multipleFieldFilters="0" chartFormat="37" rowHeaderCaption="Product Sub-Category">
  <location ref="F27:G34" firstHeaderRow="1" firstDataRow="1" firstDataCol="1"/>
  <pivotFields count="3">
    <pivotField axis="axisRow" allDrilled="1" subtotalTop="0" showAll="0" dataSourceSort="1" defaultSubtotal="0" defaultAttributeDrillState="1">
      <items count="6">
        <item x="0"/>
        <item x="1"/>
        <item x="2"/>
        <item x="3"/>
        <item x="4"/>
        <item x="5"/>
      </items>
    </pivotField>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t="grand">
      <x/>
    </i>
  </rowItems>
  <colItems count="1">
    <i/>
  </colItems>
  <dataFields count="1">
    <dataField name="Sum of Profit" fld="1" baseField="0" baseItem="0" numFmtId="165"/>
  </dataFields>
  <formats count="56">
    <format dxfId="135">
      <pivotArea collapsedLevelsAreSubtotals="1" fieldPosition="0">
        <references count="1">
          <reference field="0" count="1">
            <x v="2"/>
          </reference>
        </references>
      </pivotArea>
    </format>
    <format dxfId="134">
      <pivotArea outline="0" collapsedLevelsAreSubtotals="1" fieldPosition="0"/>
    </format>
    <format dxfId="133">
      <pivotArea type="all" dataOnly="0" outline="0" fieldPosition="0"/>
    </format>
    <format dxfId="132">
      <pivotArea outline="0" collapsedLevelsAreSubtotals="1" fieldPosition="0"/>
    </format>
    <format dxfId="131">
      <pivotArea field="0" type="button" dataOnly="0" labelOnly="1" outline="0" axis="axisRow" fieldPosition="0"/>
    </format>
    <format dxfId="130">
      <pivotArea dataOnly="0" labelOnly="1" fieldPosition="0">
        <references count="1">
          <reference field="0" count="0"/>
        </references>
      </pivotArea>
    </format>
    <format dxfId="129">
      <pivotArea dataOnly="0" labelOnly="1" grandRow="1" outline="0" fieldPosition="0"/>
    </format>
    <format dxfId="128">
      <pivotArea dataOnly="0" labelOnly="1" outline="0" axis="axisValues" fieldPosition="0"/>
    </format>
    <format dxfId="127">
      <pivotArea type="all" dataOnly="0" outline="0" fieldPosition="0"/>
    </format>
    <format dxfId="126">
      <pivotArea outline="0" collapsedLevelsAreSubtotals="1" fieldPosition="0"/>
    </format>
    <format dxfId="125">
      <pivotArea field="0" type="button" dataOnly="0" labelOnly="1" outline="0" axis="axisRow" fieldPosition="0"/>
    </format>
    <format dxfId="124">
      <pivotArea dataOnly="0" labelOnly="1" fieldPosition="0">
        <references count="1">
          <reference field="0" count="0"/>
        </references>
      </pivotArea>
    </format>
    <format dxfId="123">
      <pivotArea dataOnly="0" labelOnly="1" grandRow="1" outline="0" fieldPosition="0"/>
    </format>
    <format dxfId="122">
      <pivotArea dataOnly="0" labelOnly="1" outline="0" axis="axisValues" fieldPosition="0"/>
    </format>
    <format dxfId="121">
      <pivotArea type="all" dataOnly="0" outline="0" fieldPosition="0"/>
    </format>
    <format dxfId="120">
      <pivotArea outline="0" collapsedLevelsAreSubtotals="1" fieldPosition="0"/>
    </format>
    <format dxfId="119">
      <pivotArea field="0" type="button" dataOnly="0" labelOnly="1" outline="0" axis="axisRow" fieldPosition="0"/>
    </format>
    <format dxfId="118">
      <pivotArea dataOnly="0" labelOnly="1" fieldPosition="0">
        <references count="1">
          <reference field="0" count="0"/>
        </references>
      </pivotArea>
    </format>
    <format dxfId="117">
      <pivotArea dataOnly="0" labelOnly="1" grandRow="1" outline="0" fieldPosition="0"/>
    </format>
    <format dxfId="116">
      <pivotArea dataOnly="0" labelOnly="1" outline="0" axis="axisValues" fieldPosition="0"/>
    </format>
    <format dxfId="115">
      <pivotArea type="all" dataOnly="0" outline="0" fieldPosition="0"/>
    </format>
    <format dxfId="114">
      <pivotArea outline="0" collapsedLevelsAreSubtotals="1" fieldPosition="0"/>
    </format>
    <format dxfId="113">
      <pivotArea field="0" type="button" dataOnly="0" labelOnly="1" outline="0" axis="axisRow" fieldPosition="0"/>
    </format>
    <format dxfId="112">
      <pivotArea dataOnly="0" labelOnly="1" fieldPosition="0">
        <references count="1">
          <reference field="0" count="1">
            <x v="1"/>
          </reference>
        </references>
      </pivotArea>
    </format>
    <format dxfId="111">
      <pivotArea dataOnly="0" labelOnly="1" grandRow="1" outline="0" fieldPosition="0"/>
    </format>
    <format dxfId="110">
      <pivotArea dataOnly="0" labelOnly="1" outline="0" axis="axisValues" fieldPosition="0"/>
    </format>
    <format dxfId="109">
      <pivotArea type="all" dataOnly="0" outline="0" fieldPosition="0"/>
    </format>
    <format dxfId="108">
      <pivotArea outline="0" collapsedLevelsAreSubtotals="1" fieldPosition="0"/>
    </format>
    <format dxfId="107">
      <pivotArea field="0" type="button" dataOnly="0" labelOnly="1" outline="0" axis="axisRow" fieldPosition="0"/>
    </format>
    <format dxfId="106">
      <pivotArea dataOnly="0" labelOnly="1" fieldPosition="0">
        <references count="1">
          <reference field="0" count="0"/>
        </references>
      </pivotArea>
    </format>
    <format dxfId="105">
      <pivotArea dataOnly="0" labelOnly="1" grandRow="1" outline="0" fieldPosition="0"/>
    </format>
    <format dxfId="104">
      <pivotArea dataOnly="0" labelOnly="1" outline="0" axis="axisValues" fieldPosition="0"/>
    </format>
    <format dxfId="103">
      <pivotArea type="all" dataOnly="0" outline="0" fieldPosition="0"/>
    </format>
    <format dxfId="102">
      <pivotArea outline="0" collapsedLevelsAreSubtotals="1" fieldPosition="0"/>
    </format>
    <format dxfId="101">
      <pivotArea field="0" type="button" dataOnly="0" labelOnly="1" outline="0" axis="axisRow" fieldPosition="0"/>
    </format>
    <format dxfId="100">
      <pivotArea dataOnly="0" labelOnly="1" fieldPosition="0">
        <references count="1">
          <reference field="0" count="0"/>
        </references>
      </pivotArea>
    </format>
    <format dxfId="99">
      <pivotArea dataOnly="0" labelOnly="1" grandRow="1" outline="0" fieldPosition="0"/>
    </format>
    <format dxfId="98">
      <pivotArea dataOnly="0" labelOnly="1" outline="0" axis="axisValues" fieldPosition="0"/>
    </format>
    <format dxfId="97">
      <pivotArea type="all" dataOnly="0" outline="0" fieldPosition="0"/>
    </format>
    <format dxfId="96">
      <pivotArea outline="0" collapsedLevelsAreSubtotals="1" fieldPosition="0"/>
    </format>
    <format dxfId="95">
      <pivotArea field="0" type="button" dataOnly="0" labelOnly="1" outline="0" axis="axisRow" fieldPosition="0"/>
    </format>
    <format dxfId="94">
      <pivotArea dataOnly="0" labelOnly="1" fieldPosition="0">
        <references count="1">
          <reference field="0" count="0"/>
        </references>
      </pivotArea>
    </format>
    <format dxfId="93">
      <pivotArea dataOnly="0" labelOnly="1" grandRow="1" outline="0" fieldPosition="0"/>
    </format>
    <format dxfId="92">
      <pivotArea dataOnly="0" labelOnly="1" outline="0" axis="axisValues" fieldPosition="0"/>
    </format>
    <format dxfId="91">
      <pivotArea type="all" dataOnly="0" outline="0" fieldPosition="0"/>
    </format>
    <format dxfId="90">
      <pivotArea outline="0" collapsedLevelsAreSubtotals="1" fieldPosition="0"/>
    </format>
    <format dxfId="89">
      <pivotArea field="0" type="button" dataOnly="0" labelOnly="1" outline="0" axis="axisRow" fieldPosition="0"/>
    </format>
    <format dxfId="88">
      <pivotArea dataOnly="0" labelOnly="1" fieldPosition="0">
        <references count="1">
          <reference field="0" count="0"/>
        </references>
      </pivotArea>
    </format>
    <format dxfId="87">
      <pivotArea dataOnly="0" labelOnly="1" grandRow="1" outline="0" fieldPosition="0"/>
    </format>
    <format dxfId="86">
      <pivotArea dataOnly="0" labelOnly="1" outline="0" axis="axisValues" fieldPosition="0"/>
    </format>
    <format dxfId="85">
      <pivotArea type="all" dataOnly="0" outline="0" fieldPosition="0"/>
    </format>
    <format dxfId="84">
      <pivotArea outline="0" collapsedLevelsAreSubtotals="1" fieldPosition="0"/>
    </format>
    <format dxfId="83">
      <pivotArea field="0" type="button" dataOnly="0" labelOnly="1" outline="0" axis="axisRow" fieldPosition="0"/>
    </format>
    <format dxfId="82">
      <pivotArea dataOnly="0" labelOnly="1" fieldPosition="0">
        <references count="1">
          <reference field="0" count="0"/>
        </references>
      </pivotArea>
    </format>
    <format dxfId="81">
      <pivotArea dataOnly="0" labelOnly="1" grandRow="1" outline="0" fieldPosition="0"/>
    </format>
    <format dxfId="80">
      <pivotArea dataOnly="0" labelOnly="1" outline="0" axis="axisValues" fieldPosition="0"/>
    </format>
  </formats>
  <chartFormats count="2">
    <chartFormat chart="24" format="2" series="1">
      <pivotArea type="data" outline="0" fieldPosition="0">
        <references count="1">
          <reference field="4294967294" count="1" selected="0">
            <x v="0"/>
          </reference>
        </references>
      </pivotArea>
    </chartFormat>
    <chartFormat chart="27" format="4" series="1">
      <pivotArea type="data" outline="0" fieldPosition="0">
        <references count="1">
          <reference field="4294967294" count="1" selected="0">
            <x v="0"/>
          </reference>
        </references>
      </pivotArea>
    </chartFormat>
  </chartFormats>
  <pivotHierarchies count="53">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es %"/>
    <pivotHierarchy dragToData="1" caption="Quantity %"/>
    <pivotHierarchy dragToData="1" caption="Profit %"/>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7" showRowHeaders="1" showColHeaders="1" showRowStripes="0" showColStripes="0" showLastColumn="1"/>
  <rowHierarchiesUsage count="1">
    <rowHierarchyUsage hierarchyUsage="3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uperstore Raw Data.xlsx!Table_1">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23BF3E6-8093-4346-B342-48CC446140D5}" name="Didtribution_OrderPriority" cacheId="0" applyNumberFormats="0" applyBorderFormats="0" applyFontFormats="0" applyPatternFormats="0" applyAlignmentFormats="0" applyWidthHeightFormats="1" dataCaption="Values" tag="5febfbea-5bc8-4315-b45c-ae5d8aa9f7e5" updatedVersion="8" minRefreshableVersion="3" useAutoFormatting="1" subtotalHiddenItems="1" rowGrandTotals="0" itemPrintTitles="1" createdVersion="8" indent="0" compact="0" compactData="0" gridDropZones="1" multipleFieldFilters="0">
  <location ref="BB4:BG25" firstHeaderRow="1" firstDataRow="2" firstDataCol="2"/>
  <pivotFields count="7">
    <pivotField axis="axisRow" compact="0" allDrilled="1" outline="0" subtotalTop="0" showAll="0" defaultSubtotal="0" defaultAttributeDrillState="1">
      <items count="4">
        <item x="0"/>
        <item x="1"/>
        <item x="2"/>
        <item x="3"/>
      </items>
    </pivotField>
    <pivotField compact="0" allDrilled="1" outline="0" subtotalTop="0" showAll="0" sortType="ascending" defaultSubtotal="0" defaultAttributeDrillState="1">
      <items count="17">
        <item x="0"/>
        <item x="1"/>
        <item x="2"/>
        <item x="3"/>
        <item x="4"/>
        <item x="5"/>
        <item x="6"/>
        <item x="7"/>
        <item x="8"/>
        <item x="9"/>
        <item x="10"/>
        <item x="11"/>
        <item x="12"/>
        <item x="13"/>
        <item x="14"/>
        <item x="15"/>
        <item x="16"/>
      </items>
      <autoSortScope>
        <pivotArea dataOnly="0" outline="0" fieldPosition="0">
          <references count="1">
            <reference field="4294967294" count="1" selected="0">
              <x v="0"/>
            </reference>
          </references>
        </pivotArea>
      </autoSortScope>
    </pivotField>
    <pivotField dataField="1" compact="0" outline="0" subtotalTop="0" showAll="0" defaultSubtotal="0"/>
    <pivotField dataField="1" compact="0" outline="0" subtotalTop="0" showAll="0" defaultSubtotal="0"/>
    <pivotField axis="axisRow" compact="0" allDrilled="1" outline="0" subtotalTop="0" showAll="0" nonAutoSortDefault="1" defaultSubtotal="0" defaultAttributeDrillState="1">
      <items count="5">
        <item n="Low" x="2"/>
        <item n="Medium" x="3"/>
        <item n="High" x="1"/>
        <item n="Critical" x="0"/>
        <item x="4"/>
      </items>
    </pivotField>
    <pivotField dataField="1" compact="0" outline="0" subtotalTop="0" showAll="0" defaultSubtotal="0"/>
    <pivotField dataField="1" compact="0" outline="0" subtotalTop="0" showAll="0" defaultSubtotal="0"/>
  </pivotFields>
  <rowFields count="2">
    <field x="0"/>
    <field x="4"/>
  </rowFields>
  <rowItems count="20">
    <i>
      <x/>
      <x/>
    </i>
    <i r="1">
      <x v="1"/>
    </i>
    <i r="1">
      <x v="2"/>
    </i>
    <i r="1">
      <x v="3"/>
    </i>
    <i r="1">
      <x v="4"/>
    </i>
    <i>
      <x v="1"/>
      <x/>
    </i>
    <i r="1">
      <x v="1"/>
    </i>
    <i r="1">
      <x v="2"/>
    </i>
    <i r="1">
      <x v="3"/>
    </i>
    <i r="1">
      <x v="4"/>
    </i>
    <i>
      <x v="2"/>
      <x/>
    </i>
    <i r="1">
      <x v="1"/>
    </i>
    <i r="1">
      <x v="2"/>
    </i>
    <i r="1">
      <x v="3"/>
    </i>
    <i r="1">
      <x v="4"/>
    </i>
    <i>
      <x v="3"/>
      <x/>
    </i>
    <i r="1">
      <x v="1"/>
    </i>
    <i r="1">
      <x v="2"/>
    </i>
    <i r="1">
      <x v="3"/>
    </i>
    <i r="1">
      <x v="4"/>
    </i>
  </rowItems>
  <colFields count="1">
    <field x="-2"/>
  </colFields>
  <colItems count="4">
    <i>
      <x/>
    </i>
    <i i="1">
      <x v="1"/>
    </i>
    <i i="2">
      <x v="2"/>
    </i>
    <i i="3">
      <x v="3"/>
    </i>
  </colItems>
  <dataFields count="4">
    <dataField name="Sales" fld="2" baseField="0" baseItem="0" numFmtId="165"/>
    <dataField name="Profit" fld="3" baseField="0" baseItem="0" numFmtId="165"/>
    <dataField name="# of Orders" fld="5" subtotal="count" baseField="4" baseItem="0">
      <extLst>
        <ext xmlns:x15="http://schemas.microsoft.com/office/spreadsheetml/2010/11/main" uri="{FABC7310-3BB5-11E1-824E-6D434824019B}">
          <x15:dataField isCountDistinct="1"/>
        </ext>
      </extLst>
    </dataField>
    <dataField name="Last Orderd" fld="6" subtotal="max" baseField="0" baseItem="0" numFmtId="14"/>
  </dataFields>
  <formats count="78">
    <format dxfId="213">
      <pivotArea outline="0" collapsedLevelsAreSubtotals="1" fieldPosition="0"/>
    </format>
    <format dxfId="212">
      <pivotArea field="-2" type="button" dataOnly="0" labelOnly="1" outline="0" axis="axisCol" fieldPosition="0"/>
    </format>
    <format dxfId="211">
      <pivotArea type="topRight" dataOnly="0" labelOnly="1" outline="0" fieldPosition="0"/>
    </format>
    <format dxfId="210">
      <pivotArea dataOnly="0" labelOnly="1" outline="0" fieldPosition="0">
        <references count="1">
          <reference field="4294967294" count="2">
            <x v="0"/>
            <x v="1"/>
          </reference>
        </references>
      </pivotArea>
    </format>
    <format dxfId="209">
      <pivotArea dataOnly="0" labelOnly="1" outline="0" fieldPosition="0">
        <references count="1">
          <reference field="4294967294" count="1">
            <x v="0"/>
          </reference>
        </references>
      </pivotArea>
    </format>
    <format dxfId="208">
      <pivotArea dataOnly="0" labelOnly="1" outline="0" fieldPosition="0">
        <references count="1">
          <reference field="4294967294" count="1">
            <x v="1"/>
          </reference>
        </references>
      </pivotArea>
    </format>
    <format dxfId="207">
      <pivotArea outline="0" fieldPosition="0">
        <references count="1">
          <reference field="4294967294" count="1" selected="0">
            <x v="0"/>
          </reference>
        </references>
      </pivotArea>
    </format>
    <format dxfId="206">
      <pivotArea outline="0" fieldPosition="0">
        <references count="1">
          <reference field="4294967294" count="1" selected="0">
            <x v="1"/>
          </reference>
        </references>
      </pivotArea>
    </format>
    <format dxfId="205">
      <pivotArea outline="0" fieldPosition="0">
        <references count="1">
          <reference field="4294967294" count="1" selected="0">
            <x v="3"/>
          </reference>
        </references>
      </pivotArea>
    </format>
    <format dxfId="204">
      <pivotArea type="all" dataOnly="0" outline="0" fieldPosition="0"/>
    </format>
    <format dxfId="203">
      <pivotArea outline="0" collapsedLevelsAreSubtotals="1" fieldPosition="0"/>
    </format>
    <format dxfId="202">
      <pivotArea type="origin" dataOnly="0" labelOnly="1" outline="0" fieldPosition="0"/>
    </format>
    <format dxfId="201">
      <pivotArea field="-2" type="button" dataOnly="0" labelOnly="1" outline="0" axis="axisCol" fieldPosition="0"/>
    </format>
    <format dxfId="200">
      <pivotArea type="topRight" dataOnly="0" labelOnly="1" outline="0" fieldPosition="0"/>
    </format>
    <format dxfId="199">
      <pivotArea field="0" type="button" dataOnly="0" labelOnly="1" outline="0" axis="axisRow" fieldPosition="0"/>
    </format>
    <format dxfId="198">
      <pivotArea field="4" type="button" dataOnly="0" labelOnly="1" outline="0" axis="axisRow" fieldPosition="1"/>
    </format>
    <format dxfId="197">
      <pivotArea dataOnly="0" labelOnly="1" outline="0" fieldPosition="0">
        <references count="1">
          <reference field="0" count="0"/>
        </references>
      </pivotArea>
    </format>
    <format dxfId="196">
      <pivotArea dataOnly="0" labelOnly="1" outline="0" fieldPosition="0">
        <references count="2">
          <reference field="0" count="1" selected="0">
            <x v="0"/>
          </reference>
          <reference field="4" count="0"/>
        </references>
      </pivotArea>
    </format>
    <format dxfId="195">
      <pivotArea dataOnly="0" labelOnly="1" outline="0" fieldPosition="0">
        <references count="2">
          <reference field="0" count="1" selected="0">
            <x v="1"/>
          </reference>
          <reference field="4" count="0"/>
        </references>
      </pivotArea>
    </format>
    <format dxfId="194">
      <pivotArea dataOnly="0" labelOnly="1" outline="0" fieldPosition="0">
        <references count="2">
          <reference field="0" count="1" selected="0">
            <x v="2"/>
          </reference>
          <reference field="4" count="0"/>
        </references>
      </pivotArea>
    </format>
    <format dxfId="193">
      <pivotArea dataOnly="0" labelOnly="1" outline="0" fieldPosition="0">
        <references count="2">
          <reference field="0" count="1" selected="0">
            <x v="3"/>
          </reference>
          <reference field="4" count="0"/>
        </references>
      </pivotArea>
    </format>
    <format dxfId="192">
      <pivotArea dataOnly="0" labelOnly="1" outline="0" fieldPosition="0">
        <references count="1">
          <reference field="4294967294" count="4">
            <x v="0"/>
            <x v="1"/>
            <x v="2"/>
            <x v="3"/>
          </reference>
        </references>
      </pivotArea>
    </format>
    <format dxfId="191">
      <pivotArea type="all" dataOnly="0" outline="0" fieldPosition="0"/>
    </format>
    <format dxfId="190">
      <pivotArea outline="0" collapsedLevelsAreSubtotals="1" fieldPosition="0"/>
    </format>
    <format dxfId="189">
      <pivotArea type="origin" dataOnly="0" labelOnly="1" outline="0" fieldPosition="0"/>
    </format>
    <format dxfId="188">
      <pivotArea field="-2" type="button" dataOnly="0" labelOnly="1" outline="0" axis="axisCol" fieldPosition="0"/>
    </format>
    <format dxfId="187">
      <pivotArea type="topRight" dataOnly="0" labelOnly="1" outline="0" fieldPosition="0"/>
    </format>
    <format dxfId="186">
      <pivotArea field="0" type="button" dataOnly="0" labelOnly="1" outline="0" axis="axisRow" fieldPosition="0"/>
    </format>
    <format dxfId="185">
      <pivotArea field="4" type="button" dataOnly="0" labelOnly="1" outline="0" axis="axisRow" fieldPosition="1"/>
    </format>
    <format dxfId="184">
      <pivotArea dataOnly="0" labelOnly="1" outline="0" fieldPosition="0">
        <references count="1">
          <reference field="0" count="0"/>
        </references>
      </pivotArea>
    </format>
    <format dxfId="183">
      <pivotArea dataOnly="0" labelOnly="1" outline="0" fieldPosition="0">
        <references count="2">
          <reference field="0" count="1" selected="0">
            <x v="0"/>
          </reference>
          <reference field="4" count="0"/>
        </references>
      </pivotArea>
    </format>
    <format dxfId="182">
      <pivotArea dataOnly="0" labelOnly="1" outline="0" fieldPosition="0">
        <references count="2">
          <reference field="0" count="1" selected="0">
            <x v="1"/>
          </reference>
          <reference field="4" count="0"/>
        </references>
      </pivotArea>
    </format>
    <format dxfId="181">
      <pivotArea dataOnly="0" labelOnly="1" outline="0" fieldPosition="0">
        <references count="2">
          <reference field="0" count="1" selected="0">
            <x v="2"/>
          </reference>
          <reference field="4" count="0"/>
        </references>
      </pivotArea>
    </format>
    <format dxfId="180">
      <pivotArea dataOnly="0" labelOnly="1" outline="0" fieldPosition="0">
        <references count="2">
          <reference field="0" count="1" selected="0">
            <x v="3"/>
          </reference>
          <reference field="4" count="0"/>
        </references>
      </pivotArea>
    </format>
    <format dxfId="179">
      <pivotArea dataOnly="0" labelOnly="1" outline="0" fieldPosition="0">
        <references count="1">
          <reference field="4294967294" count="4">
            <x v="0"/>
            <x v="1"/>
            <x v="2"/>
            <x v="3"/>
          </reference>
        </references>
      </pivotArea>
    </format>
    <format dxfId="178">
      <pivotArea dataOnly="0" labelOnly="1" outline="0" fieldPosition="0">
        <references count="2">
          <reference field="0" count="1" selected="0">
            <x v="0"/>
          </reference>
          <reference field="4" count="0"/>
        </references>
      </pivotArea>
    </format>
    <format dxfId="177">
      <pivotArea dataOnly="0" labelOnly="1" outline="0" fieldPosition="0">
        <references count="2">
          <reference field="0" count="1" selected="0">
            <x v="1"/>
          </reference>
          <reference field="4" count="0"/>
        </references>
      </pivotArea>
    </format>
    <format dxfId="176">
      <pivotArea dataOnly="0" labelOnly="1" outline="0" fieldPosition="0">
        <references count="2">
          <reference field="0" count="1" selected="0">
            <x v="2"/>
          </reference>
          <reference field="4" count="0"/>
        </references>
      </pivotArea>
    </format>
    <format dxfId="175">
      <pivotArea dataOnly="0" labelOnly="1" outline="0" fieldPosition="0">
        <references count="2">
          <reference field="0" count="1" selected="0">
            <x v="3"/>
          </reference>
          <reference field="4" count="0"/>
        </references>
      </pivotArea>
    </format>
    <format dxfId="174">
      <pivotArea type="all" dataOnly="0" outline="0" fieldPosition="0"/>
    </format>
    <format dxfId="173">
      <pivotArea outline="0" collapsedLevelsAreSubtotals="1" fieldPosition="0"/>
    </format>
    <format dxfId="172">
      <pivotArea type="origin" dataOnly="0" labelOnly="1" outline="0" fieldPosition="0"/>
    </format>
    <format dxfId="171">
      <pivotArea field="-2" type="button" dataOnly="0" labelOnly="1" outline="0" axis="axisCol" fieldPosition="0"/>
    </format>
    <format dxfId="170">
      <pivotArea type="topRight" dataOnly="0" labelOnly="1" outline="0" fieldPosition="0"/>
    </format>
    <format dxfId="169">
      <pivotArea field="0" type="button" dataOnly="0" labelOnly="1" outline="0" axis="axisRow" fieldPosition="0"/>
    </format>
    <format dxfId="168">
      <pivotArea field="4" type="button" dataOnly="0" labelOnly="1" outline="0" axis="axisRow" fieldPosition="1"/>
    </format>
    <format dxfId="167">
      <pivotArea dataOnly="0" labelOnly="1" outline="0" fieldPosition="0">
        <references count="1">
          <reference field="0" count="0"/>
        </references>
      </pivotArea>
    </format>
    <format dxfId="166">
      <pivotArea dataOnly="0" labelOnly="1" outline="0" fieldPosition="0">
        <references count="2">
          <reference field="0" count="1" selected="0">
            <x v="0"/>
          </reference>
          <reference field="4" count="0"/>
        </references>
      </pivotArea>
    </format>
    <format dxfId="165">
      <pivotArea dataOnly="0" labelOnly="1" outline="0" fieldPosition="0">
        <references count="2">
          <reference field="0" count="1" selected="0">
            <x v="1"/>
          </reference>
          <reference field="4" count="0"/>
        </references>
      </pivotArea>
    </format>
    <format dxfId="164">
      <pivotArea dataOnly="0" labelOnly="1" outline="0" fieldPosition="0">
        <references count="2">
          <reference field="0" count="1" selected="0">
            <x v="2"/>
          </reference>
          <reference field="4" count="0"/>
        </references>
      </pivotArea>
    </format>
    <format dxfId="163">
      <pivotArea dataOnly="0" labelOnly="1" outline="0" fieldPosition="0">
        <references count="2">
          <reference field="0" count="1" selected="0">
            <x v="3"/>
          </reference>
          <reference field="4" count="0"/>
        </references>
      </pivotArea>
    </format>
    <format dxfId="162">
      <pivotArea dataOnly="0" labelOnly="1" outline="0" fieldPosition="0">
        <references count="1">
          <reference field="4294967294" count="4">
            <x v="0"/>
            <x v="1"/>
            <x v="2"/>
            <x v="3"/>
          </reference>
        </references>
      </pivotArea>
    </format>
    <format dxfId="161">
      <pivotArea type="all" dataOnly="0" outline="0" fieldPosition="0"/>
    </format>
    <format dxfId="160">
      <pivotArea outline="0" collapsedLevelsAreSubtotals="1" fieldPosition="0"/>
    </format>
    <format dxfId="159">
      <pivotArea type="origin" dataOnly="0" labelOnly="1" outline="0" fieldPosition="0"/>
    </format>
    <format dxfId="158">
      <pivotArea field="-2" type="button" dataOnly="0" labelOnly="1" outline="0" axis="axisCol" fieldPosition="0"/>
    </format>
    <format dxfId="157">
      <pivotArea type="topRight" dataOnly="0" labelOnly="1" outline="0" fieldPosition="0"/>
    </format>
    <format dxfId="156">
      <pivotArea field="0" type="button" dataOnly="0" labelOnly="1" outline="0" axis="axisRow" fieldPosition="0"/>
    </format>
    <format dxfId="155">
      <pivotArea field="4" type="button" dataOnly="0" labelOnly="1" outline="0" axis="axisRow" fieldPosition="1"/>
    </format>
    <format dxfId="154">
      <pivotArea dataOnly="0" labelOnly="1" outline="0" fieldPosition="0">
        <references count="1">
          <reference field="0" count="0"/>
        </references>
      </pivotArea>
    </format>
    <format dxfId="153">
      <pivotArea dataOnly="0" labelOnly="1" outline="0" fieldPosition="0">
        <references count="2">
          <reference field="0" count="1" selected="0">
            <x v="0"/>
          </reference>
          <reference field="4" count="0"/>
        </references>
      </pivotArea>
    </format>
    <format dxfId="152">
      <pivotArea dataOnly="0" labelOnly="1" outline="0" fieldPosition="0">
        <references count="2">
          <reference field="0" count="1" selected="0">
            <x v="1"/>
          </reference>
          <reference field="4" count="0"/>
        </references>
      </pivotArea>
    </format>
    <format dxfId="151">
      <pivotArea dataOnly="0" labelOnly="1" outline="0" fieldPosition="0">
        <references count="2">
          <reference field="0" count="1" selected="0">
            <x v="2"/>
          </reference>
          <reference field="4" count="0"/>
        </references>
      </pivotArea>
    </format>
    <format dxfId="150">
      <pivotArea dataOnly="0" labelOnly="1" outline="0" fieldPosition="0">
        <references count="2">
          <reference field="0" count="1" selected="0">
            <x v="3"/>
          </reference>
          <reference field="4" count="0"/>
        </references>
      </pivotArea>
    </format>
    <format dxfId="149">
      <pivotArea dataOnly="0" labelOnly="1" outline="0" fieldPosition="0">
        <references count="1">
          <reference field="4294967294" count="4">
            <x v="0"/>
            <x v="1"/>
            <x v="2"/>
            <x v="3"/>
          </reference>
        </references>
      </pivotArea>
    </format>
    <format dxfId="148">
      <pivotArea type="all" dataOnly="0" outline="0" fieldPosition="0"/>
    </format>
    <format dxfId="147">
      <pivotArea outline="0" collapsedLevelsAreSubtotals="1" fieldPosition="0"/>
    </format>
    <format dxfId="146">
      <pivotArea type="origin" dataOnly="0" labelOnly="1" outline="0" fieldPosition="0"/>
    </format>
    <format dxfId="145">
      <pivotArea field="-2" type="button" dataOnly="0" labelOnly="1" outline="0" axis="axisCol" fieldPosition="0"/>
    </format>
    <format dxfId="144">
      <pivotArea type="topRight" dataOnly="0" labelOnly="1" outline="0" fieldPosition="0"/>
    </format>
    <format dxfId="143">
      <pivotArea field="0" type="button" dataOnly="0" labelOnly="1" outline="0" axis="axisRow" fieldPosition="0"/>
    </format>
    <format dxfId="142">
      <pivotArea field="4" type="button" dataOnly="0" labelOnly="1" outline="0" axis="axisRow" fieldPosition="1"/>
    </format>
    <format dxfId="141">
      <pivotArea dataOnly="0" labelOnly="1" outline="0" fieldPosition="0">
        <references count="1">
          <reference field="0" count="0"/>
        </references>
      </pivotArea>
    </format>
    <format dxfId="140">
      <pivotArea dataOnly="0" labelOnly="1" outline="0" fieldPosition="0">
        <references count="2">
          <reference field="0" count="1" selected="0">
            <x v="0"/>
          </reference>
          <reference field="4" count="0"/>
        </references>
      </pivotArea>
    </format>
    <format dxfId="139">
      <pivotArea dataOnly="0" labelOnly="1" outline="0" fieldPosition="0">
        <references count="2">
          <reference field="0" count="1" selected="0">
            <x v="1"/>
          </reference>
          <reference field="4" count="0"/>
        </references>
      </pivotArea>
    </format>
    <format dxfId="138">
      <pivotArea dataOnly="0" labelOnly="1" outline="0" fieldPosition="0">
        <references count="2">
          <reference field="0" count="1" selected="0">
            <x v="2"/>
          </reference>
          <reference field="4" count="0"/>
        </references>
      </pivotArea>
    </format>
    <format dxfId="137">
      <pivotArea dataOnly="0" labelOnly="1" outline="0" fieldPosition="0">
        <references count="2">
          <reference field="0" count="1" selected="0">
            <x v="3"/>
          </reference>
          <reference field="4" count="0"/>
        </references>
      </pivotArea>
    </format>
    <format dxfId="136">
      <pivotArea dataOnly="0" labelOnly="1" outline="0" fieldPosition="0">
        <references count="1">
          <reference field="4294967294" count="4">
            <x v="0"/>
            <x v="1"/>
            <x v="2"/>
            <x v="3"/>
          </reference>
        </references>
      </pivotArea>
    </format>
  </formats>
  <pivotHierarchies count="53">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es"/>
    <pivotHierarchy dragToData="1"/>
    <pivotHierarchy dragToData="1" caption="Profit"/>
    <pivotHierarchy dragToData="1"/>
    <pivotHierarchy dragToData="1"/>
    <pivotHierarchy dragToData="1"/>
    <pivotHierarchy dragToData="1"/>
    <pivotHierarchy dragToData="1"/>
    <pivotHierarchy dragToData="1"/>
    <pivotHierarchy dragToData="1"/>
    <pivotHierarchy dragToData="1" caption="# of Orders"/>
    <pivotHierarchy dragToData="1"/>
    <pivotHierarchy dragToData="1" caption="Last Orderd"/>
    <pivotHierarchy dragToData="1"/>
    <pivotHierarchy dragToData="1" caption="Distinct Count of Product Name"/>
  </pivotHierarchies>
  <pivotTableStyleInfo showRowHeaders="1" showColHeaders="1" showRowStripes="0" showColStripes="0" showLastColumn="1"/>
  <rowHierarchiesUsage count="2">
    <rowHierarchyUsage hierarchyUsage="7"/>
    <rowHierarchyUsage hierarchyUsage="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6501407-6B17-42C2-80D6-1F65C13DCF89}" name="Trends_Bars" cacheId="2" dataPosition="0" applyNumberFormats="0" applyBorderFormats="0" applyFontFormats="0" applyPatternFormats="0" applyAlignmentFormats="0" applyWidthHeightFormats="1" dataCaption="Values" tag="80b40262-5a40-44f3-a5d2-0f56f1ef2939" updatedVersion="8" minRefreshableVersion="3" subtotalHiddenItems="1" rowGrandTotals="0" itemPrintTitles="1" createdVersion="8" indent="0" compact="0" compactData="0" gridDropZones="1" multipleFieldFilters="0" chartFormat="10" rowHeaderCaption="Month/Date">
  <location ref="AU5:AX10" firstHeaderRow="1" firstDataRow="2" firstDataCol="1"/>
  <pivotFields count="5">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3"/>
  </rowFields>
  <rowItems count="4">
    <i>
      <x/>
    </i>
    <i>
      <x v="1"/>
    </i>
    <i>
      <x v="2"/>
    </i>
    <i>
      <x v="3"/>
    </i>
  </rowItems>
  <colFields count="1">
    <field x="-2"/>
  </colFields>
  <colItems count="3">
    <i>
      <x/>
    </i>
    <i i="1">
      <x v="1"/>
    </i>
    <i i="2">
      <x v="2"/>
    </i>
  </colItems>
  <dataFields count="3">
    <dataField name="Sales" fld="0" baseField="0" baseItem="0"/>
    <dataField name="Profit" fld="1" baseField="0" baseItem="0"/>
    <dataField name="Quantity" fld="2" baseField="0" baseItem="0"/>
  </dataFields>
  <formats count="94">
    <format dxfId="307">
      <pivotArea type="all" dataOnly="0" outline="0" fieldPosition="0"/>
    </format>
    <format dxfId="306">
      <pivotArea outline="0" collapsedLevelsAreSubtotals="1" fieldPosition="0"/>
    </format>
    <format dxfId="305">
      <pivotArea type="origin" dataOnly="0" labelOnly="1" outline="0" fieldPosition="0"/>
    </format>
    <format dxfId="304">
      <pivotArea field="-2" type="button" dataOnly="0" labelOnly="1" outline="0" axis="axisCol" fieldPosition="0"/>
    </format>
    <format dxfId="303">
      <pivotArea type="topRight" dataOnly="0" labelOnly="1" outline="0" fieldPosition="0"/>
    </format>
    <format dxfId="302">
      <pivotArea dataOnly="0" labelOnly="1" grandRow="1" outline="0" fieldPosition="0"/>
    </format>
    <format dxfId="301">
      <pivotArea dataOnly="0" labelOnly="1" outline="0" fieldPosition="0">
        <references count="1">
          <reference field="4294967294" count="3">
            <x v="0"/>
            <x v="1"/>
            <x v="2"/>
          </reference>
        </references>
      </pivotArea>
    </format>
    <format dxfId="300">
      <pivotArea type="all" dataOnly="0" outline="0" fieldPosition="0"/>
    </format>
    <format dxfId="299">
      <pivotArea outline="0" collapsedLevelsAreSubtotals="1" fieldPosition="0"/>
    </format>
    <format dxfId="298">
      <pivotArea type="origin" dataOnly="0" labelOnly="1" outline="0" fieldPosition="0"/>
    </format>
    <format dxfId="297">
      <pivotArea field="-2" type="button" dataOnly="0" labelOnly="1" outline="0" axis="axisCol" fieldPosition="0"/>
    </format>
    <format dxfId="296">
      <pivotArea type="topRight" dataOnly="0" labelOnly="1" outline="0" fieldPosition="0"/>
    </format>
    <format dxfId="295">
      <pivotArea dataOnly="0" labelOnly="1" grandRow="1" outline="0" fieldPosition="0"/>
    </format>
    <format dxfId="294">
      <pivotArea dataOnly="0" labelOnly="1" outline="0" fieldPosition="0">
        <references count="1">
          <reference field="4294967294" count="3">
            <x v="0"/>
            <x v="1"/>
            <x v="2"/>
          </reference>
        </references>
      </pivotArea>
    </format>
    <format dxfId="293">
      <pivotArea type="all" dataOnly="0" outline="0" fieldPosition="0"/>
    </format>
    <format dxfId="292">
      <pivotArea outline="0" collapsedLevelsAreSubtotals="1" fieldPosition="0"/>
    </format>
    <format dxfId="291">
      <pivotArea field="-2" type="button" dataOnly="0" labelOnly="1" outline="0" axis="axisCol" fieldPosition="0"/>
    </format>
    <format dxfId="290">
      <pivotArea type="topRight" dataOnly="0" labelOnly="1" outline="0" fieldPosition="0"/>
    </format>
    <format dxfId="289">
      <pivotArea dataOnly="0" labelOnly="1" grandRow="1" outline="0" fieldPosition="0"/>
    </format>
    <format dxfId="288">
      <pivotArea dataOnly="0" labelOnly="1" outline="0" fieldPosition="0">
        <references count="1">
          <reference field="4294967294" count="3">
            <x v="0"/>
            <x v="1"/>
            <x v="2"/>
          </reference>
        </references>
      </pivotArea>
    </format>
    <format dxfId="287">
      <pivotArea outline="0" collapsedLevelsAreSubtotals="1" fieldPosition="0"/>
    </format>
    <format dxfId="286">
      <pivotArea field="-2" type="button" dataOnly="0" labelOnly="1" outline="0" axis="axisCol" fieldPosition="0"/>
    </format>
    <format dxfId="285">
      <pivotArea type="topRight" dataOnly="0" labelOnly="1" outline="0" fieldPosition="0"/>
    </format>
    <format dxfId="284">
      <pivotArea dataOnly="0" labelOnly="1" outline="0" fieldPosition="0">
        <references count="1">
          <reference field="4294967294" count="3">
            <x v="0"/>
            <x v="1"/>
            <x v="2"/>
          </reference>
        </references>
      </pivotArea>
    </format>
    <format dxfId="283">
      <pivotArea type="all" dataOnly="0" outline="0" fieldPosition="0"/>
    </format>
    <format dxfId="282">
      <pivotArea outline="0" collapsedLevelsAreSubtotals="1" fieldPosition="0"/>
    </format>
    <format dxfId="281">
      <pivotArea type="origin" dataOnly="0" labelOnly="1" outline="0" fieldPosition="0"/>
    </format>
    <format dxfId="280">
      <pivotArea field="-2" type="button" dataOnly="0" labelOnly="1" outline="0" axis="axisCol" fieldPosition="0"/>
    </format>
    <format dxfId="279">
      <pivotArea type="topRight" dataOnly="0" labelOnly="1" outline="0" fieldPosition="0"/>
    </format>
    <format dxfId="278">
      <pivotArea dataOnly="0" labelOnly="1" outline="0" fieldPosition="0">
        <references count="1">
          <reference field="4294967294" count="3">
            <x v="0"/>
            <x v="1"/>
            <x v="2"/>
          </reference>
        </references>
      </pivotArea>
    </format>
    <format dxfId="277">
      <pivotArea type="all" dataOnly="0" outline="0" fieldPosition="0"/>
    </format>
    <format dxfId="276">
      <pivotArea outline="0" collapsedLevelsAreSubtotals="1" fieldPosition="0"/>
    </format>
    <format dxfId="275">
      <pivotArea type="origin" dataOnly="0" labelOnly="1" outline="0" fieldPosition="0"/>
    </format>
    <format dxfId="274">
      <pivotArea field="-2" type="button" dataOnly="0" labelOnly="1" outline="0" axis="axisCol" fieldPosition="0"/>
    </format>
    <format dxfId="273">
      <pivotArea type="topRight" dataOnly="0" labelOnly="1" outline="0" fieldPosition="0"/>
    </format>
    <format dxfId="272">
      <pivotArea field="3" type="button" dataOnly="0" labelOnly="1" outline="0" axis="axisRow" fieldPosition="0"/>
    </format>
    <format dxfId="271">
      <pivotArea dataOnly="0" labelOnly="1" outline="0" fieldPosition="0">
        <references count="1">
          <reference field="3" count="0"/>
        </references>
      </pivotArea>
    </format>
    <format dxfId="270">
      <pivotArea dataOnly="0" labelOnly="1" outline="0" fieldPosition="0">
        <references count="1">
          <reference field="4294967294" count="3">
            <x v="0"/>
            <x v="1"/>
            <x v="2"/>
          </reference>
        </references>
      </pivotArea>
    </format>
    <format dxfId="269">
      <pivotArea type="all" dataOnly="0" outline="0" fieldPosition="0"/>
    </format>
    <format dxfId="268">
      <pivotArea outline="0" collapsedLevelsAreSubtotals="1" fieldPosition="0"/>
    </format>
    <format dxfId="267">
      <pivotArea type="origin" dataOnly="0" labelOnly="1" outline="0" fieldPosition="0"/>
    </format>
    <format dxfId="266">
      <pivotArea field="-2" type="button" dataOnly="0" labelOnly="1" outline="0" axis="axisCol" fieldPosition="0"/>
    </format>
    <format dxfId="265">
      <pivotArea type="topRight" dataOnly="0" labelOnly="1" outline="0" fieldPosition="0"/>
    </format>
    <format dxfId="264">
      <pivotArea field="3" type="button" dataOnly="0" labelOnly="1" outline="0" axis="axisRow" fieldPosition="0"/>
    </format>
    <format dxfId="263">
      <pivotArea dataOnly="0" labelOnly="1" outline="0" fieldPosition="0">
        <references count="1">
          <reference field="3" count="0"/>
        </references>
      </pivotArea>
    </format>
    <format dxfId="262">
      <pivotArea dataOnly="0" labelOnly="1" outline="0" fieldPosition="0">
        <references count="1">
          <reference field="4294967294" count="3">
            <x v="0"/>
            <x v="1"/>
            <x v="2"/>
          </reference>
        </references>
      </pivotArea>
    </format>
    <format dxfId="261">
      <pivotArea type="all" dataOnly="0" outline="0" fieldPosition="0"/>
    </format>
    <format dxfId="260">
      <pivotArea outline="0" collapsedLevelsAreSubtotals="1" fieldPosition="0"/>
    </format>
    <format dxfId="259">
      <pivotArea type="origin" dataOnly="0" labelOnly="1" outline="0" fieldPosition="0"/>
    </format>
    <format dxfId="258">
      <pivotArea field="-2" type="button" dataOnly="0" labelOnly="1" outline="0" axis="axisCol" fieldPosition="0"/>
    </format>
    <format dxfId="257">
      <pivotArea type="topRight" dataOnly="0" labelOnly="1" outline="0" fieldPosition="0"/>
    </format>
    <format dxfId="256">
      <pivotArea field="3" type="button" dataOnly="0" labelOnly="1" outline="0" axis="axisRow" fieldPosition="0"/>
    </format>
    <format dxfId="255">
      <pivotArea dataOnly="0" labelOnly="1" outline="0" fieldPosition="0">
        <references count="1">
          <reference field="3" count="0"/>
        </references>
      </pivotArea>
    </format>
    <format dxfId="254">
      <pivotArea dataOnly="0" labelOnly="1" outline="0" fieldPosition="0">
        <references count="1">
          <reference field="4294967294" count="3">
            <x v="0"/>
            <x v="1"/>
            <x v="2"/>
          </reference>
        </references>
      </pivotArea>
    </format>
    <format dxfId="253">
      <pivotArea type="all" dataOnly="0" outline="0" fieldPosition="0"/>
    </format>
    <format dxfId="252">
      <pivotArea outline="0" collapsedLevelsAreSubtotals="1" fieldPosition="0"/>
    </format>
    <format dxfId="251">
      <pivotArea type="origin" dataOnly="0" labelOnly="1" outline="0" fieldPosition="0"/>
    </format>
    <format dxfId="250">
      <pivotArea field="-2" type="button" dataOnly="0" labelOnly="1" outline="0" axis="axisCol" fieldPosition="0"/>
    </format>
    <format dxfId="249">
      <pivotArea type="topRight" dataOnly="0" labelOnly="1" outline="0" fieldPosition="0"/>
    </format>
    <format dxfId="248">
      <pivotArea field="3" type="button" dataOnly="0" labelOnly="1" outline="0" axis="axisRow" fieldPosition="0"/>
    </format>
    <format dxfId="247">
      <pivotArea dataOnly="0" labelOnly="1" outline="0" fieldPosition="0">
        <references count="1">
          <reference field="3" count="0"/>
        </references>
      </pivotArea>
    </format>
    <format dxfId="246">
      <pivotArea dataOnly="0" labelOnly="1" outline="0" fieldPosition="0">
        <references count="1">
          <reference field="4294967294" count="3">
            <x v="0"/>
            <x v="1"/>
            <x v="2"/>
          </reference>
        </references>
      </pivotArea>
    </format>
    <format dxfId="245">
      <pivotArea type="all" dataOnly="0" outline="0" fieldPosition="0"/>
    </format>
    <format dxfId="244">
      <pivotArea outline="0" collapsedLevelsAreSubtotals="1" fieldPosition="0"/>
    </format>
    <format dxfId="243">
      <pivotArea type="origin" dataOnly="0" labelOnly="1" outline="0" fieldPosition="0"/>
    </format>
    <format dxfId="242">
      <pivotArea field="-2" type="button" dataOnly="0" labelOnly="1" outline="0" axis="axisCol" fieldPosition="0"/>
    </format>
    <format dxfId="241">
      <pivotArea type="topRight" dataOnly="0" labelOnly="1" outline="0" fieldPosition="0"/>
    </format>
    <format dxfId="240">
      <pivotArea field="3" type="button" dataOnly="0" labelOnly="1" outline="0" axis="axisRow" fieldPosition="0"/>
    </format>
    <format dxfId="239">
      <pivotArea dataOnly="0" labelOnly="1" outline="0" fieldPosition="0">
        <references count="1">
          <reference field="3" count="0"/>
        </references>
      </pivotArea>
    </format>
    <format dxfId="238">
      <pivotArea dataOnly="0" labelOnly="1" outline="0" fieldPosition="0">
        <references count="1">
          <reference field="4294967294" count="3">
            <x v="0"/>
            <x v="1"/>
            <x v="2"/>
          </reference>
        </references>
      </pivotArea>
    </format>
    <format dxfId="237">
      <pivotArea type="all" dataOnly="0" outline="0" fieldPosition="0"/>
    </format>
    <format dxfId="236">
      <pivotArea outline="0" collapsedLevelsAreSubtotals="1" fieldPosition="0"/>
    </format>
    <format dxfId="235">
      <pivotArea type="origin" dataOnly="0" labelOnly="1" outline="0" fieldPosition="0"/>
    </format>
    <format dxfId="234">
      <pivotArea field="-2" type="button" dataOnly="0" labelOnly="1" outline="0" axis="axisCol" fieldPosition="0"/>
    </format>
    <format dxfId="233">
      <pivotArea type="topRight" dataOnly="0" labelOnly="1" outline="0" fieldPosition="0"/>
    </format>
    <format dxfId="232">
      <pivotArea field="3" type="button" dataOnly="0" labelOnly="1" outline="0" axis="axisRow" fieldPosition="0"/>
    </format>
    <format dxfId="231">
      <pivotArea dataOnly="0" labelOnly="1" outline="0" fieldPosition="0">
        <references count="1">
          <reference field="3" count="0"/>
        </references>
      </pivotArea>
    </format>
    <format dxfId="230">
      <pivotArea dataOnly="0" labelOnly="1" outline="0" fieldPosition="0">
        <references count="1">
          <reference field="4294967294" count="3">
            <x v="0"/>
            <x v="1"/>
            <x v="2"/>
          </reference>
        </references>
      </pivotArea>
    </format>
    <format dxfId="229">
      <pivotArea type="all" dataOnly="0" outline="0" fieldPosition="0"/>
    </format>
    <format dxfId="228">
      <pivotArea outline="0" collapsedLevelsAreSubtotals="1" fieldPosition="0"/>
    </format>
    <format dxfId="227">
      <pivotArea type="origin" dataOnly="0" labelOnly="1" outline="0" fieldPosition="0"/>
    </format>
    <format dxfId="226">
      <pivotArea field="-2" type="button" dataOnly="0" labelOnly="1" outline="0" axis="axisCol" fieldPosition="0"/>
    </format>
    <format dxfId="225">
      <pivotArea type="topRight" dataOnly="0" labelOnly="1" outline="0" fieldPosition="0"/>
    </format>
    <format dxfId="224">
      <pivotArea field="3" type="button" dataOnly="0" labelOnly="1" outline="0" axis="axisRow" fieldPosition="0"/>
    </format>
    <format dxfId="223">
      <pivotArea dataOnly="0" labelOnly="1" outline="0" fieldPosition="0">
        <references count="1">
          <reference field="3" count="0"/>
        </references>
      </pivotArea>
    </format>
    <format dxfId="222">
      <pivotArea dataOnly="0" labelOnly="1" outline="0" fieldPosition="0">
        <references count="1">
          <reference field="4294967294" count="3">
            <x v="0"/>
            <x v="1"/>
            <x v="2"/>
          </reference>
        </references>
      </pivotArea>
    </format>
    <format dxfId="221">
      <pivotArea type="all" dataOnly="0" outline="0" fieldPosition="0"/>
    </format>
    <format dxfId="220">
      <pivotArea outline="0" collapsedLevelsAreSubtotals="1" fieldPosition="0"/>
    </format>
    <format dxfId="219">
      <pivotArea type="origin" dataOnly="0" labelOnly="1" outline="0" fieldPosition="0"/>
    </format>
    <format dxfId="218">
      <pivotArea field="-2" type="button" dataOnly="0" labelOnly="1" outline="0" axis="axisCol" fieldPosition="0"/>
    </format>
    <format dxfId="217">
      <pivotArea type="topRight" dataOnly="0" labelOnly="1" outline="0" fieldPosition="0"/>
    </format>
    <format dxfId="216">
      <pivotArea field="3" type="button" dataOnly="0" labelOnly="1" outline="0" axis="axisRow" fieldPosition="0"/>
    </format>
    <format dxfId="215">
      <pivotArea dataOnly="0" labelOnly="1" outline="0" fieldPosition="0">
        <references count="1">
          <reference field="3" count="0"/>
        </references>
      </pivotArea>
    </format>
    <format dxfId="214">
      <pivotArea dataOnly="0" labelOnly="1" outline="0" fieldPosition="0">
        <references count="1">
          <reference field="4294967294" count="3">
            <x v="0"/>
            <x v="1"/>
            <x v="2"/>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Hierarchies count="53">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es"/>
    <pivotHierarchy dragToData="1" caption="Quantity"/>
    <pivotHierarchy dragToData="1" caption="Profi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FCBC6E0-7525-4F63-A10E-6DE45643108C}" name="Trends_Matrix" cacheId="3" applyNumberFormats="0" applyBorderFormats="0" applyFontFormats="0" applyPatternFormats="0" applyAlignmentFormats="0" applyWidthHeightFormats="1" dataCaption="Values" tag="ec139f71-885b-466c-bd3d-d23636a86eae" updatedVersion="8" minRefreshableVersion="3" subtotalHiddenItems="1" rowGrandTotals="0" itemPrintTitles="1" createdVersion="8" indent="0" outline="1" outlineData="1" multipleFieldFilters="0">
  <location ref="AU26:AX43" firstHeaderRow="0" firstDataRow="1" firstDataCol="1"/>
  <pivotFields count="5">
    <pivotField axis="axisRow" allDrilled="1" subtotalTop="0" showAll="0" dataSourceSort="1" defaultSubtotal="0" defaultAttributeDrillState="1">
      <items count="17">
        <item x="0"/>
        <item x="1"/>
        <item x="2"/>
        <item x="3"/>
        <item x="4"/>
        <item x="5"/>
        <item x="6"/>
        <item x="7"/>
        <item x="8"/>
        <item x="9"/>
        <item x="10"/>
        <item x="11"/>
        <item x="12"/>
        <item x="13"/>
        <item x="14"/>
        <item x="15"/>
        <item x="16"/>
      </items>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7">
    <i>
      <x/>
    </i>
    <i>
      <x v="1"/>
    </i>
    <i>
      <x v="2"/>
    </i>
    <i>
      <x v="3"/>
    </i>
    <i>
      <x v="4"/>
    </i>
    <i>
      <x v="5"/>
    </i>
    <i>
      <x v="6"/>
    </i>
    <i>
      <x v="7"/>
    </i>
    <i>
      <x v="8"/>
    </i>
    <i>
      <x v="9"/>
    </i>
    <i>
      <x v="10"/>
    </i>
    <i>
      <x v="11"/>
    </i>
    <i>
      <x v="12"/>
    </i>
    <i>
      <x v="13"/>
    </i>
    <i>
      <x v="14"/>
    </i>
    <i>
      <x v="15"/>
    </i>
    <i>
      <x v="16"/>
    </i>
  </rowItems>
  <colFields count="1">
    <field x="-2"/>
  </colFields>
  <colItems count="3">
    <i>
      <x/>
    </i>
    <i i="1">
      <x v="1"/>
    </i>
    <i i="2">
      <x v="2"/>
    </i>
  </colItems>
  <dataFields count="3">
    <dataField name="Sales" fld="1" baseField="0" baseItem="0"/>
    <dataField name="Profit" fld="2" baseField="0" baseItem="0"/>
    <dataField name="Sold Quantity" fld="3" baseField="0" baseItem="0"/>
  </dataFields>
  <formats count="44">
    <format dxfId="351">
      <pivotArea type="all" dataOnly="0" outline="0" fieldPosition="0"/>
    </format>
    <format dxfId="350">
      <pivotArea outline="0" collapsedLevelsAreSubtotals="1" fieldPosition="0"/>
    </format>
    <format dxfId="349">
      <pivotArea field="0" type="button" dataOnly="0" labelOnly="1" outline="0" axis="axisRow" fieldPosition="0"/>
    </format>
    <format dxfId="348">
      <pivotArea dataOnly="0" labelOnly="1" fieldPosition="0">
        <references count="1">
          <reference field="0" count="0"/>
        </references>
      </pivotArea>
    </format>
    <format dxfId="347">
      <pivotArea dataOnly="0" labelOnly="1" grandRow="1" outline="0" fieldPosition="0"/>
    </format>
    <format dxfId="346">
      <pivotArea dataOnly="0" labelOnly="1" outline="0" fieldPosition="0">
        <references count="1">
          <reference field="4294967294" count="3">
            <x v="0"/>
            <x v="1"/>
            <x v="2"/>
          </reference>
        </references>
      </pivotArea>
    </format>
    <format dxfId="345">
      <pivotArea type="all" dataOnly="0" outline="0" fieldPosition="0"/>
    </format>
    <format dxfId="344">
      <pivotArea outline="0" collapsedLevelsAreSubtotals="1" fieldPosition="0"/>
    </format>
    <format dxfId="343">
      <pivotArea field="0" type="button" dataOnly="0" labelOnly="1" outline="0" axis="axisRow" fieldPosition="0"/>
    </format>
    <format dxfId="342">
      <pivotArea dataOnly="0" labelOnly="1" fieldPosition="0">
        <references count="1">
          <reference field="0" count="0"/>
        </references>
      </pivotArea>
    </format>
    <format dxfId="341">
      <pivotArea dataOnly="0" labelOnly="1" grandRow="1" outline="0" fieldPosition="0"/>
    </format>
    <format dxfId="340">
      <pivotArea dataOnly="0" labelOnly="1" outline="0" fieldPosition="0">
        <references count="1">
          <reference field="4294967294" count="3">
            <x v="0"/>
            <x v="1"/>
            <x v="2"/>
          </reference>
        </references>
      </pivotArea>
    </format>
    <format dxfId="339">
      <pivotArea outline="0" collapsedLevelsAreSubtotals="1" fieldPosition="0"/>
    </format>
    <format dxfId="338">
      <pivotArea dataOnly="0" labelOnly="1" outline="0" fieldPosition="0">
        <references count="1">
          <reference field="4294967294" count="3">
            <x v="0"/>
            <x v="1"/>
            <x v="2"/>
          </reference>
        </references>
      </pivotArea>
    </format>
    <format dxfId="337">
      <pivotArea type="all" dataOnly="0" outline="0" fieldPosition="0"/>
    </format>
    <format dxfId="336">
      <pivotArea outline="0" collapsedLevelsAreSubtotals="1" fieldPosition="0"/>
    </format>
    <format dxfId="335">
      <pivotArea field="0" type="button" dataOnly="0" labelOnly="1" outline="0" axis="axisRow" fieldPosition="0"/>
    </format>
    <format dxfId="334">
      <pivotArea dataOnly="0" labelOnly="1" fieldPosition="0">
        <references count="1">
          <reference field="0" count="0"/>
        </references>
      </pivotArea>
    </format>
    <format dxfId="333">
      <pivotArea dataOnly="0" labelOnly="1" outline="0" fieldPosition="0">
        <references count="1">
          <reference field="4294967294" count="3">
            <x v="0"/>
            <x v="1"/>
            <x v="2"/>
          </reference>
        </references>
      </pivotArea>
    </format>
    <format dxfId="332">
      <pivotArea type="all" dataOnly="0" outline="0" fieldPosition="0"/>
    </format>
    <format dxfId="331">
      <pivotArea outline="0" collapsedLevelsAreSubtotals="1" fieldPosition="0"/>
    </format>
    <format dxfId="330">
      <pivotArea field="0" type="button" dataOnly="0" labelOnly="1" outline="0" axis="axisRow" fieldPosition="0"/>
    </format>
    <format dxfId="329">
      <pivotArea dataOnly="0" labelOnly="1" fieldPosition="0">
        <references count="1">
          <reference field="0" count="0"/>
        </references>
      </pivotArea>
    </format>
    <format dxfId="328">
      <pivotArea dataOnly="0" labelOnly="1" outline="0" fieldPosition="0">
        <references count="1">
          <reference field="4294967294" count="3">
            <x v="0"/>
            <x v="1"/>
            <x v="2"/>
          </reference>
        </references>
      </pivotArea>
    </format>
    <format dxfId="327">
      <pivotArea type="all" dataOnly="0" outline="0" fieldPosition="0"/>
    </format>
    <format dxfId="326">
      <pivotArea outline="0" collapsedLevelsAreSubtotals="1" fieldPosition="0"/>
    </format>
    <format dxfId="325">
      <pivotArea field="0" type="button" dataOnly="0" labelOnly="1" outline="0" axis="axisRow" fieldPosition="0"/>
    </format>
    <format dxfId="324">
      <pivotArea dataOnly="0" labelOnly="1" fieldPosition="0">
        <references count="1">
          <reference field="0" count="0"/>
        </references>
      </pivotArea>
    </format>
    <format dxfId="323">
      <pivotArea dataOnly="0" labelOnly="1" outline="0" fieldPosition="0">
        <references count="1">
          <reference field="4294967294" count="3">
            <x v="0"/>
            <x v="1"/>
            <x v="2"/>
          </reference>
        </references>
      </pivotArea>
    </format>
    <format dxfId="322">
      <pivotArea type="all" dataOnly="0" outline="0" fieldPosition="0"/>
    </format>
    <format dxfId="321">
      <pivotArea outline="0" collapsedLevelsAreSubtotals="1" fieldPosition="0"/>
    </format>
    <format dxfId="320">
      <pivotArea field="0" type="button" dataOnly="0" labelOnly="1" outline="0" axis="axisRow" fieldPosition="0"/>
    </format>
    <format dxfId="319">
      <pivotArea dataOnly="0" labelOnly="1" fieldPosition="0">
        <references count="1">
          <reference field="0" count="0"/>
        </references>
      </pivotArea>
    </format>
    <format dxfId="318">
      <pivotArea dataOnly="0" labelOnly="1" outline="0" fieldPosition="0">
        <references count="1">
          <reference field="4294967294" count="3">
            <x v="0"/>
            <x v="1"/>
            <x v="2"/>
          </reference>
        </references>
      </pivotArea>
    </format>
    <format dxfId="317">
      <pivotArea type="all" dataOnly="0" outline="0" fieldPosition="0"/>
    </format>
    <format dxfId="316">
      <pivotArea outline="0" collapsedLevelsAreSubtotals="1" fieldPosition="0"/>
    </format>
    <format dxfId="315">
      <pivotArea field="0" type="button" dataOnly="0" labelOnly="1" outline="0" axis="axisRow" fieldPosition="0"/>
    </format>
    <format dxfId="314">
      <pivotArea dataOnly="0" labelOnly="1" fieldPosition="0">
        <references count="1">
          <reference field="0" count="0"/>
        </references>
      </pivotArea>
    </format>
    <format dxfId="313">
      <pivotArea dataOnly="0" labelOnly="1" outline="0" fieldPosition="0">
        <references count="1">
          <reference field="4294967294" count="3">
            <x v="0"/>
            <x v="1"/>
            <x v="2"/>
          </reference>
        </references>
      </pivotArea>
    </format>
    <format dxfId="312">
      <pivotArea type="all" dataOnly="0" outline="0" fieldPosition="0"/>
    </format>
    <format dxfId="311">
      <pivotArea outline="0" collapsedLevelsAreSubtotals="1" fieldPosition="0"/>
    </format>
    <format dxfId="310">
      <pivotArea field="0" type="button" dataOnly="0" labelOnly="1" outline="0" axis="axisRow" fieldPosition="0"/>
    </format>
    <format dxfId="309">
      <pivotArea dataOnly="0" labelOnly="1" fieldPosition="0">
        <references count="1">
          <reference field="0" count="0"/>
        </references>
      </pivotArea>
    </format>
    <format dxfId="308">
      <pivotArea dataOnly="0" labelOnly="1" outline="0" fieldPosition="0">
        <references count="1">
          <reference field="4294967294" count="3">
            <x v="0"/>
            <x v="1"/>
            <x v="2"/>
          </reference>
        </references>
      </pivotArea>
    </format>
  </formats>
  <pivotHierarchies count="53">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es"/>
    <pivotHierarchy dragToData="1" caption="Sold Quantity"/>
    <pivotHierarchy dragToData="1" caption="Profi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47BEB05-3799-40AA-BB06-B117BDD96904}" name="Sales&amp;Profit_Matrix+ScatterChart+Donught" cacheId="16" applyNumberFormats="0" applyBorderFormats="0" applyFontFormats="0" applyPatternFormats="0" applyAlignmentFormats="0" applyWidthHeightFormats="1" dataCaption="Values" tag="9f396733-ea91-42d0-a039-72bb8499b448" updatedVersion="8" minRefreshableVersion="3" subtotalHiddenItems="1" itemPrintTitles="1" createdVersion="8" indent="0" outline="1" outlineData="1" multipleFieldFilters="0" rowHeaderCaption="Product Sub-Category">
  <location ref="B5:F23" firstHeaderRow="0" firstDataRow="1" firstDataCol="1"/>
  <pivotFields count="6">
    <pivotField dataField="1" subtotalTop="0" showAll="0" defaultSubtotal="0"/>
    <pivotField axis="axisRow" allDrilled="1" subtotalTop="0" showAll="0" dataSourceSort="1" defaultSubtotal="0" defaultAttributeDrillState="1">
      <items count="17">
        <item x="0"/>
        <item x="1"/>
        <item x="2"/>
        <item x="3"/>
        <item x="4"/>
        <item x="5"/>
        <item x="6"/>
        <item x="7"/>
        <item x="8"/>
        <item x="9"/>
        <item x="10"/>
        <item x="11"/>
        <item x="12"/>
        <item x="13"/>
        <item x="14"/>
        <item x="15"/>
        <item x="16"/>
      </items>
    </pivotField>
    <pivotField dataField="1" subtotalTop="0" showAll="0" defaultSubtotal="0"/>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18">
    <i>
      <x/>
    </i>
    <i>
      <x v="1"/>
    </i>
    <i>
      <x v="2"/>
    </i>
    <i>
      <x v="3"/>
    </i>
    <i>
      <x v="4"/>
    </i>
    <i>
      <x v="5"/>
    </i>
    <i>
      <x v="6"/>
    </i>
    <i>
      <x v="7"/>
    </i>
    <i>
      <x v="8"/>
    </i>
    <i>
      <x v="9"/>
    </i>
    <i>
      <x v="10"/>
    </i>
    <i>
      <x v="11"/>
    </i>
    <i>
      <x v="12"/>
    </i>
    <i>
      <x v="13"/>
    </i>
    <i>
      <x v="14"/>
    </i>
    <i>
      <x v="15"/>
    </i>
    <i>
      <x v="16"/>
    </i>
    <i t="grand">
      <x/>
    </i>
  </rowItems>
  <colFields count="1">
    <field x="-2"/>
  </colFields>
  <colItems count="4">
    <i>
      <x/>
    </i>
    <i i="1">
      <x v="1"/>
    </i>
    <i i="2">
      <x v="2"/>
    </i>
    <i i="3">
      <x v="3"/>
    </i>
  </colItems>
  <dataFields count="4">
    <dataField name="Sales" fld="0" baseField="0" baseItem="0"/>
    <dataField name="Sales %" fld="4" showDataAs="percentOfCol" baseField="0" baseItem="0" numFmtId="10">
      <extLst>
        <ext xmlns:x14="http://schemas.microsoft.com/office/spreadsheetml/2009/9/main" uri="{E15A36E0-9728-4e99-A89B-3F7291B0FE68}">
          <x14:dataField sourceField="0" uniqueName="[__Xl2].[Measures].[Sum of Sales]"/>
        </ext>
      </extLst>
    </dataField>
    <dataField name="Quantity Sold" fld="2" baseField="0" baseItem="0"/>
    <dataField name="% of Sold Qty" fld="5" showDataAs="percentOfTotal" baseField="1" baseItem="0" numFmtId="10">
      <extLst>
        <ext xmlns:x14="http://schemas.microsoft.com/office/spreadsheetml/2009/9/main" uri="{E15A36E0-9728-4e99-A89B-3F7291B0FE68}">
          <x14:dataField sourceField="2" uniqueName="[__Xl2].[Measures].[Sum of Quantity ordered new]"/>
        </ext>
      </extLst>
    </dataField>
  </dataFields>
  <formats count="48">
    <format dxfId="399">
      <pivotArea type="all" dataOnly="0" outline="0" fieldPosition="0"/>
    </format>
    <format dxfId="398">
      <pivotArea outline="0" collapsedLevelsAreSubtotals="1" fieldPosition="0"/>
    </format>
    <format dxfId="397">
      <pivotArea field="1" type="button" dataOnly="0" labelOnly="1" outline="0" axis="axisRow" fieldPosition="0"/>
    </format>
    <format dxfId="396">
      <pivotArea dataOnly="0" labelOnly="1" fieldPosition="0">
        <references count="1">
          <reference field="1" count="0"/>
        </references>
      </pivotArea>
    </format>
    <format dxfId="395">
      <pivotArea dataOnly="0" labelOnly="1" grandRow="1" outline="0" fieldPosition="0"/>
    </format>
    <format dxfId="394">
      <pivotArea dataOnly="0" labelOnly="1" outline="0" fieldPosition="0">
        <references count="1">
          <reference field="4294967294" count="4">
            <x v="0"/>
            <x v="1"/>
            <x v="2"/>
            <x v="3"/>
          </reference>
        </references>
      </pivotArea>
    </format>
    <format dxfId="393">
      <pivotArea type="all" dataOnly="0" outline="0" fieldPosition="0"/>
    </format>
    <format dxfId="392">
      <pivotArea outline="0" collapsedLevelsAreSubtotals="1" fieldPosition="0"/>
    </format>
    <format dxfId="391">
      <pivotArea field="1" type="button" dataOnly="0" labelOnly="1" outline="0" axis="axisRow" fieldPosition="0"/>
    </format>
    <format dxfId="390">
      <pivotArea dataOnly="0" labelOnly="1" fieldPosition="0">
        <references count="1">
          <reference field="1" count="0"/>
        </references>
      </pivotArea>
    </format>
    <format dxfId="389">
      <pivotArea dataOnly="0" labelOnly="1" grandRow="1" outline="0" fieldPosition="0"/>
    </format>
    <format dxfId="388">
      <pivotArea dataOnly="0" labelOnly="1" outline="0" fieldPosition="0">
        <references count="1">
          <reference field="4294967294" count="4">
            <x v="0"/>
            <x v="1"/>
            <x v="2"/>
            <x v="3"/>
          </reference>
        </references>
      </pivotArea>
    </format>
    <format dxfId="387">
      <pivotArea type="all" dataOnly="0" outline="0" fieldPosition="0"/>
    </format>
    <format dxfId="386">
      <pivotArea outline="0" collapsedLevelsAreSubtotals="1" fieldPosition="0"/>
    </format>
    <format dxfId="385">
      <pivotArea field="1" type="button" dataOnly="0" labelOnly="1" outline="0" axis="axisRow" fieldPosition="0"/>
    </format>
    <format dxfId="384">
      <pivotArea dataOnly="0" labelOnly="1" fieldPosition="0">
        <references count="1">
          <reference field="1" count="0"/>
        </references>
      </pivotArea>
    </format>
    <format dxfId="383">
      <pivotArea dataOnly="0" labelOnly="1" grandRow="1" outline="0" fieldPosition="0"/>
    </format>
    <format dxfId="382">
      <pivotArea dataOnly="0" labelOnly="1" outline="0" fieldPosition="0">
        <references count="1">
          <reference field="4294967294" count="4">
            <x v="0"/>
            <x v="1"/>
            <x v="2"/>
            <x v="3"/>
          </reference>
        </references>
      </pivotArea>
    </format>
    <format dxfId="381">
      <pivotArea type="all" dataOnly="0" outline="0" fieldPosition="0"/>
    </format>
    <format dxfId="380">
      <pivotArea outline="0" collapsedLevelsAreSubtotals="1" fieldPosition="0"/>
    </format>
    <format dxfId="379">
      <pivotArea field="1" type="button" dataOnly="0" labelOnly="1" outline="0" axis="axisRow" fieldPosition="0"/>
    </format>
    <format dxfId="378">
      <pivotArea dataOnly="0" labelOnly="1" fieldPosition="0">
        <references count="1">
          <reference field="1" count="0"/>
        </references>
      </pivotArea>
    </format>
    <format dxfId="377">
      <pivotArea dataOnly="0" labelOnly="1" grandRow="1" outline="0" fieldPosition="0"/>
    </format>
    <format dxfId="376">
      <pivotArea dataOnly="0" labelOnly="1" outline="0" fieldPosition="0">
        <references count="1">
          <reference field="4294967294" count="4">
            <x v="0"/>
            <x v="1"/>
            <x v="2"/>
            <x v="3"/>
          </reference>
        </references>
      </pivotArea>
    </format>
    <format dxfId="375">
      <pivotArea type="all" dataOnly="0" outline="0" fieldPosition="0"/>
    </format>
    <format dxfId="374">
      <pivotArea outline="0" collapsedLevelsAreSubtotals="1" fieldPosition="0"/>
    </format>
    <format dxfId="373">
      <pivotArea field="1" type="button" dataOnly="0" labelOnly="1" outline="0" axis="axisRow" fieldPosition="0"/>
    </format>
    <format dxfId="372">
      <pivotArea dataOnly="0" labelOnly="1" fieldPosition="0">
        <references count="1">
          <reference field="1" count="0"/>
        </references>
      </pivotArea>
    </format>
    <format dxfId="371">
      <pivotArea dataOnly="0" labelOnly="1" grandRow="1" outline="0" fieldPosition="0"/>
    </format>
    <format dxfId="370">
      <pivotArea dataOnly="0" labelOnly="1" outline="0" fieldPosition="0">
        <references count="1">
          <reference field="4294967294" count="4">
            <x v="0"/>
            <x v="1"/>
            <x v="2"/>
            <x v="3"/>
          </reference>
        </references>
      </pivotArea>
    </format>
    <format dxfId="369">
      <pivotArea type="all" dataOnly="0" outline="0" fieldPosition="0"/>
    </format>
    <format dxfId="368">
      <pivotArea outline="0" collapsedLevelsAreSubtotals="1" fieldPosition="0"/>
    </format>
    <format dxfId="367">
      <pivotArea field="1" type="button" dataOnly="0" labelOnly="1" outline="0" axis="axisRow" fieldPosition="0"/>
    </format>
    <format dxfId="366">
      <pivotArea dataOnly="0" labelOnly="1" fieldPosition="0">
        <references count="1">
          <reference field="1" count="0"/>
        </references>
      </pivotArea>
    </format>
    <format dxfId="365">
      <pivotArea dataOnly="0" labelOnly="1" grandRow="1" outline="0" fieldPosition="0"/>
    </format>
    <format dxfId="364">
      <pivotArea dataOnly="0" labelOnly="1" outline="0" fieldPosition="0">
        <references count="1">
          <reference field="4294967294" count="4">
            <x v="0"/>
            <x v="1"/>
            <x v="2"/>
            <x v="3"/>
          </reference>
        </references>
      </pivotArea>
    </format>
    <format dxfId="363">
      <pivotArea type="all" dataOnly="0" outline="0" fieldPosition="0"/>
    </format>
    <format dxfId="362">
      <pivotArea outline="0" collapsedLevelsAreSubtotals="1" fieldPosition="0"/>
    </format>
    <format dxfId="361">
      <pivotArea field="1" type="button" dataOnly="0" labelOnly="1" outline="0" axis="axisRow" fieldPosition="0"/>
    </format>
    <format dxfId="360">
      <pivotArea dataOnly="0" labelOnly="1" fieldPosition="0">
        <references count="1">
          <reference field="1" count="0"/>
        </references>
      </pivotArea>
    </format>
    <format dxfId="359">
      <pivotArea dataOnly="0" labelOnly="1" grandRow="1" outline="0" fieldPosition="0"/>
    </format>
    <format dxfId="358">
      <pivotArea dataOnly="0" labelOnly="1" outline="0" fieldPosition="0">
        <references count="1">
          <reference field="4294967294" count="4">
            <x v="0"/>
            <x v="1"/>
            <x v="2"/>
            <x v="3"/>
          </reference>
        </references>
      </pivotArea>
    </format>
    <format dxfId="357">
      <pivotArea type="all" dataOnly="0" outline="0" fieldPosition="0"/>
    </format>
    <format dxfId="356">
      <pivotArea outline="0" collapsedLevelsAreSubtotals="1" fieldPosition="0"/>
    </format>
    <format dxfId="355">
      <pivotArea field="1" type="button" dataOnly="0" labelOnly="1" outline="0" axis="axisRow" fieldPosition="0"/>
    </format>
    <format dxfId="354">
      <pivotArea dataOnly="0" labelOnly="1" fieldPosition="0">
        <references count="1">
          <reference field="1" count="0"/>
        </references>
      </pivotArea>
    </format>
    <format dxfId="353">
      <pivotArea dataOnly="0" labelOnly="1" grandRow="1" outline="0" fieldPosition="0"/>
    </format>
    <format dxfId="352">
      <pivotArea dataOnly="0" labelOnly="1" outline="0" fieldPosition="0">
        <references count="1">
          <reference field="4294967294" count="4">
            <x v="0"/>
            <x v="1"/>
            <x v="2"/>
            <x v="3"/>
          </reference>
        </references>
      </pivotArea>
    </format>
  </formats>
  <pivotHierarchies count="55">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es %"/>
    <pivotHierarchy dragToData="1" caption="Quantity %"/>
    <pivotHierarchy dragToData="1" caption="Profit %"/>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7"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uperstore Raw Data.xlsx!Table_1">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1F80C96-2041-4332-9973-CCEA26EB3F76}" name="Distribution_LeastProfitCities" cacheId="5" applyNumberFormats="0" applyBorderFormats="0" applyFontFormats="0" applyPatternFormats="0" applyAlignmentFormats="0" applyWidthHeightFormats="1" dataCaption="Values" updatedVersion="8" minRefreshableVersion="3" useAutoFormatting="1" subtotalHiddenItems="1" rowGrandTotals="0" itemPrintTitles="1" createdVersion="8" indent="0" outline="1" outlineData="1" multipleFieldFilters="0" rowHeaderCaption="City Name">
  <location ref="CJ47:CL50" firstHeaderRow="0" firstDataRow="1" firstDataCol="1"/>
  <pivotFields count="4">
    <pivotField axis="axisRow" allDrilled="1" subtotalTop="0" showAll="0" measureFilter="1" sortType="descending" defaultSubtotal="0" defaultAttributeDrillState="1">
      <items count="3">
        <item x="2"/>
        <item x="1"/>
        <item x="0"/>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
    <i>
      <x/>
    </i>
    <i>
      <x v="1"/>
    </i>
    <i>
      <x v="2"/>
    </i>
  </rowItems>
  <colFields count="1">
    <field x="-2"/>
  </colFields>
  <colItems count="2">
    <i>
      <x/>
    </i>
    <i i="1">
      <x v="1"/>
    </i>
  </colItems>
  <dataFields count="2">
    <dataField name="Profit" fld="2" baseField="0" baseItem="0" numFmtId="168"/>
    <dataField name="Quantity" fld="1" baseField="0" baseItem="0"/>
  </dataFields>
  <formats count="12">
    <format dxfId="411">
      <pivotArea outline="0" collapsedLevelsAreSubtotals="1" fieldPosition="0">
        <references count="1">
          <reference field="4294967294" count="1" selected="0">
            <x v="0"/>
          </reference>
        </references>
      </pivotArea>
    </format>
    <format dxfId="410">
      <pivotArea dataOnly="0" labelOnly="1" outline="0" fieldPosition="0">
        <references count="1">
          <reference field="4294967294" count="1">
            <x v="0"/>
          </reference>
        </references>
      </pivotArea>
    </format>
    <format dxfId="409">
      <pivotArea type="all" dataOnly="0" outline="0" fieldPosition="0"/>
    </format>
    <format dxfId="408">
      <pivotArea outline="0" collapsedLevelsAreSubtotals="1" fieldPosition="0"/>
    </format>
    <format dxfId="407">
      <pivotArea field="0" type="button" dataOnly="0" labelOnly="1" outline="0" axis="axisRow" fieldPosition="0"/>
    </format>
    <format dxfId="406">
      <pivotArea dataOnly="0" labelOnly="1" fieldPosition="0">
        <references count="1">
          <reference field="0" count="0"/>
        </references>
      </pivotArea>
    </format>
    <format dxfId="405">
      <pivotArea dataOnly="0" labelOnly="1" outline="0" fieldPosition="0">
        <references count="1">
          <reference field="4294967294" count="2">
            <x v="0"/>
            <x v="1"/>
          </reference>
        </references>
      </pivotArea>
    </format>
    <format dxfId="404">
      <pivotArea type="all" dataOnly="0" outline="0" fieldPosition="0"/>
    </format>
    <format dxfId="403">
      <pivotArea outline="0" collapsedLevelsAreSubtotals="1" fieldPosition="0"/>
    </format>
    <format dxfId="402">
      <pivotArea field="0" type="button" dataOnly="0" labelOnly="1" outline="0" axis="axisRow" fieldPosition="0"/>
    </format>
    <format dxfId="401">
      <pivotArea dataOnly="0" labelOnly="1" fieldPosition="0">
        <references count="1">
          <reference field="0" count="0"/>
        </references>
      </pivotArea>
    </format>
    <format dxfId="400">
      <pivotArea dataOnly="0" labelOnly="1" outline="0" fieldPosition="0">
        <references count="1">
          <reference field="4294967294" count="2">
            <x v="0"/>
            <x v="1"/>
          </reference>
        </references>
      </pivotArea>
    </format>
  </formats>
  <pivotHierarchies count="54">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Quantity"/>
    <pivotHierarchy dragToData="1" caption="Profi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38">
      <autoFilter ref="A1">
        <filterColumn colId="0">
          <top10 top="0" val="3" filterVal="3"/>
        </filterColumn>
      </autoFilter>
    </filter>
  </filters>
  <rowHierarchiesUsage count="1">
    <rowHierarchyUsage hierarchyUsage="1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69972ED-67BF-4A81-BC99-F7CA01873D35}" name="Trends_LineChart+Matrix" cacheId="1" dataPosition="0" applyNumberFormats="0" applyBorderFormats="0" applyFontFormats="0" applyPatternFormats="0" applyAlignmentFormats="0" applyWidthHeightFormats="1" dataCaption="Values" tag="1395335c-2faa-47d5-aefa-2e3b6844d6d4" updatedVersion="8" minRefreshableVersion="3" subtotalHiddenItems="1" rowGrandTotals="0" itemPrintTitles="1" createdVersion="8" indent="0" compact="0" compactData="0" gridDropZones="1" multipleFieldFilters="0" chartFormat="12" rowHeaderCaption="Month/Date">
  <location ref="AL5:AP185" firstHeaderRow="1" firstDataRow="2" firstDataCol="2"/>
  <pivotFields count="6">
    <pivotField axis="axisRow" compact="0" allDrilled="1" outline="0" subtotalTop="0" showAll="0" dataSourceSort="1" defaultSubtotal="0" defaultAttributeDrillState="1">
      <items count="6">
        <item x="0"/>
        <item x="1"/>
        <item x="2"/>
        <item x="3"/>
        <item x="4"/>
        <item x="5"/>
      </items>
    </pivotField>
    <pivotField axis="axisRow" compact="0" allDrilled="1" outline="0" subtotalTop="0" showAll="0" dataSourceSort="1" defaultSubtotal="0" defaultAttributeDrillState="1">
      <items count="1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s>
    </pivotField>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2">
    <field x="0"/>
    <field x="1"/>
  </rowFields>
  <rowItems count="179">
    <i>
      <x/>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x v="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x v="2"/>
      <x v="59"/>
    </i>
    <i r="1">
      <x v="60"/>
    </i>
    <i r="1">
      <x v="61"/>
    </i>
    <i r="1">
      <x v="62"/>
    </i>
    <i r="1">
      <x v="63"/>
    </i>
    <i r="1">
      <x v="64"/>
    </i>
    <i r="1">
      <x v="65"/>
    </i>
    <i r="1">
      <x v="66"/>
    </i>
    <i r="1">
      <x v="67"/>
    </i>
    <i r="1">
      <x v="68"/>
    </i>
    <i r="1">
      <x v="69"/>
    </i>
    <i r="1">
      <x v="70"/>
    </i>
    <i r="1">
      <x v="71"/>
    </i>
    <i r="1">
      <x v="72"/>
    </i>
    <i r="1">
      <x v="73"/>
    </i>
    <i r="1">
      <x v="74"/>
    </i>
    <i r="1">
      <x v="75"/>
    </i>
    <i r="1">
      <x v="76"/>
    </i>
    <i r="1">
      <x v="77"/>
    </i>
    <i r="1">
      <x v="78"/>
    </i>
    <i r="1">
      <x v="79"/>
    </i>
    <i r="1">
      <x v="80"/>
    </i>
    <i r="1">
      <x v="81"/>
    </i>
    <i r="1">
      <x v="82"/>
    </i>
    <i r="1">
      <x v="83"/>
    </i>
    <i r="1">
      <x v="84"/>
    </i>
    <i r="1">
      <x v="85"/>
    </i>
    <i r="1">
      <x v="86"/>
    </i>
    <i r="1">
      <x v="87"/>
    </i>
    <i r="1">
      <x v="88"/>
    </i>
    <i r="1">
      <x v="89"/>
    </i>
    <i>
      <x v="3"/>
      <x v="90"/>
    </i>
    <i r="1">
      <x v="91"/>
    </i>
    <i r="1">
      <x v="92"/>
    </i>
    <i r="1">
      <x v="93"/>
    </i>
    <i r="1">
      <x v="94"/>
    </i>
    <i r="1">
      <x v="95"/>
    </i>
    <i r="1">
      <x v="96"/>
    </i>
    <i r="1">
      <x v="97"/>
    </i>
    <i r="1">
      <x v="98"/>
    </i>
    <i r="1">
      <x v="99"/>
    </i>
    <i r="1">
      <x v="100"/>
    </i>
    <i r="1">
      <x v="101"/>
    </i>
    <i r="1">
      <x v="102"/>
    </i>
    <i r="1">
      <x v="103"/>
    </i>
    <i r="1">
      <x v="104"/>
    </i>
    <i r="1">
      <x v="105"/>
    </i>
    <i r="1">
      <x v="106"/>
    </i>
    <i r="1">
      <x v="107"/>
    </i>
    <i r="1">
      <x v="108"/>
    </i>
    <i r="1">
      <x v="109"/>
    </i>
    <i r="1">
      <x v="110"/>
    </i>
    <i r="1">
      <x v="111"/>
    </i>
    <i r="1">
      <x v="112"/>
    </i>
    <i r="1">
      <x v="113"/>
    </i>
    <i r="1">
      <x v="114"/>
    </i>
    <i r="1">
      <x v="115"/>
    </i>
    <i r="1">
      <x v="116"/>
    </i>
    <i r="1">
      <x v="117"/>
    </i>
    <i r="1">
      <x v="118"/>
    </i>
    <i>
      <x v="4"/>
      <x v="119"/>
    </i>
    <i r="1">
      <x v="120"/>
    </i>
    <i r="1">
      <x v="121"/>
    </i>
    <i r="1">
      <x v="122"/>
    </i>
    <i r="1">
      <x v="123"/>
    </i>
    <i r="1">
      <x v="124"/>
    </i>
    <i r="1">
      <x v="125"/>
    </i>
    <i r="1">
      <x v="126"/>
    </i>
    <i r="1">
      <x v="127"/>
    </i>
    <i r="1">
      <x v="128"/>
    </i>
    <i r="1">
      <x v="129"/>
    </i>
    <i r="1">
      <x v="130"/>
    </i>
    <i r="1">
      <x v="131"/>
    </i>
    <i r="1">
      <x v="132"/>
    </i>
    <i r="1">
      <x v="133"/>
    </i>
    <i r="1">
      <x v="134"/>
    </i>
    <i r="1">
      <x v="135"/>
    </i>
    <i r="1">
      <x v="136"/>
    </i>
    <i r="1">
      <x v="137"/>
    </i>
    <i r="1">
      <x v="138"/>
    </i>
    <i r="1">
      <x v="139"/>
    </i>
    <i r="1">
      <x v="140"/>
    </i>
    <i r="1">
      <x v="141"/>
    </i>
    <i r="1">
      <x v="142"/>
    </i>
    <i r="1">
      <x v="143"/>
    </i>
    <i r="1">
      <x v="144"/>
    </i>
    <i r="1">
      <x v="145"/>
    </i>
    <i r="1">
      <x v="146"/>
    </i>
    <i r="1">
      <x v="147"/>
    </i>
    <i r="1">
      <x v="148"/>
    </i>
    <i>
      <x v="5"/>
      <x v="149"/>
    </i>
    <i r="1">
      <x v="150"/>
    </i>
    <i r="1">
      <x v="151"/>
    </i>
    <i r="1">
      <x v="152"/>
    </i>
    <i r="1">
      <x v="153"/>
    </i>
    <i r="1">
      <x v="154"/>
    </i>
    <i r="1">
      <x v="155"/>
    </i>
    <i r="1">
      <x v="156"/>
    </i>
    <i r="1">
      <x v="157"/>
    </i>
    <i r="1">
      <x v="158"/>
    </i>
    <i r="1">
      <x v="159"/>
    </i>
    <i r="1">
      <x v="160"/>
    </i>
    <i r="1">
      <x v="161"/>
    </i>
    <i r="1">
      <x v="162"/>
    </i>
    <i r="1">
      <x v="163"/>
    </i>
    <i r="1">
      <x v="164"/>
    </i>
    <i r="1">
      <x v="165"/>
    </i>
    <i r="1">
      <x v="166"/>
    </i>
    <i r="1">
      <x v="167"/>
    </i>
    <i r="1">
      <x v="168"/>
    </i>
    <i r="1">
      <x v="169"/>
    </i>
    <i r="1">
      <x v="170"/>
    </i>
    <i r="1">
      <x v="171"/>
    </i>
    <i r="1">
      <x v="172"/>
    </i>
    <i r="1">
      <x v="173"/>
    </i>
    <i r="1">
      <x v="174"/>
    </i>
    <i r="1">
      <x v="175"/>
    </i>
    <i r="1">
      <x v="176"/>
    </i>
    <i r="1">
      <x v="177"/>
    </i>
    <i r="1">
      <x v="178"/>
    </i>
  </rowItems>
  <colFields count="1">
    <field x="-2"/>
  </colFields>
  <colItems count="3">
    <i>
      <x/>
    </i>
    <i i="1">
      <x v="1"/>
    </i>
    <i i="2">
      <x v="2"/>
    </i>
  </colItems>
  <dataFields count="3">
    <dataField name="Sales" fld="2" baseField="0" baseItem="0"/>
    <dataField name="Profit" fld="3" baseField="0" baseItem="0"/>
    <dataField name="Sold Quantity" fld="4" baseField="0" baseItem="0"/>
  </dataFields>
  <formats count="156">
    <format dxfId="567">
      <pivotArea type="all" dataOnly="0" outline="0" fieldPosition="0"/>
    </format>
    <format dxfId="566">
      <pivotArea outline="0" collapsedLevelsAreSubtotals="1" fieldPosition="0"/>
    </format>
    <format dxfId="565">
      <pivotArea type="origin" dataOnly="0" labelOnly="1" outline="0" fieldPosition="0"/>
    </format>
    <format dxfId="564">
      <pivotArea field="-2" type="button" dataOnly="0" labelOnly="1" outline="0" axis="axisCol" fieldPosition="0"/>
    </format>
    <format dxfId="563">
      <pivotArea type="topRight" dataOnly="0" labelOnly="1" outline="0" fieldPosition="0"/>
    </format>
    <format dxfId="562">
      <pivotArea field="0" type="button" dataOnly="0" labelOnly="1" outline="0" axis="axisRow" fieldPosition="0"/>
    </format>
    <format dxfId="561">
      <pivotArea field="1" type="button" dataOnly="0" labelOnly="1" outline="0" axis="axisRow" fieldPosition="1"/>
    </format>
    <format dxfId="560">
      <pivotArea dataOnly="0" labelOnly="1" outline="0" fieldPosition="0">
        <references count="1">
          <reference field="0" count="0"/>
        </references>
      </pivotArea>
    </format>
    <format dxfId="559">
      <pivotArea dataOnly="0" labelOnly="1" grandRow="1" outline="0" fieldPosition="0"/>
    </format>
    <format dxfId="558">
      <pivotArea dataOnly="0" labelOnly="1" outline="0" fieldPosition="0">
        <references count="2">
          <reference field="0" count="1" selected="0">
            <x v="0"/>
          </reference>
          <reference field="1" count="31">
            <x v="0"/>
            <x v="1"/>
            <x v="2"/>
            <x v="3"/>
            <x v="4"/>
            <x v="5"/>
            <x v="6"/>
            <x v="7"/>
            <x v="8"/>
            <x v="9"/>
            <x v="10"/>
            <x v="11"/>
            <x v="12"/>
            <x v="13"/>
            <x v="14"/>
            <x v="15"/>
            <x v="16"/>
            <x v="17"/>
            <x v="18"/>
            <x v="19"/>
            <x v="20"/>
            <x v="21"/>
            <x v="22"/>
            <x v="23"/>
            <x v="24"/>
            <x v="25"/>
            <x v="26"/>
            <x v="27"/>
            <x v="28"/>
            <x v="29"/>
            <x v="30"/>
          </reference>
        </references>
      </pivotArea>
    </format>
    <format dxfId="557">
      <pivotArea dataOnly="0" labelOnly="1" outline="0" fieldPosition="0">
        <references count="2">
          <reference field="0" count="1" selected="0">
            <x v="1"/>
          </reference>
          <reference field="1" count="28">
            <x v="31"/>
            <x v="32"/>
            <x v="33"/>
            <x v="34"/>
            <x v="35"/>
            <x v="36"/>
            <x v="37"/>
            <x v="38"/>
            <x v="39"/>
            <x v="40"/>
            <x v="41"/>
            <x v="42"/>
            <x v="43"/>
            <x v="44"/>
            <x v="45"/>
            <x v="46"/>
            <x v="47"/>
            <x v="48"/>
            <x v="49"/>
            <x v="50"/>
            <x v="51"/>
            <x v="52"/>
            <x v="53"/>
            <x v="54"/>
            <x v="55"/>
            <x v="56"/>
            <x v="57"/>
            <x v="58"/>
          </reference>
        </references>
      </pivotArea>
    </format>
    <format dxfId="556">
      <pivotArea dataOnly="0" labelOnly="1" outline="0" fieldPosition="0">
        <references count="2">
          <reference field="0" count="1" selected="0">
            <x v="2"/>
          </reference>
          <reference field="1" count="31">
            <x v="59"/>
            <x v="60"/>
            <x v="61"/>
            <x v="62"/>
            <x v="63"/>
            <x v="64"/>
            <x v="65"/>
            <x v="66"/>
            <x v="67"/>
            <x v="68"/>
            <x v="69"/>
            <x v="70"/>
            <x v="71"/>
            <x v="72"/>
            <x v="73"/>
            <x v="74"/>
            <x v="75"/>
            <x v="76"/>
            <x v="77"/>
            <x v="78"/>
            <x v="79"/>
            <x v="80"/>
            <x v="81"/>
            <x v="82"/>
            <x v="83"/>
            <x v="84"/>
            <x v="85"/>
            <x v="86"/>
            <x v="87"/>
            <x v="88"/>
            <x v="89"/>
          </reference>
        </references>
      </pivotArea>
    </format>
    <format dxfId="555">
      <pivotArea dataOnly="0" labelOnly="1" outline="0" fieldPosition="0">
        <references count="2">
          <reference field="0" count="1" selected="0">
            <x v="3"/>
          </reference>
          <reference field="1" count="29">
            <x v="90"/>
            <x v="91"/>
            <x v="92"/>
            <x v="93"/>
            <x v="94"/>
            <x v="95"/>
            <x v="96"/>
            <x v="97"/>
            <x v="98"/>
            <x v="99"/>
            <x v="100"/>
            <x v="101"/>
            <x v="102"/>
            <x v="103"/>
            <x v="104"/>
            <x v="105"/>
            <x v="106"/>
            <x v="107"/>
            <x v="108"/>
            <x v="109"/>
            <x v="110"/>
            <x v="111"/>
            <x v="112"/>
            <x v="113"/>
            <x v="114"/>
            <x v="115"/>
            <x v="116"/>
            <x v="117"/>
            <x v="118"/>
          </reference>
        </references>
      </pivotArea>
    </format>
    <format dxfId="554">
      <pivotArea dataOnly="0" labelOnly="1" outline="0" fieldPosition="0">
        <references count="2">
          <reference field="0" count="1" selected="0">
            <x v="4"/>
          </reference>
          <reference field="1" count="30">
            <x v="119"/>
            <x v="120"/>
            <x v="121"/>
            <x v="122"/>
            <x v="123"/>
            <x v="124"/>
            <x v="125"/>
            <x v="126"/>
            <x v="127"/>
            <x v="128"/>
            <x v="129"/>
            <x v="130"/>
            <x v="131"/>
            <x v="132"/>
            <x v="133"/>
            <x v="134"/>
            <x v="135"/>
            <x v="136"/>
            <x v="137"/>
            <x v="138"/>
            <x v="139"/>
            <x v="140"/>
            <x v="141"/>
            <x v="142"/>
            <x v="143"/>
            <x v="144"/>
            <x v="145"/>
            <x v="146"/>
            <x v="147"/>
            <x v="148"/>
          </reference>
        </references>
      </pivotArea>
    </format>
    <format dxfId="553">
      <pivotArea dataOnly="0" labelOnly="1" outline="0" fieldPosition="0">
        <references count="2">
          <reference field="0" count="1" selected="0">
            <x v="5"/>
          </reference>
          <reference field="1" count="30">
            <x v="149"/>
            <x v="150"/>
            <x v="151"/>
            <x v="152"/>
            <x v="153"/>
            <x v="154"/>
            <x v="155"/>
            <x v="156"/>
            <x v="157"/>
            <x v="158"/>
            <x v="159"/>
            <x v="160"/>
            <x v="161"/>
            <x v="162"/>
            <x v="163"/>
            <x v="164"/>
            <x v="165"/>
            <x v="166"/>
            <x v="167"/>
            <x v="168"/>
            <x v="169"/>
            <x v="170"/>
            <x v="171"/>
            <x v="172"/>
            <x v="173"/>
            <x v="174"/>
            <x v="175"/>
            <x v="176"/>
            <x v="177"/>
            <x v="178"/>
          </reference>
        </references>
      </pivotArea>
    </format>
    <format dxfId="552">
      <pivotArea dataOnly="0" labelOnly="1" outline="0" fieldPosition="0">
        <references count="1">
          <reference field="4294967294" count="3">
            <x v="0"/>
            <x v="1"/>
            <x v="2"/>
          </reference>
        </references>
      </pivotArea>
    </format>
    <format dxfId="551">
      <pivotArea type="all" dataOnly="0" outline="0" fieldPosition="0"/>
    </format>
    <format dxfId="550">
      <pivotArea outline="0" collapsedLevelsAreSubtotals="1" fieldPosition="0"/>
    </format>
    <format dxfId="549">
      <pivotArea type="origin" dataOnly="0" labelOnly="1" outline="0" fieldPosition="0"/>
    </format>
    <format dxfId="548">
      <pivotArea field="-2" type="button" dataOnly="0" labelOnly="1" outline="0" axis="axisCol" fieldPosition="0"/>
    </format>
    <format dxfId="547">
      <pivotArea type="topRight" dataOnly="0" labelOnly="1" outline="0" fieldPosition="0"/>
    </format>
    <format dxfId="546">
      <pivotArea field="0" type="button" dataOnly="0" labelOnly="1" outline="0" axis="axisRow" fieldPosition="0"/>
    </format>
    <format dxfId="545">
      <pivotArea field="1" type="button" dataOnly="0" labelOnly="1" outline="0" axis="axisRow" fieldPosition="1"/>
    </format>
    <format dxfId="544">
      <pivotArea dataOnly="0" labelOnly="1" outline="0" fieldPosition="0">
        <references count="1">
          <reference field="0" count="0"/>
        </references>
      </pivotArea>
    </format>
    <format dxfId="543">
      <pivotArea dataOnly="0" labelOnly="1" grandRow="1" outline="0" fieldPosition="0"/>
    </format>
    <format dxfId="542">
      <pivotArea dataOnly="0" labelOnly="1" outline="0" fieldPosition="0">
        <references count="2">
          <reference field="0" count="1" selected="0">
            <x v="0"/>
          </reference>
          <reference field="1" count="31">
            <x v="0"/>
            <x v="1"/>
            <x v="2"/>
            <x v="3"/>
            <x v="4"/>
            <x v="5"/>
            <x v="6"/>
            <x v="7"/>
            <x v="8"/>
            <x v="9"/>
            <x v="10"/>
            <x v="11"/>
            <x v="12"/>
            <x v="13"/>
            <x v="14"/>
            <x v="15"/>
            <x v="16"/>
            <x v="17"/>
            <x v="18"/>
            <x v="19"/>
            <x v="20"/>
            <x v="21"/>
            <x v="22"/>
            <x v="23"/>
            <x v="24"/>
            <x v="25"/>
            <x v="26"/>
            <x v="27"/>
            <x v="28"/>
            <x v="29"/>
            <x v="30"/>
          </reference>
        </references>
      </pivotArea>
    </format>
    <format dxfId="541">
      <pivotArea dataOnly="0" labelOnly="1" outline="0" fieldPosition="0">
        <references count="2">
          <reference field="0" count="1" selected="0">
            <x v="1"/>
          </reference>
          <reference field="1" count="28">
            <x v="31"/>
            <x v="32"/>
            <x v="33"/>
            <x v="34"/>
            <x v="35"/>
            <x v="36"/>
            <x v="37"/>
            <x v="38"/>
            <x v="39"/>
            <x v="40"/>
            <x v="41"/>
            <x v="42"/>
            <x v="43"/>
            <x v="44"/>
            <x v="45"/>
            <x v="46"/>
            <x v="47"/>
            <x v="48"/>
            <x v="49"/>
            <x v="50"/>
            <x v="51"/>
            <x v="52"/>
            <x v="53"/>
            <x v="54"/>
            <x v="55"/>
            <x v="56"/>
            <x v="57"/>
            <x v="58"/>
          </reference>
        </references>
      </pivotArea>
    </format>
    <format dxfId="540">
      <pivotArea dataOnly="0" labelOnly="1" outline="0" fieldPosition="0">
        <references count="2">
          <reference field="0" count="1" selected="0">
            <x v="2"/>
          </reference>
          <reference field="1" count="31">
            <x v="59"/>
            <x v="60"/>
            <x v="61"/>
            <x v="62"/>
            <x v="63"/>
            <x v="64"/>
            <x v="65"/>
            <x v="66"/>
            <x v="67"/>
            <x v="68"/>
            <x v="69"/>
            <x v="70"/>
            <x v="71"/>
            <x v="72"/>
            <x v="73"/>
            <x v="74"/>
            <x v="75"/>
            <x v="76"/>
            <x v="77"/>
            <x v="78"/>
            <x v="79"/>
            <x v="80"/>
            <x v="81"/>
            <x v="82"/>
            <x v="83"/>
            <x v="84"/>
            <x v="85"/>
            <x v="86"/>
            <x v="87"/>
            <x v="88"/>
            <x v="89"/>
          </reference>
        </references>
      </pivotArea>
    </format>
    <format dxfId="539">
      <pivotArea dataOnly="0" labelOnly="1" outline="0" fieldPosition="0">
        <references count="2">
          <reference field="0" count="1" selected="0">
            <x v="3"/>
          </reference>
          <reference field="1" count="29">
            <x v="90"/>
            <x v="91"/>
            <x v="92"/>
            <x v="93"/>
            <x v="94"/>
            <x v="95"/>
            <x v="96"/>
            <x v="97"/>
            <x v="98"/>
            <x v="99"/>
            <x v="100"/>
            <x v="101"/>
            <x v="102"/>
            <x v="103"/>
            <x v="104"/>
            <x v="105"/>
            <x v="106"/>
            <x v="107"/>
            <x v="108"/>
            <x v="109"/>
            <x v="110"/>
            <x v="111"/>
            <x v="112"/>
            <x v="113"/>
            <x v="114"/>
            <x v="115"/>
            <x v="116"/>
            <x v="117"/>
            <x v="118"/>
          </reference>
        </references>
      </pivotArea>
    </format>
    <format dxfId="538">
      <pivotArea dataOnly="0" labelOnly="1" outline="0" fieldPosition="0">
        <references count="2">
          <reference field="0" count="1" selected="0">
            <x v="4"/>
          </reference>
          <reference field="1" count="30">
            <x v="119"/>
            <x v="120"/>
            <x v="121"/>
            <x v="122"/>
            <x v="123"/>
            <x v="124"/>
            <x v="125"/>
            <x v="126"/>
            <x v="127"/>
            <x v="128"/>
            <x v="129"/>
            <x v="130"/>
            <x v="131"/>
            <x v="132"/>
            <x v="133"/>
            <x v="134"/>
            <x v="135"/>
            <x v="136"/>
            <x v="137"/>
            <x v="138"/>
            <x v="139"/>
            <x v="140"/>
            <x v="141"/>
            <x v="142"/>
            <x v="143"/>
            <x v="144"/>
            <x v="145"/>
            <x v="146"/>
            <x v="147"/>
            <x v="148"/>
          </reference>
        </references>
      </pivotArea>
    </format>
    <format dxfId="537">
      <pivotArea dataOnly="0" labelOnly="1" outline="0" fieldPosition="0">
        <references count="2">
          <reference field="0" count="1" selected="0">
            <x v="5"/>
          </reference>
          <reference field="1" count="30">
            <x v="149"/>
            <x v="150"/>
            <x v="151"/>
            <x v="152"/>
            <x v="153"/>
            <x v="154"/>
            <x v="155"/>
            <x v="156"/>
            <x v="157"/>
            <x v="158"/>
            <x v="159"/>
            <x v="160"/>
            <x v="161"/>
            <x v="162"/>
            <x v="163"/>
            <x v="164"/>
            <x v="165"/>
            <x v="166"/>
            <x v="167"/>
            <x v="168"/>
            <x v="169"/>
            <x v="170"/>
            <x v="171"/>
            <x v="172"/>
            <x v="173"/>
            <x v="174"/>
            <x v="175"/>
            <x v="176"/>
            <x v="177"/>
            <x v="178"/>
          </reference>
        </references>
      </pivotArea>
    </format>
    <format dxfId="536">
      <pivotArea dataOnly="0" labelOnly="1" outline="0" fieldPosition="0">
        <references count="1">
          <reference field="4294967294" count="3">
            <x v="0"/>
            <x v="1"/>
            <x v="2"/>
          </reference>
        </references>
      </pivotArea>
    </format>
    <format dxfId="535">
      <pivotArea type="all" dataOnly="0" outline="0" fieldPosition="0"/>
    </format>
    <format dxfId="534">
      <pivotArea outline="0" collapsedLevelsAreSubtotals="1" fieldPosition="0"/>
    </format>
    <format dxfId="533">
      <pivotArea field="-2" type="button" dataOnly="0" labelOnly="1" outline="0" axis="axisCol" fieldPosition="0"/>
    </format>
    <format dxfId="532">
      <pivotArea type="topRight" dataOnly="0" labelOnly="1" outline="0" fieldPosition="0"/>
    </format>
    <format dxfId="531">
      <pivotArea dataOnly="0" labelOnly="1" outline="0" fieldPosition="0">
        <references count="1">
          <reference field="0" count="0"/>
        </references>
      </pivotArea>
    </format>
    <format dxfId="530">
      <pivotArea dataOnly="0" labelOnly="1" grandRow="1" outline="0" fieldPosition="0"/>
    </format>
    <format dxfId="529">
      <pivotArea dataOnly="0" labelOnly="1" outline="0" fieldPosition="0">
        <references count="2">
          <reference field="0" count="1" selected="0">
            <x v="1"/>
          </reference>
          <reference field="1" count="28">
            <x v="31"/>
            <x v="32"/>
            <x v="33"/>
            <x v="34"/>
            <x v="35"/>
            <x v="36"/>
            <x v="37"/>
            <x v="38"/>
            <x v="39"/>
            <x v="40"/>
            <x v="41"/>
            <x v="42"/>
            <x v="43"/>
            <x v="44"/>
            <x v="45"/>
            <x v="46"/>
            <x v="47"/>
            <x v="48"/>
            <x v="49"/>
            <x v="50"/>
            <x v="51"/>
            <x v="52"/>
            <x v="53"/>
            <x v="54"/>
            <x v="55"/>
            <x v="56"/>
            <x v="57"/>
            <x v="58"/>
          </reference>
        </references>
      </pivotArea>
    </format>
    <format dxfId="528">
      <pivotArea dataOnly="0" labelOnly="1" outline="0" fieldPosition="0">
        <references count="2">
          <reference field="0" count="1" selected="0">
            <x v="2"/>
          </reference>
          <reference field="1" count="31">
            <x v="59"/>
            <x v="60"/>
            <x v="61"/>
            <x v="62"/>
            <x v="63"/>
            <x v="64"/>
            <x v="65"/>
            <x v="66"/>
            <x v="67"/>
            <x v="68"/>
            <x v="69"/>
            <x v="70"/>
            <x v="71"/>
            <x v="72"/>
            <x v="73"/>
            <x v="74"/>
            <x v="75"/>
            <x v="76"/>
            <x v="77"/>
            <x v="78"/>
            <x v="79"/>
            <x v="80"/>
            <x v="81"/>
            <x v="82"/>
            <x v="83"/>
            <x v="84"/>
            <x v="85"/>
            <x v="86"/>
            <x v="87"/>
            <x v="88"/>
            <x v="89"/>
          </reference>
        </references>
      </pivotArea>
    </format>
    <format dxfId="527">
      <pivotArea dataOnly="0" labelOnly="1" outline="0" fieldPosition="0">
        <references count="2">
          <reference field="0" count="1" selected="0">
            <x v="3"/>
          </reference>
          <reference field="1" count="29">
            <x v="90"/>
            <x v="91"/>
            <x v="92"/>
            <x v="93"/>
            <x v="94"/>
            <x v="95"/>
            <x v="96"/>
            <x v="97"/>
            <x v="98"/>
            <x v="99"/>
            <x v="100"/>
            <x v="101"/>
            <x v="102"/>
            <x v="103"/>
            <x v="104"/>
            <x v="105"/>
            <x v="106"/>
            <x v="107"/>
            <x v="108"/>
            <x v="109"/>
            <x v="110"/>
            <x v="111"/>
            <x v="112"/>
            <x v="113"/>
            <x v="114"/>
            <x v="115"/>
            <x v="116"/>
            <x v="117"/>
            <x v="118"/>
          </reference>
        </references>
      </pivotArea>
    </format>
    <format dxfId="526">
      <pivotArea dataOnly="0" labelOnly="1" outline="0" fieldPosition="0">
        <references count="2">
          <reference field="0" count="1" selected="0">
            <x v="4"/>
          </reference>
          <reference field="1" count="30">
            <x v="119"/>
            <x v="120"/>
            <x v="121"/>
            <x v="122"/>
            <x v="123"/>
            <x v="124"/>
            <x v="125"/>
            <x v="126"/>
            <x v="127"/>
            <x v="128"/>
            <x v="129"/>
            <x v="130"/>
            <x v="131"/>
            <x v="132"/>
            <x v="133"/>
            <x v="134"/>
            <x v="135"/>
            <x v="136"/>
            <x v="137"/>
            <x v="138"/>
            <x v="139"/>
            <x v="140"/>
            <x v="141"/>
            <x v="142"/>
            <x v="143"/>
            <x v="144"/>
            <x v="145"/>
            <x v="146"/>
            <x v="147"/>
            <x v="148"/>
          </reference>
        </references>
      </pivotArea>
    </format>
    <format dxfId="525">
      <pivotArea dataOnly="0" labelOnly="1" outline="0" fieldPosition="0">
        <references count="2">
          <reference field="0" count="1" selected="0">
            <x v="5"/>
          </reference>
          <reference field="1" count="30">
            <x v="149"/>
            <x v="150"/>
            <x v="151"/>
            <x v="152"/>
            <x v="153"/>
            <x v="154"/>
            <x v="155"/>
            <x v="156"/>
            <x v="157"/>
            <x v="158"/>
            <x v="159"/>
            <x v="160"/>
            <x v="161"/>
            <x v="162"/>
            <x v="163"/>
            <x v="164"/>
            <x v="165"/>
            <x v="166"/>
            <x v="167"/>
            <x v="168"/>
            <x v="169"/>
            <x v="170"/>
            <x v="171"/>
            <x v="172"/>
            <x v="173"/>
            <x v="174"/>
            <x v="175"/>
            <x v="176"/>
            <x v="177"/>
            <x v="178"/>
          </reference>
        </references>
      </pivotArea>
    </format>
    <format dxfId="524">
      <pivotArea dataOnly="0" labelOnly="1" outline="0" fieldPosition="0">
        <references count="1">
          <reference field="4294967294" count="3">
            <x v="0"/>
            <x v="1"/>
            <x v="2"/>
          </reference>
        </references>
      </pivotArea>
    </format>
    <format dxfId="523">
      <pivotArea outline="0" collapsedLevelsAreSubtotals="1" fieldPosition="0"/>
    </format>
    <format dxfId="522">
      <pivotArea field="-2" type="button" dataOnly="0" labelOnly="1" outline="0" axis="axisCol" fieldPosition="0"/>
    </format>
    <format dxfId="521">
      <pivotArea type="topRight" dataOnly="0" labelOnly="1" outline="0" fieldPosition="0"/>
    </format>
    <format dxfId="520">
      <pivotArea dataOnly="0" labelOnly="1" outline="0" fieldPosition="0">
        <references count="1">
          <reference field="4294967294" count="3">
            <x v="0"/>
            <x v="1"/>
            <x v="2"/>
          </reference>
        </references>
      </pivotArea>
    </format>
    <format dxfId="519">
      <pivotArea type="all" dataOnly="0" outline="0" fieldPosition="0"/>
    </format>
    <format dxfId="518">
      <pivotArea outline="0" collapsedLevelsAreSubtotals="1" fieldPosition="0"/>
    </format>
    <format dxfId="517">
      <pivotArea type="origin" dataOnly="0" labelOnly="1" outline="0" fieldPosition="0"/>
    </format>
    <format dxfId="516">
      <pivotArea field="-2" type="button" dataOnly="0" labelOnly="1" outline="0" axis="axisCol" fieldPosition="0"/>
    </format>
    <format dxfId="515">
      <pivotArea type="topRight" dataOnly="0" labelOnly="1" outline="0" fieldPosition="0"/>
    </format>
    <format dxfId="514">
      <pivotArea field="0" type="button" dataOnly="0" labelOnly="1" outline="0" axis="axisRow" fieldPosition="0"/>
    </format>
    <format dxfId="513">
      <pivotArea field="1" type="button" dataOnly="0" labelOnly="1" outline="0" axis="axisRow" fieldPosition="1"/>
    </format>
    <format dxfId="512">
      <pivotArea dataOnly="0" labelOnly="1" outline="0" fieldPosition="0">
        <references count="1">
          <reference field="0" count="1">
            <x v="0"/>
          </reference>
        </references>
      </pivotArea>
    </format>
    <format dxfId="511">
      <pivotArea dataOnly="0" labelOnly="1" outline="0" fieldPosition="0">
        <references count="2">
          <reference field="0" count="1" selected="0">
            <x v="0"/>
          </reference>
          <reference field="1" count="31">
            <x v="0"/>
            <x v="1"/>
            <x v="2"/>
            <x v="3"/>
            <x v="4"/>
            <x v="5"/>
            <x v="6"/>
            <x v="7"/>
            <x v="8"/>
            <x v="9"/>
            <x v="10"/>
            <x v="11"/>
            <x v="12"/>
            <x v="13"/>
            <x v="14"/>
            <x v="15"/>
            <x v="16"/>
            <x v="17"/>
            <x v="18"/>
            <x v="19"/>
            <x v="20"/>
            <x v="21"/>
            <x v="22"/>
            <x v="23"/>
            <x v="24"/>
            <x v="25"/>
            <x v="26"/>
            <x v="27"/>
            <x v="28"/>
            <x v="29"/>
            <x v="30"/>
          </reference>
        </references>
      </pivotArea>
    </format>
    <format dxfId="510">
      <pivotArea dataOnly="0" labelOnly="1" outline="0" fieldPosition="0">
        <references count="1">
          <reference field="4294967294" count="3">
            <x v="0"/>
            <x v="1"/>
            <x v="2"/>
          </reference>
        </references>
      </pivotArea>
    </format>
    <format dxfId="509">
      <pivotArea type="all" dataOnly="0" outline="0" fieldPosition="0"/>
    </format>
    <format dxfId="508">
      <pivotArea outline="0" collapsedLevelsAreSubtotals="1" fieldPosition="0"/>
    </format>
    <format dxfId="507">
      <pivotArea type="origin" dataOnly="0" labelOnly="1" outline="0" fieldPosition="0"/>
    </format>
    <format dxfId="506">
      <pivotArea field="-2" type="button" dataOnly="0" labelOnly="1" outline="0" axis="axisCol" fieldPosition="0"/>
    </format>
    <format dxfId="505">
      <pivotArea type="topRight" dataOnly="0" labelOnly="1" outline="0" fieldPosition="0"/>
    </format>
    <format dxfId="504">
      <pivotArea field="0" type="button" dataOnly="0" labelOnly="1" outline="0" axis="axisRow" fieldPosition="0"/>
    </format>
    <format dxfId="503">
      <pivotArea field="1" type="button" dataOnly="0" labelOnly="1" outline="0" axis="axisRow" fieldPosition="1"/>
    </format>
    <format dxfId="502">
      <pivotArea dataOnly="0" labelOnly="1" outline="0" fieldPosition="0">
        <references count="1">
          <reference field="0" count="1">
            <x v="0"/>
          </reference>
        </references>
      </pivotArea>
    </format>
    <format dxfId="501">
      <pivotArea dataOnly="0" labelOnly="1" outline="0" fieldPosition="0">
        <references count="2">
          <reference field="0" count="1" selected="0">
            <x v="0"/>
          </reference>
          <reference field="1" count="31">
            <x v="0"/>
            <x v="1"/>
            <x v="2"/>
            <x v="3"/>
            <x v="4"/>
            <x v="5"/>
            <x v="6"/>
            <x v="7"/>
            <x v="8"/>
            <x v="9"/>
            <x v="10"/>
            <x v="11"/>
            <x v="12"/>
            <x v="13"/>
            <x v="14"/>
            <x v="15"/>
            <x v="16"/>
            <x v="17"/>
            <x v="18"/>
            <x v="19"/>
            <x v="20"/>
            <x v="21"/>
            <x v="22"/>
            <x v="23"/>
            <x v="24"/>
            <x v="25"/>
            <x v="26"/>
            <x v="27"/>
            <x v="28"/>
            <x v="29"/>
            <x v="30"/>
          </reference>
        </references>
      </pivotArea>
    </format>
    <format dxfId="500">
      <pivotArea dataOnly="0" labelOnly="1" outline="0" fieldPosition="0">
        <references count="1">
          <reference field="4294967294" count="3">
            <x v="0"/>
            <x v="1"/>
            <x v="2"/>
          </reference>
        </references>
      </pivotArea>
    </format>
    <format dxfId="499">
      <pivotArea type="all" dataOnly="0" outline="0" fieldPosition="0"/>
    </format>
    <format dxfId="498">
      <pivotArea outline="0" collapsedLevelsAreSubtotals="1" fieldPosition="0"/>
    </format>
    <format dxfId="497">
      <pivotArea type="origin" dataOnly="0" labelOnly="1" outline="0" fieldPosition="0"/>
    </format>
    <format dxfId="496">
      <pivotArea field="-2" type="button" dataOnly="0" labelOnly="1" outline="0" axis="axisCol" fieldPosition="0"/>
    </format>
    <format dxfId="495">
      <pivotArea type="topRight" dataOnly="0" labelOnly="1" outline="0" fieldPosition="0"/>
    </format>
    <format dxfId="494">
      <pivotArea field="0" type="button" dataOnly="0" labelOnly="1" outline="0" axis="axisRow" fieldPosition="0"/>
    </format>
    <format dxfId="493">
      <pivotArea field="1" type="button" dataOnly="0" labelOnly="1" outline="0" axis="axisRow" fieldPosition="1"/>
    </format>
    <format dxfId="492">
      <pivotArea dataOnly="0" labelOnly="1" outline="0" fieldPosition="0">
        <references count="1">
          <reference field="0" count="1">
            <x v="0"/>
          </reference>
        </references>
      </pivotArea>
    </format>
    <format dxfId="491">
      <pivotArea dataOnly="0" labelOnly="1" outline="0" fieldPosition="0">
        <references count="2">
          <reference field="0" count="1" selected="0">
            <x v="0"/>
          </reference>
          <reference field="1" count="31">
            <x v="0"/>
            <x v="1"/>
            <x v="2"/>
            <x v="3"/>
            <x v="4"/>
            <x v="5"/>
            <x v="6"/>
            <x v="7"/>
            <x v="8"/>
            <x v="9"/>
            <x v="10"/>
            <x v="11"/>
            <x v="12"/>
            <x v="13"/>
            <x v="14"/>
            <x v="15"/>
            <x v="16"/>
            <x v="17"/>
            <x v="18"/>
            <x v="19"/>
            <x v="20"/>
            <x v="21"/>
            <x v="22"/>
            <x v="23"/>
            <x v="24"/>
            <x v="25"/>
            <x v="26"/>
            <x v="27"/>
            <x v="28"/>
            <x v="29"/>
            <x v="30"/>
          </reference>
        </references>
      </pivotArea>
    </format>
    <format dxfId="490">
      <pivotArea dataOnly="0" labelOnly="1" outline="0" fieldPosition="0">
        <references count="1">
          <reference field="4294967294" count="3">
            <x v="0"/>
            <x v="1"/>
            <x v="2"/>
          </reference>
        </references>
      </pivotArea>
    </format>
    <format dxfId="489">
      <pivotArea type="all" dataOnly="0" outline="0" fieldPosition="0"/>
    </format>
    <format dxfId="488">
      <pivotArea outline="0" collapsedLevelsAreSubtotals="1" fieldPosition="0"/>
    </format>
    <format dxfId="487">
      <pivotArea type="origin" dataOnly="0" labelOnly="1" outline="0" fieldPosition="0"/>
    </format>
    <format dxfId="486">
      <pivotArea field="-2" type="button" dataOnly="0" labelOnly="1" outline="0" axis="axisCol" fieldPosition="0"/>
    </format>
    <format dxfId="485">
      <pivotArea type="topRight" dataOnly="0" labelOnly="1" outline="0" fieldPosition="0"/>
    </format>
    <format dxfId="484">
      <pivotArea field="0" type="button" dataOnly="0" labelOnly="1" outline="0" axis="axisRow" fieldPosition="0"/>
    </format>
    <format dxfId="483">
      <pivotArea field="1" type="button" dataOnly="0" labelOnly="1" outline="0" axis="axisRow" fieldPosition="1"/>
    </format>
    <format dxfId="482">
      <pivotArea dataOnly="0" labelOnly="1" outline="0" fieldPosition="0">
        <references count="1">
          <reference field="0" count="0"/>
        </references>
      </pivotArea>
    </format>
    <format dxfId="481">
      <pivotArea dataOnly="0" labelOnly="1" outline="0" fieldPosition="0">
        <references count="2">
          <reference field="0" count="1" selected="0">
            <x v="0"/>
          </reference>
          <reference field="1" count="31">
            <x v="0"/>
            <x v="1"/>
            <x v="2"/>
            <x v="3"/>
            <x v="4"/>
            <x v="5"/>
            <x v="6"/>
            <x v="7"/>
            <x v="8"/>
            <x v="9"/>
            <x v="10"/>
            <x v="11"/>
            <x v="12"/>
            <x v="13"/>
            <x v="14"/>
            <x v="15"/>
            <x v="16"/>
            <x v="17"/>
            <x v="18"/>
            <x v="19"/>
            <x v="20"/>
            <x v="21"/>
            <x v="22"/>
            <x v="23"/>
            <x v="24"/>
            <x v="25"/>
            <x v="26"/>
            <x v="27"/>
            <x v="28"/>
            <x v="29"/>
            <x v="30"/>
          </reference>
        </references>
      </pivotArea>
    </format>
    <format dxfId="480">
      <pivotArea dataOnly="0" labelOnly="1" outline="0" fieldPosition="0">
        <references count="2">
          <reference field="0" count="1" selected="0">
            <x v="1"/>
          </reference>
          <reference field="1" count="28">
            <x v="31"/>
            <x v="32"/>
            <x v="33"/>
            <x v="34"/>
            <x v="35"/>
            <x v="36"/>
            <x v="37"/>
            <x v="38"/>
            <x v="39"/>
            <x v="40"/>
            <x v="41"/>
            <x v="42"/>
            <x v="43"/>
            <x v="44"/>
            <x v="45"/>
            <x v="46"/>
            <x v="47"/>
            <x v="48"/>
            <x v="49"/>
            <x v="50"/>
            <x v="51"/>
            <x v="52"/>
            <x v="53"/>
            <x v="54"/>
            <x v="55"/>
            <x v="56"/>
            <x v="57"/>
            <x v="58"/>
          </reference>
        </references>
      </pivotArea>
    </format>
    <format dxfId="479">
      <pivotArea dataOnly="0" labelOnly="1" outline="0" fieldPosition="0">
        <references count="2">
          <reference field="0" count="1" selected="0">
            <x v="2"/>
          </reference>
          <reference field="1" count="31">
            <x v="59"/>
            <x v="60"/>
            <x v="61"/>
            <x v="62"/>
            <x v="63"/>
            <x v="64"/>
            <x v="65"/>
            <x v="66"/>
            <x v="67"/>
            <x v="68"/>
            <x v="69"/>
            <x v="70"/>
            <x v="71"/>
            <x v="72"/>
            <x v="73"/>
            <x v="74"/>
            <x v="75"/>
            <x v="76"/>
            <x v="77"/>
            <x v="78"/>
            <x v="79"/>
            <x v="80"/>
            <x v="81"/>
            <x v="82"/>
            <x v="83"/>
            <x v="84"/>
            <x v="85"/>
            <x v="86"/>
            <x v="87"/>
            <x v="88"/>
            <x v="89"/>
          </reference>
        </references>
      </pivotArea>
    </format>
    <format dxfId="478">
      <pivotArea dataOnly="0" labelOnly="1" outline="0" fieldPosition="0">
        <references count="2">
          <reference field="0" count="1" selected="0">
            <x v="3"/>
          </reference>
          <reference field="1" count="29">
            <x v="90"/>
            <x v="91"/>
            <x v="92"/>
            <x v="93"/>
            <x v="94"/>
            <x v="95"/>
            <x v="96"/>
            <x v="97"/>
            <x v="98"/>
            <x v="99"/>
            <x v="100"/>
            <x v="101"/>
            <x v="102"/>
            <x v="103"/>
            <x v="104"/>
            <x v="105"/>
            <x v="106"/>
            <x v="107"/>
            <x v="108"/>
            <x v="109"/>
            <x v="110"/>
            <x v="111"/>
            <x v="112"/>
            <x v="113"/>
            <x v="114"/>
            <x v="115"/>
            <x v="116"/>
            <x v="117"/>
            <x v="118"/>
          </reference>
        </references>
      </pivotArea>
    </format>
    <format dxfId="477">
      <pivotArea dataOnly="0" labelOnly="1" outline="0" fieldPosition="0">
        <references count="2">
          <reference field="0" count="1" selected="0">
            <x v="4"/>
          </reference>
          <reference field="1" count="30">
            <x v="119"/>
            <x v="120"/>
            <x v="121"/>
            <x v="122"/>
            <x v="123"/>
            <x v="124"/>
            <x v="125"/>
            <x v="126"/>
            <x v="127"/>
            <x v="128"/>
            <x v="129"/>
            <x v="130"/>
            <x v="131"/>
            <x v="132"/>
            <x v="133"/>
            <x v="134"/>
            <x v="135"/>
            <x v="136"/>
            <x v="137"/>
            <x v="138"/>
            <x v="139"/>
            <x v="140"/>
            <x v="141"/>
            <x v="142"/>
            <x v="143"/>
            <x v="144"/>
            <x v="145"/>
            <x v="146"/>
            <x v="147"/>
            <x v="148"/>
          </reference>
        </references>
      </pivotArea>
    </format>
    <format dxfId="476">
      <pivotArea dataOnly="0" labelOnly="1" outline="0" fieldPosition="0">
        <references count="2">
          <reference field="0" count="1" selected="0">
            <x v="5"/>
          </reference>
          <reference field="1" count="30">
            <x v="149"/>
            <x v="150"/>
            <x v="151"/>
            <x v="152"/>
            <x v="153"/>
            <x v="154"/>
            <x v="155"/>
            <x v="156"/>
            <x v="157"/>
            <x v="158"/>
            <x v="159"/>
            <x v="160"/>
            <x v="161"/>
            <x v="162"/>
            <x v="163"/>
            <x v="164"/>
            <x v="165"/>
            <x v="166"/>
            <x v="167"/>
            <x v="168"/>
            <x v="169"/>
            <x v="170"/>
            <x v="171"/>
            <x v="172"/>
            <x v="173"/>
            <x v="174"/>
            <x v="175"/>
            <x v="176"/>
            <x v="177"/>
            <x v="178"/>
          </reference>
        </references>
      </pivotArea>
    </format>
    <format dxfId="475">
      <pivotArea dataOnly="0" labelOnly="1" outline="0" fieldPosition="0">
        <references count="1">
          <reference field="4294967294" count="3">
            <x v="0"/>
            <x v="1"/>
            <x v="2"/>
          </reference>
        </references>
      </pivotArea>
    </format>
    <format dxfId="474">
      <pivotArea type="all" dataOnly="0" outline="0" fieldPosition="0"/>
    </format>
    <format dxfId="473">
      <pivotArea outline="0" collapsedLevelsAreSubtotals="1" fieldPosition="0"/>
    </format>
    <format dxfId="472">
      <pivotArea type="origin" dataOnly="0" labelOnly="1" outline="0" fieldPosition="0"/>
    </format>
    <format dxfId="471">
      <pivotArea field="-2" type="button" dataOnly="0" labelOnly="1" outline="0" axis="axisCol" fieldPosition="0"/>
    </format>
    <format dxfId="470">
      <pivotArea type="topRight" dataOnly="0" labelOnly="1" outline="0" fieldPosition="0"/>
    </format>
    <format dxfId="469">
      <pivotArea field="0" type="button" dataOnly="0" labelOnly="1" outline="0" axis="axisRow" fieldPosition="0"/>
    </format>
    <format dxfId="468">
      <pivotArea field="1" type="button" dataOnly="0" labelOnly="1" outline="0" axis="axisRow" fieldPosition="1"/>
    </format>
    <format dxfId="467">
      <pivotArea dataOnly="0" labelOnly="1" outline="0" fieldPosition="0">
        <references count="1">
          <reference field="0" count="0"/>
        </references>
      </pivotArea>
    </format>
    <format dxfId="466">
      <pivotArea dataOnly="0" labelOnly="1" outline="0" fieldPosition="0">
        <references count="2">
          <reference field="0" count="1" selected="0">
            <x v="0"/>
          </reference>
          <reference field="1" count="31">
            <x v="0"/>
            <x v="1"/>
            <x v="2"/>
            <x v="3"/>
            <x v="4"/>
            <x v="5"/>
            <x v="6"/>
            <x v="7"/>
            <x v="8"/>
            <x v="9"/>
            <x v="10"/>
            <x v="11"/>
            <x v="12"/>
            <x v="13"/>
            <x v="14"/>
            <x v="15"/>
            <x v="16"/>
            <x v="17"/>
            <x v="18"/>
            <x v="19"/>
            <x v="20"/>
            <x v="21"/>
            <x v="22"/>
            <x v="23"/>
            <x v="24"/>
            <x v="25"/>
            <x v="26"/>
            <x v="27"/>
            <x v="28"/>
            <x v="29"/>
            <x v="30"/>
          </reference>
        </references>
      </pivotArea>
    </format>
    <format dxfId="465">
      <pivotArea dataOnly="0" labelOnly="1" outline="0" fieldPosition="0">
        <references count="2">
          <reference field="0" count="1" selected="0">
            <x v="1"/>
          </reference>
          <reference field="1" count="28">
            <x v="31"/>
            <x v="32"/>
            <x v="33"/>
            <x v="34"/>
            <x v="35"/>
            <x v="36"/>
            <x v="37"/>
            <x v="38"/>
            <x v="39"/>
            <x v="40"/>
            <x v="41"/>
            <x v="42"/>
            <x v="43"/>
            <x v="44"/>
            <x v="45"/>
            <x v="46"/>
            <x v="47"/>
            <x v="48"/>
            <x v="49"/>
            <x v="50"/>
            <x v="51"/>
            <x v="52"/>
            <x v="53"/>
            <x v="54"/>
            <x v="55"/>
            <x v="56"/>
            <x v="57"/>
            <x v="58"/>
          </reference>
        </references>
      </pivotArea>
    </format>
    <format dxfId="464">
      <pivotArea dataOnly="0" labelOnly="1" outline="0" fieldPosition="0">
        <references count="2">
          <reference field="0" count="1" selected="0">
            <x v="2"/>
          </reference>
          <reference field="1" count="31">
            <x v="59"/>
            <x v="60"/>
            <x v="61"/>
            <x v="62"/>
            <x v="63"/>
            <x v="64"/>
            <x v="65"/>
            <x v="66"/>
            <x v="67"/>
            <x v="68"/>
            <x v="69"/>
            <x v="70"/>
            <x v="71"/>
            <x v="72"/>
            <x v="73"/>
            <x v="74"/>
            <x v="75"/>
            <x v="76"/>
            <x v="77"/>
            <x v="78"/>
            <x v="79"/>
            <x v="80"/>
            <x v="81"/>
            <x v="82"/>
            <x v="83"/>
            <x v="84"/>
            <x v="85"/>
            <x v="86"/>
            <x v="87"/>
            <x v="88"/>
            <x v="89"/>
          </reference>
        </references>
      </pivotArea>
    </format>
    <format dxfId="463">
      <pivotArea dataOnly="0" labelOnly="1" outline="0" fieldPosition="0">
        <references count="2">
          <reference field="0" count="1" selected="0">
            <x v="3"/>
          </reference>
          <reference field="1" count="29">
            <x v="90"/>
            <x v="91"/>
            <x v="92"/>
            <x v="93"/>
            <x v="94"/>
            <x v="95"/>
            <x v="96"/>
            <x v="97"/>
            <x v="98"/>
            <x v="99"/>
            <x v="100"/>
            <x v="101"/>
            <x v="102"/>
            <x v="103"/>
            <x v="104"/>
            <x v="105"/>
            <x v="106"/>
            <x v="107"/>
            <x v="108"/>
            <x v="109"/>
            <x v="110"/>
            <x v="111"/>
            <x v="112"/>
            <x v="113"/>
            <x v="114"/>
            <x v="115"/>
            <x v="116"/>
            <x v="117"/>
            <x v="118"/>
          </reference>
        </references>
      </pivotArea>
    </format>
    <format dxfId="462">
      <pivotArea dataOnly="0" labelOnly="1" outline="0" fieldPosition="0">
        <references count="2">
          <reference field="0" count="1" selected="0">
            <x v="4"/>
          </reference>
          <reference field="1" count="30">
            <x v="119"/>
            <x v="120"/>
            <x v="121"/>
            <x v="122"/>
            <x v="123"/>
            <x v="124"/>
            <x v="125"/>
            <x v="126"/>
            <x v="127"/>
            <x v="128"/>
            <x v="129"/>
            <x v="130"/>
            <x v="131"/>
            <x v="132"/>
            <x v="133"/>
            <x v="134"/>
            <x v="135"/>
            <x v="136"/>
            <x v="137"/>
            <x v="138"/>
            <x v="139"/>
            <x v="140"/>
            <x v="141"/>
            <x v="142"/>
            <x v="143"/>
            <x v="144"/>
            <x v="145"/>
            <x v="146"/>
            <x v="147"/>
            <x v="148"/>
          </reference>
        </references>
      </pivotArea>
    </format>
    <format dxfId="461">
      <pivotArea dataOnly="0" labelOnly="1" outline="0" fieldPosition="0">
        <references count="2">
          <reference field="0" count="1" selected="0">
            <x v="5"/>
          </reference>
          <reference field="1" count="30">
            <x v="149"/>
            <x v="150"/>
            <x v="151"/>
            <x v="152"/>
            <x v="153"/>
            <x v="154"/>
            <x v="155"/>
            <x v="156"/>
            <x v="157"/>
            <x v="158"/>
            <x v="159"/>
            <x v="160"/>
            <x v="161"/>
            <x v="162"/>
            <x v="163"/>
            <x v="164"/>
            <x v="165"/>
            <x v="166"/>
            <x v="167"/>
            <x v="168"/>
            <x v="169"/>
            <x v="170"/>
            <x v="171"/>
            <x v="172"/>
            <x v="173"/>
            <x v="174"/>
            <x v="175"/>
            <x v="176"/>
            <x v="177"/>
            <x v="178"/>
          </reference>
        </references>
      </pivotArea>
    </format>
    <format dxfId="460">
      <pivotArea dataOnly="0" labelOnly="1" outline="0" fieldPosition="0">
        <references count="1">
          <reference field="4294967294" count="3">
            <x v="0"/>
            <x v="1"/>
            <x v="2"/>
          </reference>
        </references>
      </pivotArea>
    </format>
    <format dxfId="459">
      <pivotArea type="all" dataOnly="0" outline="0" fieldPosition="0"/>
    </format>
    <format dxfId="458">
      <pivotArea outline="0" collapsedLevelsAreSubtotals="1" fieldPosition="0"/>
    </format>
    <format dxfId="457">
      <pivotArea type="origin" dataOnly="0" labelOnly="1" outline="0" fieldPosition="0"/>
    </format>
    <format dxfId="456">
      <pivotArea field="-2" type="button" dataOnly="0" labelOnly="1" outline="0" axis="axisCol" fieldPosition="0"/>
    </format>
    <format dxfId="455">
      <pivotArea type="topRight" dataOnly="0" labelOnly="1" outline="0" fieldPosition="0"/>
    </format>
    <format dxfId="454">
      <pivotArea field="0" type="button" dataOnly="0" labelOnly="1" outline="0" axis="axisRow" fieldPosition="0"/>
    </format>
    <format dxfId="453">
      <pivotArea field="1" type="button" dataOnly="0" labelOnly="1" outline="0" axis="axisRow" fieldPosition="1"/>
    </format>
    <format dxfId="452">
      <pivotArea dataOnly="0" labelOnly="1" outline="0" fieldPosition="0">
        <references count="1">
          <reference field="0" count="0"/>
        </references>
      </pivotArea>
    </format>
    <format dxfId="451">
      <pivotArea dataOnly="0" labelOnly="1" outline="0" fieldPosition="0">
        <references count="2">
          <reference field="0" count="1" selected="0">
            <x v="0"/>
          </reference>
          <reference field="1" count="31">
            <x v="0"/>
            <x v="1"/>
            <x v="2"/>
            <x v="3"/>
            <x v="4"/>
            <x v="5"/>
            <x v="6"/>
            <x v="7"/>
            <x v="8"/>
            <x v="9"/>
            <x v="10"/>
            <x v="11"/>
            <x v="12"/>
            <x v="13"/>
            <x v="14"/>
            <x v="15"/>
            <x v="16"/>
            <x v="17"/>
            <x v="18"/>
            <x v="19"/>
            <x v="20"/>
            <x v="21"/>
            <x v="22"/>
            <x v="23"/>
            <x v="24"/>
            <x v="25"/>
            <x v="26"/>
            <x v="27"/>
            <x v="28"/>
            <x v="29"/>
            <x v="30"/>
          </reference>
        </references>
      </pivotArea>
    </format>
    <format dxfId="450">
      <pivotArea dataOnly="0" labelOnly="1" outline="0" fieldPosition="0">
        <references count="2">
          <reference field="0" count="1" selected="0">
            <x v="1"/>
          </reference>
          <reference field="1" count="28">
            <x v="31"/>
            <x v="32"/>
            <x v="33"/>
            <x v="34"/>
            <x v="35"/>
            <x v="36"/>
            <x v="37"/>
            <x v="38"/>
            <x v="39"/>
            <x v="40"/>
            <x v="41"/>
            <x v="42"/>
            <x v="43"/>
            <x v="44"/>
            <x v="45"/>
            <x v="46"/>
            <x v="47"/>
            <x v="48"/>
            <x v="49"/>
            <x v="50"/>
            <x v="51"/>
            <x v="52"/>
            <x v="53"/>
            <x v="54"/>
            <x v="55"/>
            <x v="56"/>
            <x v="57"/>
            <x v="58"/>
          </reference>
        </references>
      </pivotArea>
    </format>
    <format dxfId="449">
      <pivotArea dataOnly="0" labelOnly="1" outline="0" fieldPosition="0">
        <references count="2">
          <reference field="0" count="1" selected="0">
            <x v="2"/>
          </reference>
          <reference field="1" count="31">
            <x v="59"/>
            <x v="60"/>
            <x v="61"/>
            <x v="62"/>
            <x v="63"/>
            <x v="64"/>
            <x v="65"/>
            <x v="66"/>
            <x v="67"/>
            <x v="68"/>
            <x v="69"/>
            <x v="70"/>
            <x v="71"/>
            <x v="72"/>
            <x v="73"/>
            <x v="74"/>
            <x v="75"/>
            <x v="76"/>
            <x v="77"/>
            <x v="78"/>
            <x v="79"/>
            <x v="80"/>
            <x v="81"/>
            <x v="82"/>
            <x v="83"/>
            <x v="84"/>
            <x v="85"/>
            <x v="86"/>
            <x v="87"/>
            <x v="88"/>
            <x v="89"/>
          </reference>
        </references>
      </pivotArea>
    </format>
    <format dxfId="448">
      <pivotArea dataOnly="0" labelOnly="1" outline="0" fieldPosition="0">
        <references count="2">
          <reference field="0" count="1" selected="0">
            <x v="3"/>
          </reference>
          <reference field="1" count="29">
            <x v="90"/>
            <x v="91"/>
            <x v="92"/>
            <x v="93"/>
            <x v="94"/>
            <x v="95"/>
            <x v="96"/>
            <x v="97"/>
            <x v="98"/>
            <x v="99"/>
            <x v="100"/>
            <x v="101"/>
            <x v="102"/>
            <x v="103"/>
            <x v="104"/>
            <x v="105"/>
            <x v="106"/>
            <x v="107"/>
            <x v="108"/>
            <x v="109"/>
            <x v="110"/>
            <x v="111"/>
            <x v="112"/>
            <x v="113"/>
            <x v="114"/>
            <x v="115"/>
            <x v="116"/>
            <x v="117"/>
            <x v="118"/>
          </reference>
        </references>
      </pivotArea>
    </format>
    <format dxfId="447">
      <pivotArea dataOnly="0" labelOnly="1" outline="0" fieldPosition="0">
        <references count="2">
          <reference field="0" count="1" selected="0">
            <x v="4"/>
          </reference>
          <reference field="1" count="30">
            <x v="119"/>
            <x v="120"/>
            <x v="121"/>
            <x v="122"/>
            <x v="123"/>
            <x v="124"/>
            <x v="125"/>
            <x v="126"/>
            <x v="127"/>
            <x v="128"/>
            <x v="129"/>
            <x v="130"/>
            <x v="131"/>
            <x v="132"/>
            <x v="133"/>
            <x v="134"/>
            <x v="135"/>
            <x v="136"/>
            <x v="137"/>
            <x v="138"/>
            <x v="139"/>
            <x v="140"/>
            <x v="141"/>
            <x v="142"/>
            <x v="143"/>
            <x v="144"/>
            <x v="145"/>
            <x v="146"/>
            <x v="147"/>
            <x v="148"/>
          </reference>
        </references>
      </pivotArea>
    </format>
    <format dxfId="446">
      <pivotArea dataOnly="0" labelOnly="1" outline="0" fieldPosition="0">
        <references count="2">
          <reference field="0" count="1" selected="0">
            <x v="5"/>
          </reference>
          <reference field="1" count="30">
            <x v="149"/>
            <x v="150"/>
            <x v="151"/>
            <x v="152"/>
            <x v="153"/>
            <x v="154"/>
            <x v="155"/>
            <x v="156"/>
            <x v="157"/>
            <x v="158"/>
            <x v="159"/>
            <x v="160"/>
            <x v="161"/>
            <x v="162"/>
            <x v="163"/>
            <x v="164"/>
            <x v="165"/>
            <x v="166"/>
            <x v="167"/>
            <x v="168"/>
            <x v="169"/>
            <x v="170"/>
            <x v="171"/>
            <x v="172"/>
            <x v="173"/>
            <x v="174"/>
            <x v="175"/>
            <x v="176"/>
            <x v="177"/>
            <x v="178"/>
          </reference>
        </references>
      </pivotArea>
    </format>
    <format dxfId="445">
      <pivotArea dataOnly="0" labelOnly="1" outline="0" fieldPosition="0">
        <references count="1">
          <reference field="4294967294" count="3">
            <x v="0"/>
            <x v="1"/>
            <x v="2"/>
          </reference>
        </references>
      </pivotArea>
    </format>
    <format dxfId="444">
      <pivotArea outline="0" fieldPosition="0">
        <references count="2">
          <reference field="0" count="1" selected="0">
            <x v="1"/>
          </reference>
          <reference field="1" count="1" selected="0">
            <x v="40"/>
          </reference>
        </references>
      </pivotArea>
    </format>
    <format dxfId="443">
      <pivotArea outline="0" fieldPosition="0">
        <references count="2">
          <reference field="0" count="1" selected="0">
            <x v="1"/>
          </reference>
          <reference field="1" count="1" selected="0">
            <x v="40"/>
          </reference>
        </references>
      </pivotArea>
    </format>
    <format dxfId="442">
      <pivotArea outline="0" fieldPosition="0">
        <references count="2">
          <reference field="0" count="1" selected="0">
            <x v="1"/>
          </reference>
          <reference field="1" count="1" selected="0">
            <x v="40"/>
          </reference>
        </references>
      </pivotArea>
    </format>
    <format dxfId="441">
      <pivotArea type="all" dataOnly="0" outline="0" fieldPosition="0"/>
    </format>
    <format dxfId="440">
      <pivotArea outline="0" collapsedLevelsAreSubtotals="1" fieldPosition="0"/>
    </format>
    <format dxfId="439">
      <pivotArea type="origin" dataOnly="0" labelOnly="1" outline="0" fieldPosition="0"/>
    </format>
    <format dxfId="438">
      <pivotArea field="-2" type="button" dataOnly="0" labelOnly="1" outline="0" axis="axisCol" fieldPosition="0"/>
    </format>
    <format dxfId="437">
      <pivotArea type="topRight" dataOnly="0" labelOnly="1" outline="0" fieldPosition="0"/>
    </format>
    <format dxfId="436">
      <pivotArea field="0" type="button" dataOnly="0" labelOnly="1" outline="0" axis="axisRow" fieldPosition="0"/>
    </format>
    <format dxfId="435">
      <pivotArea field="1" type="button" dataOnly="0" labelOnly="1" outline="0" axis="axisRow" fieldPosition="1"/>
    </format>
    <format dxfId="434">
      <pivotArea dataOnly="0" labelOnly="1" outline="0" fieldPosition="0">
        <references count="1">
          <reference field="0" count="0"/>
        </references>
      </pivotArea>
    </format>
    <format dxfId="433">
      <pivotArea dataOnly="0" labelOnly="1" outline="0" fieldPosition="0">
        <references count="2">
          <reference field="0" count="1" selected="0">
            <x v="0"/>
          </reference>
          <reference field="1" count="31">
            <x v="0"/>
            <x v="1"/>
            <x v="2"/>
            <x v="3"/>
            <x v="4"/>
            <x v="5"/>
            <x v="6"/>
            <x v="7"/>
            <x v="8"/>
            <x v="9"/>
            <x v="10"/>
            <x v="11"/>
            <x v="12"/>
            <x v="13"/>
            <x v="14"/>
            <x v="15"/>
            <x v="16"/>
            <x v="17"/>
            <x v="18"/>
            <x v="19"/>
            <x v="20"/>
            <x v="21"/>
            <x v="22"/>
            <x v="23"/>
            <x v="24"/>
            <x v="25"/>
            <x v="26"/>
            <x v="27"/>
            <x v="28"/>
            <x v="29"/>
            <x v="30"/>
          </reference>
        </references>
      </pivotArea>
    </format>
    <format dxfId="432">
      <pivotArea dataOnly="0" labelOnly="1" outline="0" fieldPosition="0">
        <references count="2">
          <reference field="0" count="1" selected="0">
            <x v="1"/>
          </reference>
          <reference field="1" count="28">
            <x v="31"/>
            <x v="32"/>
            <x v="33"/>
            <x v="34"/>
            <x v="35"/>
            <x v="36"/>
            <x v="37"/>
            <x v="38"/>
            <x v="39"/>
            <x v="40"/>
            <x v="41"/>
            <x v="42"/>
            <x v="43"/>
            <x v="44"/>
            <x v="45"/>
            <x v="46"/>
            <x v="47"/>
            <x v="48"/>
            <x v="49"/>
            <x v="50"/>
            <x v="51"/>
            <x v="52"/>
            <x v="53"/>
            <x v="54"/>
            <x v="55"/>
            <x v="56"/>
            <x v="57"/>
            <x v="58"/>
          </reference>
        </references>
      </pivotArea>
    </format>
    <format dxfId="431">
      <pivotArea dataOnly="0" labelOnly="1" outline="0" fieldPosition="0">
        <references count="2">
          <reference field="0" count="1" selected="0">
            <x v="2"/>
          </reference>
          <reference field="1" count="31">
            <x v="59"/>
            <x v="60"/>
            <x v="61"/>
            <x v="62"/>
            <x v="63"/>
            <x v="64"/>
            <x v="65"/>
            <x v="66"/>
            <x v="67"/>
            <x v="68"/>
            <x v="69"/>
            <x v="70"/>
            <x v="71"/>
            <x v="72"/>
            <x v="73"/>
            <x v="74"/>
            <x v="75"/>
            <x v="76"/>
            <x v="77"/>
            <x v="78"/>
            <x v="79"/>
            <x v="80"/>
            <x v="81"/>
            <x v="82"/>
            <x v="83"/>
            <x v="84"/>
            <x v="85"/>
            <x v="86"/>
            <x v="87"/>
            <x v="88"/>
            <x v="89"/>
          </reference>
        </references>
      </pivotArea>
    </format>
    <format dxfId="430">
      <pivotArea dataOnly="0" labelOnly="1" outline="0" fieldPosition="0">
        <references count="2">
          <reference field="0" count="1" selected="0">
            <x v="3"/>
          </reference>
          <reference field="1" count="29">
            <x v="90"/>
            <x v="91"/>
            <x v="92"/>
            <x v="93"/>
            <x v="94"/>
            <x v="95"/>
            <x v="96"/>
            <x v="97"/>
            <x v="98"/>
            <x v="99"/>
            <x v="100"/>
            <x v="101"/>
            <x v="102"/>
            <x v="103"/>
            <x v="104"/>
            <x v="105"/>
            <x v="106"/>
            <x v="107"/>
            <x v="108"/>
            <x v="109"/>
            <x v="110"/>
            <x v="111"/>
            <x v="112"/>
            <x v="113"/>
            <x v="114"/>
            <x v="115"/>
            <x v="116"/>
            <x v="117"/>
            <x v="118"/>
          </reference>
        </references>
      </pivotArea>
    </format>
    <format dxfId="429">
      <pivotArea dataOnly="0" labelOnly="1" outline="0" fieldPosition="0">
        <references count="2">
          <reference field="0" count="1" selected="0">
            <x v="4"/>
          </reference>
          <reference field="1" count="30">
            <x v="119"/>
            <x v="120"/>
            <x v="121"/>
            <x v="122"/>
            <x v="123"/>
            <x v="124"/>
            <x v="125"/>
            <x v="126"/>
            <x v="127"/>
            <x v="128"/>
            <x v="129"/>
            <x v="130"/>
            <x v="131"/>
            <x v="132"/>
            <x v="133"/>
            <x v="134"/>
            <x v="135"/>
            <x v="136"/>
            <x v="137"/>
            <x v="138"/>
            <x v="139"/>
            <x v="140"/>
            <x v="141"/>
            <x v="142"/>
            <x v="143"/>
            <x v="144"/>
            <x v="145"/>
            <x v="146"/>
            <x v="147"/>
            <x v="148"/>
          </reference>
        </references>
      </pivotArea>
    </format>
    <format dxfId="428">
      <pivotArea dataOnly="0" labelOnly="1" outline="0" fieldPosition="0">
        <references count="2">
          <reference field="0" count="1" selected="0">
            <x v="5"/>
          </reference>
          <reference field="1" count="30">
            <x v="149"/>
            <x v="150"/>
            <x v="151"/>
            <x v="152"/>
            <x v="153"/>
            <x v="154"/>
            <x v="155"/>
            <x v="156"/>
            <x v="157"/>
            <x v="158"/>
            <x v="159"/>
            <x v="160"/>
            <x v="161"/>
            <x v="162"/>
            <x v="163"/>
            <x v="164"/>
            <x v="165"/>
            <x v="166"/>
            <x v="167"/>
            <x v="168"/>
            <x v="169"/>
            <x v="170"/>
            <x v="171"/>
            <x v="172"/>
            <x v="173"/>
            <x v="174"/>
            <x v="175"/>
            <x v="176"/>
            <x v="177"/>
            <x v="178"/>
          </reference>
        </references>
      </pivotArea>
    </format>
    <format dxfId="427">
      <pivotArea dataOnly="0" labelOnly="1" outline="0" fieldPosition="0">
        <references count="1">
          <reference field="4294967294" count="3">
            <x v="0"/>
            <x v="1"/>
            <x v="2"/>
          </reference>
        </references>
      </pivotArea>
    </format>
    <format dxfId="426">
      <pivotArea type="all" dataOnly="0" outline="0" fieldPosition="0"/>
    </format>
    <format dxfId="425">
      <pivotArea outline="0" collapsedLevelsAreSubtotals="1" fieldPosition="0"/>
    </format>
    <format dxfId="424">
      <pivotArea type="origin" dataOnly="0" labelOnly="1" outline="0" fieldPosition="0"/>
    </format>
    <format dxfId="423">
      <pivotArea field="-2" type="button" dataOnly="0" labelOnly="1" outline="0" axis="axisCol" fieldPosition="0"/>
    </format>
    <format dxfId="422">
      <pivotArea type="topRight" dataOnly="0" labelOnly="1" outline="0" fieldPosition="0"/>
    </format>
    <format dxfId="421">
      <pivotArea field="0" type="button" dataOnly="0" labelOnly="1" outline="0" axis="axisRow" fieldPosition="0"/>
    </format>
    <format dxfId="420">
      <pivotArea field="1" type="button" dataOnly="0" labelOnly="1" outline="0" axis="axisRow" fieldPosition="1"/>
    </format>
    <format dxfId="419">
      <pivotArea dataOnly="0" labelOnly="1" outline="0" fieldPosition="0">
        <references count="1">
          <reference field="0" count="0"/>
        </references>
      </pivotArea>
    </format>
    <format dxfId="418">
      <pivotArea dataOnly="0" labelOnly="1" outline="0" fieldPosition="0">
        <references count="2">
          <reference field="0" count="1" selected="0">
            <x v="0"/>
          </reference>
          <reference field="1" count="31">
            <x v="0"/>
            <x v="1"/>
            <x v="2"/>
            <x v="3"/>
            <x v="4"/>
            <x v="5"/>
            <x v="6"/>
            <x v="7"/>
            <x v="8"/>
            <x v="9"/>
            <x v="10"/>
            <x v="11"/>
            <x v="12"/>
            <x v="13"/>
            <x v="14"/>
            <x v="15"/>
            <x v="16"/>
            <x v="17"/>
            <x v="18"/>
            <x v="19"/>
            <x v="20"/>
            <x v="21"/>
            <x v="22"/>
            <x v="23"/>
            <x v="24"/>
            <x v="25"/>
            <x v="26"/>
            <x v="27"/>
            <x v="28"/>
            <x v="29"/>
            <x v="30"/>
          </reference>
        </references>
      </pivotArea>
    </format>
    <format dxfId="417">
      <pivotArea dataOnly="0" labelOnly="1" outline="0" fieldPosition="0">
        <references count="2">
          <reference field="0" count="1" selected="0">
            <x v="1"/>
          </reference>
          <reference field="1" count="28">
            <x v="31"/>
            <x v="32"/>
            <x v="33"/>
            <x v="34"/>
            <x v="35"/>
            <x v="36"/>
            <x v="37"/>
            <x v="38"/>
            <x v="39"/>
            <x v="40"/>
            <x v="41"/>
            <x v="42"/>
            <x v="43"/>
            <x v="44"/>
            <x v="45"/>
            <x v="46"/>
            <x v="47"/>
            <x v="48"/>
            <x v="49"/>
            <x v="50"/>
            <x v="51"/>
            <x v="52"/>
            <x v="53"/>
            <x v="54"/>
            <x v="55"/>
            <x v="56"/>
            <x v="57"/>
            <x v="58"/>
          </reference>
        </references>
      </pivotArea>
    </format>
    <format dxfId="416">
      <pivotArea dataOnly="0" labelOnly="1" outline="0" fieldPosition="0">
        <references count="2">
          <reference field="0" count="1" selected="0">
            <x v="2"/>
          </reference>
          <reference field="1" count="31">
            <x v="59"/>
            <x v="60"/>
            <x v="61"/>
            <x v="62"/>
            <x v="63"/>
            <x v="64"/>
            <x v="65"/>
            <x v="66"/>
            <x v="67"/>
            <x v="68"/>
            <x v="69"/>
            <x v="70"/>
            <x v="71"/>
            <x v="72"/>
            <x v="73"/>
            <x v="74"/>
            <x v="75"/>
            <x v="76"/>
            <x v="77"/>
            <x v="78"/>
            <x v="79"/>
            <x v="80"/>
            <x v="81"/>
            <x v="82"/>
            <x v="83"/>
            <x v="84"/>
            <x v="85"/>
            <x v="86"/>
            <x v="87"/>
            <x v="88"/>
            <x v="89"/>
          </reference>
        </references>
      </pivotArea>
    </format>
    <format dxfId="415">
      <pivotArea dataOnly="0" labelOnly="1" outline="0" fieldPosition="0">
        <references count="2">
          <reference field="0" count="1" selected="0">
            <x v="3"/>
          </reference>
          <reference field="1" count="29">
            <x v="90"/>
            <x v="91"/>
            <x v="92"/>
            <x v="93"/>
            <x v="94"/>
            <x v="95"/>
            <x v="96"/>
            <x v="97"/>
            <x v="98"/>
            <x v="99"/>
            <x v="100"/>
            <x v="101"/>
            <x v="102"/>
            <x v="103"/>
            <x v="104"/>
            <x v="105"/>
            <x v="106"/>
            <x v="107"/>
            <x v="108"/>
            <x v="109"/>
            <x v="110"/>
            <x v="111"/>
            <x v="112"/>
            <x v="113"/>
            <x v="114"/>
            <x v="115"/>
            <x v="116"/>
            <x v="117"/>
            <x v="118"/>
          </reference>
        </references>
      </pivotArea>
    </format>
    <format dxfId="414">
      <pivotArea dataOnly="0" labelOnly="1" outline="0" fieldPosition="0">
        <references count="2">
          <reference field="0" count="1" selected="0">
            <x v="4"/>
          </reference>
          <reference field="1" count="30">
            <x v="119"/>
            <x v="120"/>
            <x v="121"/>
            <x v="122"/>
            <x v="123"/>
            <x v="124"/>
            <x v="125"/>
            <x v="126"/>
            <x v="127"/>
            <x v="128"/>
            <x v="129"/>
            <x v="130"/>
            <x v="131"/>
            <x v="132"/>
            <x v="133"/>
            <x v="134"/>
            <x v="135"/>
            <x v="136"/>
            <x v="137"/>
            <x v="138"/>
            <x v="139"/>
            <x v="140"/>
            <x v="141"/>
            <x v="142"/>
            <x v="143"/>
            <x v="144"/>
            <x v="145"/>
            <x v="146"/>
            <x v="147"/>
            <x v="148"/>
          </reference>
        </references>
      </pivotArea>
    </format>
    <format dxfId="413">
      <pivotArea dataOnly="0" labelOnly="1" outline="0" fieldPosition="0">
        <references count="2">
          <reference field="0" count="1" selected="0">
            <x v="5"/>
          </reference>
          <reference field="1" count="30">
            <x v="149"/>
            <x v="150"/>
            <x v="151"/>
            <x v="152"/>
            <x v="153"/>
            <x v="154"/>
            <x v="155"/>
            <x v="156"/>
            <x v="157"/>
            <x v="158"/>
            <x v="159"/>
            <x v="160"/>
            <x v="161"/>
            <x v="162"/>
            <x v="163"/>
            <x v="164"/>
            <x v="165"/>
            <x v="166"/>
            <x v="167"/>
            <x v="168"/>
            <x v="169"/>
            <x v="170"/>
            <x v="171"/>
            <x v="172"/>
            <x v="173"/>
            <x v="174"/>
            <x v="175"/>
            <x v="176"/>
            <x v="177"/>
            <x v="178"/>
          </reference>
        </references>
      </pivotArea>
    </format>
    <format dxfId="412">
      <pivotArea dataOnly="0" labelOnly="1" outline="0" fieldPosition="0">
        <references count="1">
          <reference field="4294967294" count="3">
            <x v="0"/>
            <x v="1"/>
            <x v="2"/>
          </reference>
        </references>
      </pivotArea>
    </format>
  </formats>
  <chartFormats count="179">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3">
          <reference field="4294967294" count="1" selected="0">
            <x v="0"/>
          </reference>
          <reference field="0" count="1" selected="0">
            <x v="0"/>
          </reference>
          <reference field="1" count="1" selected="0">
            <x v="2"/>
          </reference>
        </references>
      </pivotArea>
    </chartFormat>
    <chartFormat chart="0" format="3" series="1">
      <pivotArea type="data" outline="0" fieldPosition="0">
        <references count="3">
          <reference field="4294967294" count="1" selected="0">
            <x v="0"/>
          </reference>
          <reference field="0" count="1" selected="0">
            <x v="0"/>
          </reference>
          <reference field="1" count="1" selected="0">
            <x v="3"/>
          </reference>
        </references>
      </pivotArea>
    </chartFormat>
    <chartFormat chart="0" format="4" series="1">
      <pivotArea type="data" outline="0" fieldPosition="0">
        <references count="3">
          <reference field="4294967294" count="1" selected="0">
            <x v="0"/>
          </reference>
          <reference field="0" count="1" selected="0">
            <x v="0"/>
          </reference>
          <reference field="1" count="1" selected="0">
            <x v="4"/>
          </reference>
        </references>
      </pivotArea>
    </chartFormat>
    <chartFormat chart="0" format="5" series="1">
      <pivotArea type="data" outline="0" fieldPosition="0">
        <references count="3">
          <reference field="4294967294" count="1" selected="0">
            <x v="0"/>
          </reference>
          <reference field="0" count="1" selected="0">
            <x v="0"/>
          </reference>
          <reference field="1" count="1" selected="0">
            <x v="5"/>
          </reference>
        </references>
      </pivotArea>
    </chartFormat>
    <chartFormat chart="0" format="6" series="1">
      <pivotArea type="data" outline="0" fieldPosition="0">
        <references count="3">
          <reference field="4294967294" count="1" selected="0">
            <x v="0"/>
          </reference>
          <reference field="0" count="1" selected="0">
            <x v="0"/>
          </reference>
          <reference field="1" count="1" selected="0">
            <x v="6"/>
          </reference>
        </references>
      </pivotArea>
    </chartFormat>
    <chartFormat chart="0" format="7" series="1">
      <pivotArea type="data" outline="0" fieldPosition="0">
        <references count="3">
          <reference field="4294967294" count="1" selected="0">
            <x v="0"/>
          </reference>
          <reference field="0" count="1" selected="0">
            <x v="0"/>
          </reference>
          <reference field="1" count="1" selected="0">
            <x v="7"/>
          </reference>
        </references>
      </pivotArea>
    </chartFormat>
    <chartFormat chart="0" format="8" series="1">
      <pivotArea type="data" outline="0" fieldPosition="0">
        <references count="3">
          <reference field="4294967294" count="1" selected="0">
            <x v="0"/>
          </reference>
          <reference field="0" count="1" selected="0">
            <x v="0"/>
          </reference>
          <reference field="1" count="1" selected="0">
            <x v="8"/>
          </reference>
        </references>
      </pivotArea>
    </chartFormat>
    <chartFormat chart="0" format="9" series="1">
      <pivotArea type="data" outline="0" fieldPosition="0">
        <references count="3">
          <reference field="4294967294" count="1" selected="0">
            <x v="0"/>
          </reference>
          <reference field="0" count="1" selected="0">
            <x v="0"/>
          </reference>
          <reference field="1" count="1" selected="0">
            <x v="9"/>
          </reference>
        </references>
      </pivotArea>
    </chartFormat>
    <chartFormat chart="0" format="10" series="1">
      <pivotArea type="data" outline="0" fieldPosition="0">
        <references count="3">
          <reference field="4294967294" count="1" selected="0">
            <x v="0"/>
          </reference>
          <reference field="0" count="1" selected="0">
            <x v="0"/>
          </reference>
          <reference field="1" count="1" selected="0">
            <x v="10"/>
          </reference>
        </references>
      </pivotArea>
    </chartFormat>
    <chartFormat chart="0" format="11" series="1">
      <pivotArea type="data" outline="0" fieldPosition="0">
        <references count="3">
          <reference field="4294967294" count="1" selected="0">
            <x v="0"/>
          </reference>
          <reference field="0" count="1" selected="0">
            <x v="0"/>
          </reference>
          <reference field="1" count="1" selected="0">
            <x v="11"/>
          </reference>
        </references>
      </pivotArea>
    </chartFormat>
    <chartFormat chart="0" format="12" series="1">
      <pivotArea type="data" outline="0" fieldPosition="0">
        <references count="3">
          <reference field="4294967294" count="1" selected="0">
            <x v="0"/>
          </reference>
          <reference field="0" count="1" selected="0">
            <x v="0"/>
          </reference>
          <reference field="1" count="1" selected="0">
            <x v="12"/>
          </reference>
        </references>
      </pivotArea>
    </chartFormat>
    <chartFormat chart="0" format="13" series="1">
      <pivotArea type="data" outline="0" fieldPosition="0">
        <references count="3">
          <reference field="4294967294" count="1" selected="0">
            <x v="0"/>
          </reference>
          <reference field="0" count="1" selected="0">
            <x v="0"/>
          </reference>
          <reference field="1" count="1" selected="0">
            <x v="13"/>
          </reference>
        </references>
      </pivotArea>
    </chartFormat>
    <chartFormat chart="0" format="14" series="1">
      <pivotArea type="data" outline="0" fieldPosition="0">
        <references count="3">
          <reference field="4294967294" count="1" selected="0">
            <x v="0"/>
          </reference>
          <reference field="0" count="1" selected="0">
            <x v="0"/>
          </reference>
          <reference field="1" count="1" selected="0">
            <x v="14"/>
          </reference>
        </references>
      </pivotArea>
    </chartFormat>
    <chartFormat chart="0" format="15" series="1">
      <pivotArea type="data" outline="0" fieldPosition="0">
        <references count="3">
          <reference field="4294967294" count="1" selected="0">
            <x v="0"/>
          </reference>
          <reference field="0" count="1" selected="0">
            <x v="0"/>
          </reference>
          <reference field="1" count="1" selected="0">
            <x v="15"/>
          </reference>
        </references>
      </pivotArea>
    </chartFormat>
    <chartFormat chart="0" format="16" series="1">
      <pivotArea type="data" outline="0" fieldPosition="0">
        <references count="3">
          <reference field="4294967294" count="1" selected="0">
            <x v="0"/>
          </reference>
          <reference field="0" count="1" selected="0">
            <x v="0"/>
          </reference>
          <reference field="1" count="1" selected="0">
            <x v="16"/>
          </reference>
        </references>
      </pivotArea>
    </chartFormat>
    <chartFormat chart="0" format="17" series="1">
      <pivotArea type="data" outline="0" fieldPosition="0">
        <references count="3">
          <reference field="4294967294" count="1" selected="0">
            <x v="0"/>
          </reference>
          <reference field="0" count="1" selected="0">
            <x v="0"/>
          </reference>
          <reference field="1" count="1" selected="0">
            <x v="17"/>
          </reference>
        </references>
      </pivotArea>
    </chartFormat>
    <chartFormat chart="0" format="18" series="1">
      <pivotArea type="data" outline="0" fieldPosition="0">
        <references count="3">
          <reference field="4294967294" count="1" selected="0">
            <x v="0"/>
          </reference>
          <reference field="0" count="1" selected="0">
            <x v="0"/>
          </reference>
          <reference field="1" count="1" selected="0">
            <x v="18"/>
          </reference>
        </references>
      </pivotArea>
    </chartFormat>
    <chartFormat chart="0" format="19" series="1">
      <pivotArea type="data" outline="0" fieldPosition="0">
        <references count="3">
          <reference field="4294967294" count="1" selected="0">
            <x v="0"/>
          </reference>
          <reference field="0" count="1" selected="0">
            <x v="0"/>
          </reference>
          <reference field="1" count="1" selected="0">
            <x v="19"/>
          </reference>
        </references>
      </pivotArea>
    </chartFormat>
    <chartFormat chart="0" format="20" series="1">
      <pivotArea type="data" outline="0" fieldPosition="0">
        <references count="3">
          <reference field="4294967294" count="1" selected="0">
            <x v="0"/>
          </reference>
          <reference field="0" count="1" selected="0">
            <x v="0"/>
          </reference>
          <reference field="1" count="1" selected="0">
            <x v="20"/>
          </reference>
        </references>
      </pivotArea>
    </chartFormat>
    <chartFormat chart="0" format="21" series="1">
      <pivotArea type="data" outline="0" fieldPosition="0">
        <references count="3">
          <reference field="4294967294" count="1" selected="0">
            <x v="0"/>
          </reference>
          <reference field="0" count="1" selected="0">
            <x v="0"/>
          </reference>
          <reference field="1" count="1" selected="0">
            <x v="21"/>
          </reference>
        </references>
      </pivotArea>
    </chartFormat>
    <chartFormat chart="0" format="22" series="1">
      <pivotArea type="data" outline="0" fieldPosition="0">
        <references count="3">
          <reference field="4294967294" count="1" selected="0">
            <x v="0"/>
          </reference>
          <reference field="0" count="1" selected="0">
            <x v="0"/>
          </reference>
          <reference field="1" count="1" selected="0">
            <x v="22"/>
          </reference>
        </references>
      </pivotArea>
    </chartFormat>
    <chartFormat chart="0" format="23" series="1">
      <pivotArea type="data" outline="0" fieldPosition="0">
        <references count="3">
          <reference field="4294967294" count="1" selected="0">
            <x v="0"/>
          </reference>
          <reference field="0" count="1" selected="0">
            <x v="0"/>
          </reference>
          <reference field="1" count="1" selected="0">
            <x v="23"/>
          </reference>
        </references>
      </pivotArea>
    </chartFormat>
    <chartFormat chart="0" format="24" series="1">
      <pivotArea type="data" outline="0" fieldPosition="0">
        <references count="3">
          <reference field="4294967294" count="1" selected="0">
            <x v="0"/>
          </reference>
          <reference field="0" count="1" selected="0">
            <x v="0"/>
          </reference>
          <reference field="1" count="1" selected="0">
            <x v="24"/>
          </reference>
        </references>
      </pivotArea>
    </chartFormat>
    <chartFormat chart="0" format="25" series="1">
      <pivotArea type="data" outline="0" fieldPosition="0">
        <references count="3">
          <reference field="4294967294" count="1" selected="0">
            <x v="0"/>
          </reference>
          <reference field="0" count="1" selected="0">
            <x v="0"/>
          </reference>
          <reference field="1" count="1" selected="0">
            <x v="25"/>
          </reference>
        </references>
      </pivotArea>
    </chartFormat>
    <chartFormat chart="0" format="26" series="1">
      <pivotArea type="data" outline="0" fieldPosition="0">
        <references count="3">
          <reference field="4294967294" count="1" selected="0">
            <x v="0"/>
          </reference>
          <reference field="0" count="1" selected="0">
            <x v="0"/>
          </reference>
          <reference field="1" count="1" selected="0">
            <x v="26"/>
          </reference>
        </references>
      </pivotArea>
    </chartFormat>
    <chartFormat chart="0" format="27" series="1">
      <pivotArea type="data" outline="0" fieldPosition="0">
        <references count="3">
          <reference field="4294967294" count="1" selected="0">
            <x v="0"/>
          </reference>
          <reference field="0" count="1" selected="0">
            <x v="0"/>
          </reference>
          <reference field="1" count="1" selected="0">
            <x v="27"/>
          </reference>
        </references>
      </pivotArea>
    </chartFormat>
    <chartFormat chart="0" format="28" series="1">
      <pivotArea type="data" outline="0" fieldPosition="0">
        <references count="3">
          <reference field="4294967294" count="1" selected="0">
            <x v="0"/>
          </reference>
          <reference field="0" count="1" selected="0">
            <x v="0"/>
          </reference>
          <reference field="1" count="1" selected="0">
            <x v="28"/>
          </reference>
        </references>
      </pivotArea>
    </chartFormat>
    <chartFormat chart="0" format="29" series="1">
      <pivotArea type="data" outline="0" fieldPosition="0">
        <references count="3">
          <reference field="4294967294" count="1" selected="0">
            <x v="0"/>
          </reference>
          <reference field="0" count="1" selected="0">
            <x v="0"/>
          </reference>
          <reference field="1" count="1" selected="0">
            <x v="29"/>
          </reference>
        </references>
      </pivotArea>
    </chartFormat>
    <chartFormat chart="0" format="30" series="1">
      <pivotArea type="data" outline="0" fieldPosition="0">
        <references count="3">
          <reference field="4294967294" count="1" selected="0">
            <x v="0"/>
          </reference>
          <reference field="0" count="1" selected="0">
            <x v="0"/>
          </reference>
          <reference field="1" count="1" selected="0">
            <x v="30"/>
          </reference>
        </references>
      </pivotArea>
    </chartFormat>
    <chartFormat chart="0" format="31" series="1">
      <pivotArea type="data" outline="0" fieldPosition="0">
        <references count="3">
          <reference field="4294967294" count="1" selected="0">
            <x v="0"/>
          </reference>
          <reference field="0" count="1" selected="0">
            <x v="1"/>
          </reference>
          <reference field="1" count="1" selected="0">
            <x v="31"/>
          </reference>
        </references>
      </pivotArea>
    </chartFormat>
    <chartFormat chart="0" format="32" series="1">
      <pivotArea type="data" outline="0" fieldPosition="0">
        <references count="3">
          <reference field="4294967294" count="1" selected="0">
            <x v="0"/>
          </reference>
          <reference field="0" count="1" selected="0">
            <x v="1"/>
          </reference>
          <reference field="1" count="1" selected="0">
            <x v="32"/>
          </reference>
        </references>
      </pivotArea>
    </chartFormat>
    <chartFormat chart="0" format="33" series="1">
      <pivotArea type="data" outline="0" fieldPosition="0">
        <references count="3">
          <reference field="4294967294" count="1" selected="0">
            <x v="0"/>
          </reference>
          <reference field="0" count="1" selected="0">
            <x v="1"/>
          </reference>
          <reference field="1" count="1" selected="0">
            <x v="33"/>
          </reference>
        </references>
      </pivotArea>
    </chartFormat>
    <chartFormat chart="0" format="34" series="1">
      <pivotArea type="data" outline="0" fieldPosition="0">
        <references count="3">
          <reference field="4294967294" count="1" selected="0">
            <x v="0"/>
          </reference>
          <reference field="0" count="1" selected="0">
            <x v="1"/>
          </reference>
          <reference field="1" count="1" selected="0">
            <x v="34"/>
          </reference>
        </references>
      </pivotArea>
    </chartFormat>
    <chartFormat chart="0" format="35" series="1">
      <pivotArea type="data" outline="0" fieldPosition="0">
        <references count="3">
          <reference field="4294967294" count="1" selected="0">
            <x v="0"/>
          </reference>
          <reference field="0" count="1" selected="0">
            <x v="1"/>
          </reference>
          <reference field="1" count="1" selected="0">
            <x v="35"/>
          </reference>
        </references>
      </pivotArea>
    </chartFormat>
    <chartFormat chart="0" format="36" series="1">
      <pivotArea type="data" outline="0" fieldPosition="0">
        <references count="3">
          <reference field="4294967294" count="1" selected="0">
            <x v="0"/>
          </reference>
          <reference field="0" count="1" selected="0">
            <x v="1"/>
          </reference>
          <reference field="1" count="1" selected="0">
            <x v="36"/>
          </reference>
        </references>
      </pivotArea>
    </chartFormat>
    <chartFormat chart="0" format="37" series="1">
      <pivotArea type="data" outline="0" fieldPosition="0">
        <references count="3">
          <reference field="4294967294" count="1" selected="0">
            <x v="0"/>
          </reference>
          <reference field="0" count="1" selected="0">
            <x v="1"/>
          </reference>
          <reference field="1" count="1" selected="0">
            <x v="37"/>
          </reference>
        </references>
      </pivotArea>
    </chartFormat>
    <chartFormat chart="0" format="38" series="1">
      <pivotArea type="data" outline="0" fieldPosition="0">
        <references count="3">
          <reference field="4294967294" count="1" selected="0">
            <x v="0"/>
          </reference>
          <reference field="0" count="1" selected="0">
            <x v="1"/>
          </reference>
          <reference field="1" count="1" selected="0">
            <x v="38"/>
          </reference>
        </references>
      </pivotArea>
    </chartFormat>
    <chartFormat chart="0" format="39" series="1">
      <pivotArea type="data" outline="0" fieldPosition="0">
        <references count="3">
          <reference field="4294967294" count="1" selected="0">
            <x v="0"/>
          </reference>
          <reference field="0" count="1" selected="0">
            <x v="1"/>
          </reference>
          <reference field="1" count="1" selected="0">
            <x v="39"/>
          </reference>
        </references>
      </pivotArea>
    </chartFormat>
    <chartFormat chart="0" format="40" series="1">
      <pivotArea type="data" outline="0" fieldPosition="0">
        <references count="3">
          <reference field="4294967294" count="1" selected="0">
            <x v="0"/>
          </reference>
          <reference field="0" count="1" selected="0">
            <x v="1"/>
          </reference>
          <reference field="1" count="1" selected="0">
            <x v="40"/>
          </reference>
        </references>
      </pivotArea>
    </chartFormat>
    <chartFormat chart="0" format="41" series="1">
      <pivotArea type="data" outline="0" fieldPosition="0">
        <references count="3">
          <reference field="4294967294" count="1" selected="0">
            <x v="0"/>
          </reference>
          <reference field="0" count="1" selected="0">
            <x v="1"/>
          </reference>
          <reference field="1" count="1" selected="0">
            <x v="41"/>
          </reference>
        </references>
      </pivotArea>
    </chartFormat>
    <chartFormat chart="0" format="42" series="1">
      <pivotArea type="data" outline="0" fieldPosition="0">
        <references count="3">
          <reference field="4294967294" count="1" selected="0">
            <x v="0"/>
          </reference>
          <reference field="0" count="1" selected="0">
            <x v="1"/>
          </reference>
          <reference field="1" count="1" selected="0">
            <x v="42"/>
          </reference>
        </references>
      </pivotArea>
    </chartFormat>
    <chartFormat chart="0" format="43" series="1">
      <pivotArea type="data" outline="0" fieldPosition="0">
        <references count="3">
          <reference field="4294967294" count="1" selected="0">
            <x v="0"/>
          </reference>
          <reference field="0" count="1" selected="0">
            <x v="1"/>
          </reference>
          <reference field="1" count="1" selected="0">
            <x v="43"/>
          </reference>
        </references>
      </pivotArea>
    </chartFormat>
    <chartFormat chart="0" format="44" series="1">
      <pivotArea type="data" outline="0" fieldPosition="0">
        <references count="3">
          <reference field="4294967294" count="1" selected="0">
            <x v="0"/>
          </reference>
          <reference field="0" count="1" selected="0">
            <x v="1"/>
          </reference>
          <reference field="1" count="1" selected="0">
            <x v="44"/>
          </reference>
        </references>
      </pivotArea>
    </chartFormat>
    <chartFormat chart="0" format="45" series="1">
      <pivotArea type="data" outline="0" fieldPosition="0">
        <references count="3">
          <reference field="4294967294" count="1" selected="0">
            <x v="0"/>
          </reference>
          <reference field="0" count="1" selected="0">
            <x v="1"/>
          </reference>
          <reference field="1" count="1" selected="0">
            <x v="45"/>
          </reference>
        </references>
      </pivotArea>
    </chartFormat>
    <chartFormat chart="0" format="46" series="1">
      <pivotArea type="data" outline="0" fieldPosition="0">
        <references count="3">
          <reference field="4294967294" count="1" selected="0">
            <x v="0"/>
          </reference>
          <reference field="0" count="1" selected="0">
            <x v="1"/>
          </reference>
          <reference field="1" count="1" selected="0">
            <x v="46"/>
          </reference>
        </references>
      </pivotArea>
    </chartFormat>
    <chartFormat chart="0" format="47" series="1">
      <pivotArea type="data" outline="0" fieldPosition="0">
        <references count="3">
          <reference field="4294967294" count="1" selected="0">
            <x v="0"/>
          </reference>
          <reference field="0" count="1" selected="0">
            <x v="1"/>
          </reference>
          <reference field="1" count="1" selected="0">
            <x v="47"/>
          </reference>
        </references>
      </pivotArea>
    </chartFormat>
    <chartFormat chart="0" format="48" series="1">
      <pivotArea type="data" outline="0" fieldPosition="0">
        <references count="3">
          <reference field="4294967294" count="1" selected="0">
            <x v="0"/>
          </reference>
          <reference field="0" count="1" selected="0">
            <x v="1"/>
          </reference>
          <reference field="1" count="1" selected="0">
            <x v="48"/>
          </reference>
        </references>
      </pivotArea>
    </chartFormat>
    <chartFormat chart="0" format="49" series="1">
      <pivotArea type="data" outline="0" fieldPosition="0">
        <references count="3">
          <reference field="4294967294" count="1" selected="0">
            <x v="0"/>
          </reference>
          <reference field="0" count="1" selected="0">
            <x v="1"/>
          </reference>
          <reference field="1" count="1" selected="0">
            <x v="49"/>
          </reference>
        </references>
      </pivotArea>
    </chartFormat>
    <chartFormat chart="0" format="50" series="1">
      <pivotArea type="data" outline="0" fieldPosition="0">
        <references count="3">
          <reference field="4294967294" count="1" selected="0">
            <x v="0"/>
          </reference>
          <reference field="0" count="1" selected="0">
            <x v="1"/>
          </reference>
          <reference field="1" count="1" selected="0">
            <x v="50"/>
          </reference>
        </references>
      </pivotArea>
    </chartFormat>
    <chartFormat chart="0" format="51" series="1">
      <pivotArea type="data" outline="0" fieldPosition="0">
        <references count="3">
          <reference field="4294967294" count="1" selected="0">
            <x v="0"/>
          </reference>
          <reference field="0" count="1" selected="0">
            <x v="1"/>
          </reference>
          <reference field="1" count="1" selected="0">
            <x v="51"/>
          </reference>
        </references>
      </pivotArea>
    </chartFormat>
    <chartFormat chart="0" format="52" series="1">
      <pivotArea type="data" outline="0" fieldPosition="0">
        <references count="3">
          <reference field="4294967294" count="1" selected="0">
            <x v="0"/>
          </reference>
          <reference field="0" count="1" selected="0">
            <x v="1"/>
          </reference>
          <reference field="1" count="1" selected="0">
            <x v="52"/>
          </reference>
        </references>
      </pivotArea>
    </chartFormat>
    <chartFormat chart="0" format="53" series="1">
      <pivotArea type="data" outline="0" fieldPosition="0">
        <references count="3">
          <reference field="4294967294" count="1" selected="0">
            <x v="0"/>
          </reference>
          <reference field="0" count="1" selected="0">
            <x v="1"/>
          </reference>
          <reference field="1" count="1" selected="0">
            <x v="53"/>
          </reference>
        </references>
      </pivotArea>
    </chartFormat>
    <chartFormat chart="0" format="54" series="1">
      <pivotArea type="data" outline="0" fieldPosition="0">
        <references count="3">
          <reference field="4294967294" count="1" selected="0">
            <x v="0"/>
          </reference>
          <reference field="0" count="1" selected="0">
            <x v="1"/>
          </reference>
          <reference field="1" count="1" selected="0">
            <x v="54"/>
          </reference>
        </references>
      </pivotArea>
    </chartFormat>
    <chartFormat chart="0" format="55" series="1">
      <pivotArea type="data" outline="0" fieldPosition="0">
        <references count="3">
          <reference field="4294967294" count="1" selected="0">
            <x v="0"/>
          </reference>
          <reference field="0" count="1" selected="0">
            <x v="1"/>
          </reference>
          <reference field="1" count="1" selected="0">
            <x v="55"/>
          </reference>
        </references>
      </pivotArea>
    </chartFormat>
    <chartFormat chart="0" format="56" series="1">
      <pivotArea type="data" outline="0" fieldPosition="0">
        <references count="3">
          <reference field="4294967294" count="1" selected="0">
            <x v="0"/>
          </reference>
          <reference field="0" count="1" selected="0">
            <x v="1"/>
          </reference>
          <reference field="1" count="1" selected="0">
            <x v="56"/>
          </reference>
        </references>
      </pivotArea>
    </chartFormat>
    <chartFormat chart="0" format="57" series="1">
      <pivotArea type="data" outline="0" fieldPosition="0">
        <references count="3">
          <reference field="4294967294" count="1" selected="0">
            <x v="0"/>
          </reference>
          <reference field="0" count="1" selected="0">
            <x v="1"/>
          </reference>
          <reference field="1" count="1" selected="0">
            <x v="57"/>
          </reference>
        </references>
      </pivotArea>
    </chartFormat>
    <chartFormat chart="0" format="58" series="1">
      <pivotArea type="data" outline="0" fieldPosition="0">
        <references count="3">
          <reference field="4294967294" count="1" selected="0">
            <x v="0"/>
          </reference>
          <reference field="0" count="1" selected="0">
            <x v="1"/>
          </reference>
          <reference field="1" count="1" selected="0">
            <x v="58"/>
          </reference>
        </references>
      </pivotArea>
    </chartFormat>
    <chartFormat chart="0" format="59" series="1">
      <pivotArea type="data" outline="0" fieldPosition="0">
        <references count="3">
          <reference field="4294967294" count="1" selected="0">
            <x v="0"/>
          </reference>
          <reference field="0" count="1" selected="0">
            <x v="2"/>
          </reference>
          <reference field="1" count="1" selected="0">
            <x v="59"/>
          </reference>
        </references>
      </pivotArea>
    </chartFormat>
    <chartFormat chart="0" format="60" series="1">
      <pivotArea type="data" outline="0" fieldPosition="0">
        <references count="3">
          <reference field="4294967294" count="1" selected="0">
            <x v="0"/>
          </reference>
          <reference field="0" count="1" selected="0">
            <x v="2"/>
          </reference>
          <reference field="1" count="1" selected="0">
            <x v="60"/>
          </reference>
        </references>
      </pivotArea>
    </chartFormat>
    <chartFormat chart="0" format="61" series="1">
      <pivotArea type="data" outline="0" fieldPosition="0">
        <references count="3">
          <reference field="4294967294" count="1" selected="0">
            <x v="0"/>
          </reference>
          <reference field="0" count="1" selected="0">
            <x v="2"/>
          </reference>
          <reference field="1" count="1" selected="0">
            <x v="61"/>
          </reference>
        </references>
      </pivotArea>
    </chartFormat>
    <chartFormat chart="0" format="62" series="1">
      <pivotArea type="data" outline="0" fieldPosition="0">
        <references count="3">
          <reference field="4294967294" count="1" selected="0">
            <x v="0"/>
          </reference>
          <reference field="0" count="1" selected="0">
            <x v="2"/>
          </reference>
          <reference field="1" count="1" selected="0">
            <x v="62"/>
          </reference>
        </references>
      </pivotArea>
    </chartFormat>
    <chartFormat chart="0" format="63" series="1">
      <pivotArea type="data" outline="0" fieldPosition="0">
        <references count="3">
          <reference field="4294967294" count="1" selected="0">
            <x v="0"/>
          </reference>
          <reference field="0" count="1" selected="0">
            <x v="2"/>
          </reference>
          <reference field="1" count="1" selected="0">
            <x v="63"/>
          </reference>
        </references>
      </pivotArea>
    </chartFormat>
    <chartFormat chart="0" format="64" series="1">
      <pivotArea type="data" outline="0" fieldPosition="0">
        <references count="3">
          <reference field="4294967294" count="1" selected="0">
            <x v="0"/>
          </reference>
          <reference field="0" count="1" selected="0">
            <x v="2"/>
          </reference>
          <reference field="1" count="1" selected="0">
            <x v="64"/>
          </reference>
        </references>
      </pivotArea>
    </chartFormat>
    <chartFormat chart="0" format="65" series="1">
      <pivotArea type="data" outline="0" fieldPosition="0">
        <references count="3">
          <reference field="4294967294" count="1" selected="0">
            <x v="0"/>
          </reference>
          <reference field="0" count="1" selected="0">
            <x v="2"/>
          </reference>
          <reference field="1" count="1" selected="0">
            <x v="65"/>
          </reference>
        </references>
      </pivotArea>
    </chartFormat>
    <chartFormat chart="0" format="66" series="1">
      <pivotArea type="data" outline="0" fieldPosition="0">
        <references count="3">
          <reference field="4294967294" count="1" selected="0">
            <x v="0"/>
          </reference>
          <reference field="0" count="1" selected="0">
            <x v="2"/>
          </reference>
          <reference field="1" count="1" selected="0">
            <x v="66"/>
          </reference>
        </references>
      </pivotArea>
    </chartFormat>
    <chartFormat chart="0" format="67" series="1">
      <pivotArea type="data" outline="0" fieldPosition="0">
        <references count="3">
          <reference field="4294967294" count="1" selected="0">
            <x v="0"/>
          </reference>
          <reference field="0" count="1" selected="0">
            <x v="2"/>
          </reference>
          <reference field="1" count="1" selected="0">
            <x v="67"/>
          </reference>
        </references>
      </pivotArea>
    </chartFormat>
    <chartFormat chart="0" format="68" series="1">
      <pivotArea type="data" outline="0" fieldPosition="0">
        <references count="3">
          <reference field="4294967294" count="1" selected="0">
            <x v="0"/>
          </reference>
          <reference field="0" count="1" selected="0">
            <x v="2"/>
          </reference>
          <reference field="1" count="1" selected="0">
            <x v="68"/>
          </reference>
        </references>
      </pivotArea>
    </chartFormat>
    <chartFormat chart="0" format="69" series="1">
      <pivotArea type="data" outline="0" fieldPosition="0">
        <references count="3">
          <reference field="4294967294" count="1" selected="0">
            <x v="0"/>
          </reference>
          <reference field="0" count="1" selected="0">
            <x v="2"/>
          </reference>
          <reference field="1" count="1" selected="0">
            <x v="69"/>
          </reference>
        </references>
      </pivotArea>
    </chartFormat>
    <chartFormat chart="0" format="70" series="1">
      <pivotArea type="data" outline="0" fieldPosition="0">
        <references count="3">
          <reference field="4294967294" count="1" selected="0">
            <x v="0"/>
          </reference>
          <reference field="0" count="1" selected="0">
            <x v="2"/>
          </reference>
          <reference field="1" count="1" selected="0">
            <x v="70"/>
          </reference>
        </references>
      </pivotArea>
    </chartFormat>
    <chartFormat chart="0" format="71" series="1">
      <pivotArea type="data" outline="0" fieldPosition="0">
        <references count="3">
          <reference field="4294967294" count="1" selected="0">
            <x v="0"/>
          </reference>
          <reference field="0" count="1" selected="0">
            <x v="2"/>
          </reference>
          <reference field="1" count="1" selected="0">
            <x v="71"/>
          </reference>
        </references>
      </pivotArea>
    </chartFormat>
    <chartFormat chart="0" format="72" series="1">
      <pivotArea type="data" outline="0" fieldPosition="0">
        <references count="3">
          <reference field="4294967294" count="1" selected="0">
            <x v="0"/>
          </reference>
          <reference field="0" count="1" selected="0">
            <x v="2"/>
          </reference>
          <reference field="1" count="1" selected="0">
            <x v="72"/>
          </reference>
        </references>
      </pivotArea>
    </chartFormat>
    <chartFormat chart="0" format="73" series="1">
      <pivotArea type="data" outline="0" fieldPosition="0">
        <references count="3">
          <reference field="4294967294" count="1" selected="0">
            <x v="0"/>
          </reference>
          <reference field="0" count="1" selected="0">
            <x v="2"/>
          </reference>
          <reference field="1" count="1" selected="0">
            <x v="73"/>
          </reference>
        </references>
      </pivotArea>
    </chartFormat>
    <chartFormat chart="0" format="74" series="1">
      <pivotArea type="data" outline="0" fieldPosition="0">
        <references count="3">
          <reference field="4294967294" count="1" selected="0">
            <x v="0"/>
          </reference>
          <reference field="0" count="1" selected="0">
            <x v="2"/>
          </reference>
          <reference field="1" count="1" selected="0">
            <x v="74"/>
          </reference>
        </references>
      </pivotArea>
    </chartFormat>
    <chartFormat chart="0" format="75" series="1">
      <pivotArea type="data" outline="0" fieldPosition="0">
        <references count="3">
          <reference field="4294967294" count="1" selected="0">
            <x v="0"/>
          </reference>
          <reference field="0" count="1" selected="0">
            <x v="2"/>
          </reference>
          <reference field="1" count="1" selected="0">
            <x v="75"/>
          </reference>
        </references>
      </pivotArea>
    </chartFormat>
    <chartFormat chart="0" format="76" series="1">
      <pivotArea type="data" outline="0" fieldPosition="0">
        <references count="3">
          <reference field="4294967294" count="1" selected="0">
            <x v="0"/>
          </reference>
          <reference field="0" count="1" selected="0">
            <x v="2"/>
          </reference>
          <reference field="1" count="1" selected="0">
            <x v="76"/>
          </reference>
        </references>
      </pivotArea>
    </chartFormat>
    <chartFormat chart="0" format="77" series="1">
      <pivotArea type="data" outline="0" fieldPosition="0">
        <references count="3">
          <reference field="4294967294" count="1" selected="0">
            <x v="0"/>
          </reference>
          <reference field="0" count="1" selected="0">
            <x v="2"/>
          </reference>
          <reference field="1" count="1" selected="0">
            <x v="77"/>
          </reference>
        </references>
      </pivotArea>
    </chartFormat>
    <chartFormat chart="0" format="78" series="1">
      <pivotArea type="data" outline="0" fieldPosition="0">
        <references count="3">
          <reference field="4294967294" count="1" selected="0">
            <x v="0"/>
          </reference>
          <reference field="0" count="1" selected="0">
            <x v="2"/>
          </reference>
          <reference field="1" count="1" selected="0">
            <x v="78"/>
          </reference>
        </references>
      </pivotArea>
    </chartFormat>
    <chartFormat chart="0" format="79" series="1">
      <pivotArea type="data" outline="0" fieldPosition="0">
        <references count="3">
          <reference field="4294967294" count="1" selected="0">
            <x v="0"/>
          </reference>
          <reference field="0" count="1" selected="0">
            <x v="2"/>
          </reference>
          <reference field="1" count="1" selected="0">
            <x v="79"/>
          </reference>
        </references>
      </pivotArea>
    </chartFormat>
    <chartFormat chart="0" format="80" series="1">
      <pivotArea type="data" outline="0" fieldPosition="0">
        <references count="3">
          <reference field="4294967294" count="1" selected="0">
            <x v="0"/>
          </reference>
          <reference field="0" count="1" selected="0">
            <x v="2"/>
          </reference>
          <reference field="1" count="1" selected="0">
            <x v="80"/>
          </reference>
        </references>
      </pivotArea>
    </chartFormat>
    <chartFormat chart="0" format="81" series="1">
      <pivotArea type="data" outline="0" fieldPosition="0">
        <references count="3">
          <reference field="4294967294" count="1" selected="0">
            <x v="0"/>
          </reference>
          <reference field="0" count="1" selected="0">
            <x v="2"/>
          </reference>
          <reference field="1" count="1" selected="0">
            <x v="81"/>
          </reference>
        </references>
      </pivotArea>
    </chartFormat>
    <chartFormat chart="0" format="82" series="1">
      <pivotArea type="data" outline="0" fieldPosition="0">
        <references count="3">
          <reference field="4294967294" count="1" selected="0">
            <x v="0"/>
          </reference>
          <reference field="0" count="1" selected="0">
            <x v="2"/>
          </reference>
          <reference field="1" count="1" selected="0">
            <x v="82"/>
          </reference>
        </references>
      </pivotArea>
    </chartFormat>
    <chartFormat chart="0" format="83" series="1">
      <pivotArea type="data" outline="0" fieldPosition="0">
        <references count="3">
          <reference field="4294967294" count="1" selected="0">
            <x v="0"/>
          </reference>
          <reference field="0" count="1" selected="0">
            <x v="2"/>
          </reference>
          <reference field="1" count="1" selected="0">
            <x v="83"/>
          </reference>
        </references>
      </pivotArea>
    </chartFormat>
    <chartFormat chart="0" format="84" series="1">
      <pivotArea type="data" outline="0" fieldPosition="0">
        <references count="3">
          <reference field="4294967294" count="1" selected="0">
            <x v="0"/>
          </reference>
          <reference field="0" count="1" selected="0">
            <x v="2"/>
          </reference>
          <reference field="1" count="1" selected="0">
            <x v="84"/>
          </reference>
        </references>
      </pivotArea>
    </chartFormat>
    <chartFormat chart="0" format="85" series="1">
      <pivotArea type="data" outline="0" fieldPosition="0">
        <references count="3">
          <reference field="4294967294" count="1" selected="0">
            <x v="0"/>
          </reference>
          <reference field="0" count="1" selected="0">
            <x v="2"/>
          </reference>
          <reference field="1" count="1" selected="0">
            <x v="85"/>
          </reference>
        </references>
      </pivotArea>
    </chartFormat>
    <chartFormat chart="0" format="86" series="1">
      <pivotArea type="data" outline="0" fieldPosition="0">
        <references count="3">
          <reference field="4294967294" count="1" selected="0">
            <x v="0"/>
          </reference>
          <reference field="0" count="1" selected="0">
            <x v="2"/>
          </reference>
          <reference field="1" count="1" selected="0">
            <x v="86"/>
          </reference>
        </references>
      </pivotArea>
    </chartFormat>
    <chartFormat chart="0" format="87" series="1">
      <pivotArea type="data" outline="0" fieldPosition="0">
        <references count="3">
          <reference field="4294967294" count="1" selected="0">
            <x v="0"/>
          </reference>
          <reference field="0" count="1" selected="0">
            <x v="2"/>
          </reference>
          <reference field="1" count="1" selected="0">
            <x v="87"/>
          </reference>
        </references>
      </pivotArea>
    </chartFormat>
    <chartFormat chart="0" format="88" series="1">
      <pivotArea type="data" outline="0" fieldPosition="0">
        <references count="3">
          <reference field="4294967294" count="1" selected="0">
            <x v="0"/>
          </reference>
          <reference field="0" count="1" selected="0">
            <x v="2"/>
          </reference>
          <reference field="1" count="1" selected="0">
            <x v="88"/>
          </reference>
        </references>
      </pivotArea>
    </chartFormat>
    <chartFormat chart="0" format="89" series="1">
      <pivotArea type="data" outline="0" fieldPosition="0">
        <references count="3">
          <reference field="4294967294" count="1" selected="0">
            <x v="0"/>
          </reference>
          <reference field="0" count="1" selected="0">
            <x v="2"/>
          </reference>
          <reference field="1" count="1" selected="0">
            <x v="89"/>
          </reference>
        </references>
      </pivotArea>
    </chartFormat>
    <chartFormat chart="0" format="90" series="1">
      <pivotArea type="data" outline="0" fieldPosition="0">
        <references count="3">
          <reference field="4294967294" count="1" selected="0">
            <x v="0"/>
          </reference>
          <reference field="0" count="1" selected="0">
            <x v="3"/>
          </reference>
          <reference field="1" count="1" selected="0">
            <x v="90"/>
          </reference>
        </references>
      </pivotArea>
    </chartFormat>
    <chartFormat chart="0" format="91" series="1">
      <pivotArea type="data" outline="0" fieldPosition="0">
        <references count="3">
          <reference field="4294967294" count="1" selected="0">
            <x v="0"/>
          </reference>
          <reference field="0" count="1" selected="0">
            <x v="3"/>
          </reference>
          <reference field="1" count="1" selected="0">
            <x v="91"/>
          </reference>
        </references>
      </pivotArea>
    </chartFormat>
    <chartFormat chart="0" format="92" series="1">
      <pivotArea type="data" outline="0" fieldPosition="0">
        <references count="3">
          <reference field="4294967294" count="1" selected="0">
            <x v="0"/>
          </reference>
          <reference field="0" count="1" selected="0">
            <x v="3"/>
          </reference>
          <reference field="1" count="1" selected="0">
            <x v="92"/>
          </reference>
        </references>
      </pivotArea>
    </chartFormat>
    <chartFormat chart="0" format="93" series="1">
      <pivotArea type="data" outline="0" fieldPosition="0">
        <references count="3">
          <reference field="4294967294" count="1" selected="0">
            <x v="0"/>
          </reference>
          <reference field="0" count="1" selected="0">
            <x v="3"/>
          </reference>
          <reference field="1" count="1" selected="0">
            <x v="93"/>
          </reference>
        </references>
      </pivotArea>
    </chartFormat>
    <chartFormat chart="0" format="94" series="1">
      <pivotArea type="data" outline="0" fieldPosition="0">
        <references count="3">
          <reference field="4294967294" count="1" selected="0">
            <x v="0"/>
          </reference>
          <reference field="0" count="1" selected="0">
            <x v="3"/>
          </reference>
          <reference field="1" count="1" selected="0">
            <x v="94"/>
          </reference>
        </references>
      </pivotArea>
    </chartFormat>
    <chartFormat chart="0" format="95" series="1">
      <pivotArea type="data" outline="0" fieldPosition="0">
        <references count="3">
          <reference field="4294967294" count="1" selected="0">
            <x v="0"/>
          </reference>
          <reference field="0" count="1" selected="0">
            <x v="3"/>
          </reference>
          <reference field="1" count="1" selected="0">
            <x v="95"/>
          </reference>
        </references>
      </pivotArea>
    </chartFormat>
    <chartFormat chart="0" format="96" series="1">
      <pivotArea type="data" outline="0" fieldPosition="0">
        <references count="3">
          <reference field="4294967294" count="1" selected="0">
            <x v="0"/>
          </reference>
          <reference field="0" count="1" selected="0">
            <x v="3"/>
          </reference>
          <reference field="1" count="1" selected="0">
            <x v="96"/>
          </reference>
        </references>
      </pivotArea>
    </chartFormat>
    <chartFormat chart="0" format="97" series="1">
      <pivotArea type="data" outline="0" fieldPosition="0">
        <references count="3">
          <reference field="4294967294" count="1" selected="0">
            <x v="0"/>
          </reference>
          <reference field="0" count="1" selected="0">
            <x v="3"/>
          </reference>
          <reference field="1" count="1" selected="0">
            <x v="97"/>
          </reference>
        </references>
      </pivotArea>
    </chartFormat>
    <chartFormat chart="0" format="98" series="1">
      <pivotArea type="data" outline="0" fieldPosition="0">
        <references count="3">
          <reference field="4294967294" count="1" selected="0">
            <x v="0"/>
          </reference>
          <reference field="0" count="1" selected="0">
            <x v="3"/>
          </reference>
          <reference field="1" count="1" selected="0">
            <x v="98"/>
          </reference>
        </references>
      </pivotArea>
    </chartFormat>
    <chartFormat chart="0" format="99" series="1">
      <pivotArea type="data" outline="0" fieldPosition="0">
        <references count="3">
          <reference field="4294967294" count="1" selected="0">
            <x v="0"/>
          </reference>
          <reference field="0" count="1" selected="0">
            <x v="3"/>
          </reference>
          <reference field="1" count="1" selected="0">
            <x v="99"/>
          </reference>
        </references>
      </pivotArea>
    </chartFormat>
    <chartFormat chart="0" format="100" series="1">
      <pivotArea type="data" outline="0" fieldPosition="0">
        <references count="3">
          <reference field="4294967294" count="1" selected="0">
            <x v="0"/>
          </reference>
          <reference field="0" count="1" selected="0">
            <x v="3"/>
          </reference>
          <reference field="1" count="1" selected="0">
            <x v="100"/>
          </reference>
        </references>
      </pivotArea>
    </chartFormat>
    <chartFormat chart="0" format="101" series="1">
      <pivotArea type="data" outline="0" fieldPosition="0">
        <references count="3">
          <reference field="4294967294" count="1" selected="0">
            <x v="0"/>
          </reference>
          <reference field="0" count="1" selected="0">
            <x v="3"/>
          </reference>
          <reference field="1" count="1" selected="0">
            <x v="101"/>
          </reference>
        </references>
      </pivotArea>
    </chartFormat>
    <chartFormat chart="0" format="102" series="1">
      <pivotArea type="data" outline="0" fieldPosition="0">
        <references count="3">
          <reference field="4294967294" count="1" selected="0">
            <x v="0"/>
          </reference>
          <reference field="0" count="1" selected="0">
            <x v="3"/>
          </reference>
          <reference field="1" count="1" selected="0">
            <x v="102"/>
          </reference>
        </references>
      </pivotArea>
    </chartFormat>
    <chartFormat chart="0" format="103" series="1">
      <pivotArea type="data" outline="0" fieldPosition="0">
        <references count="3">
          <reference field="4294967294" count="1" selected="0">
            <x v="0"/>
          </reference>
          <reference field="0" count="1" selected="0">
            <x v="3"/>
          </reference>
          <reference field="1" count="1" selected="0">
            <x v="103"/>
          </reference>
        </references>
      </pivotArea>
    </chartFormat>
    <chartFormat chart="0" format="104" series="1">
      <pivotArea type="data" outline="0" fieldPosition="0">
        <references count="3">
          <reference field="4294967294" count="1" selected="0">
            <x v="0"/>
          </reference>
          <reference field="0" count="1" selected="0">
            <x v="3"/>
          </reference>
          <reference field="1" count="1" selected="0">
            <x v="104"/>
          </reference>
        </references>
      </pivotArea>
    </chartFormat>
    <chartFormat chart="0" format="105" series="1">
      <pivotArea type="data" outline="0" fieldPosition="0">
        <references count="3">
          <reference field="4294967294" count="1" selected="0">
            <x v="0"/>
          </reference>
          <reference field="0" count="1" selected="0">
            <x v="3"/>
          </reference>
          <reference field="1" count="1" selected="0">
            <x v="105"/>
          </reference>
        </references>
      </pivotArea>
    </chartFormat>
    <chartFormat chart="0" format="106" series="1">
      <pivotArea type="data" outline="0" fieldPosition="0">
        <references count="3">
          <reference field="4294967294" count="1" selected="0">
            <x v="0"/>
          </reference>
          <reference field="0" count="1" selected="0">
            <x v="3"/>
          </reference>
          <reference field="1" count="1" selected="0">
            <x v="106"/>
          </reference>
        </references>
      </pivotArea>
    </chartFormat>
    <chartFormat chart="0" format="107" series="1">
      <pivotArea type="data" outline="0" fieldPosition="0">
        <references count="3">
          <reference field="4294967294" count="1" selected="0">
            <x v="0"/>
          </reference>
          <reference field="0" count="1" selected="0">
            <x v="3"/>
          </reference>
          <reference field="1" count="1" selected="0">
            <x v="107"/>
          </reference>
        </references>
      </pivotArea>
    </chartFormat>
    <chartFormat chart="0" format="108" series="1">
      <pivotArea type="data" outline="0" fieldPosition="0">
        <references count="3">
          <reference field="4294967294" count="1" selected="0">
            <x v="0"/>
          </reference>
          <reference field="0" count="1" selected="0">
            <x v="3"/>
          </reference>
          <reference field="1" count="1" selected="0">
            <x v="108"/>
          </reference>
        </references>
      </pivotArea>
    </chartFormat>
    <chartFormat chart="0" format="109" series="1">
      <pivotArea type="data" outline="0" fieldPosition="0">
        <references count="3">
          <reference field="4294967294" count="1" selected="0">
            <x v="0"/>
          </reference>
          <reference field="0" count="1" selected="0">
            <x v="3"/>
          </reference>
          <reference field="1" count="1" selected="0">
            <x v="109"/>
          </reference>
        </references>
      </pivotArea>
    </chartFormat>
    <chartFormat chart="0" format="110" series="1">
      <pivotArea type="data" outline="0" fieldPosition="0">
        <references count="3">
          <reference field="4294967294" count="1" selected="0">
            <x v="0"/>
          </reference>
          <reference field="0" count="1" selected="0">
            <x v="3"/>
          </reference>
          <reference field="1" count="1" selected="0">
            <x v="110"/>
          </reference>
        </references>
      </pivotArea>
    </chartFormat>
    <chartFormat chart="0" format="111" series="1">
      <pivotArea type="data" outline="0" fieldPosition="0">
        <references count="3">
          <reference field="4294967294" count="1" selected="0">
            <x v="0"/>
          </reference>
          <reference field="0" count="1" selected="0">
            <x v="3"/>
          </reference>
          <reference field="1" count="1" selected="0">
            <x v="111"/>
          </reference>
        </references>
      </pivotArea>
    </chartFormat>
    <chartFormat chart="0" format="112" series="1">
      <pivotArea type="data" outline="0" fieldPosition="0">
        <references count="3">
          <reference field="4294967294" count="1" selected="0">
            <x v="0"/>
          </reference>
          <reference field="0" count="1" selected="0">
            <x v="3"/>
          </reference>
          <reference field="1" count="1" selected="0">
            <x v="112"/>
          </reference>
        </references>
      </pivotArea>
    </chartFormat>
    <chartFormat chart="0" format="113" series="1">
      <pivotArea type="data" outline="0" fieldPosition="0">
        <references count="3">
          <reference field="4294967294" count="1" selected="0">
            <x v="0"/>
          </reference>
          <reference field="0" count="1" selected="0">
            <x v="3"/>
          </reference>
          <reference field="1" count="1" selected="0">
            <x v="113"/>
          </reference>
        </references>
      </pivotArea>
    </chartFormat>
    <chartFormat chart="0" format="114" series="1">
      <pivotArea type="data" outline="0" fieldPosition="0">
        <references count="3">
          <reference field="4294967294" count="1" selected="0">
            <x v="0"/>
          </reference>
          <reference field="0" count="1" selected="0">
            <x v="3"/>
          </reference>
          <reference field="1" count="1" selected="0">
            <x v="114"/>
          </reference>
        </references>
      </pivotArea>
    </chartFormat>
    <chartFormat chart="0" format="115" series="1">
      <pivotArea type="data" outline="0" fieldPosition="0">
        <references count="3">
          <reference field="4294967294" count="1" selected="0">
            <x v="0"/>
          </reference>
          <reference field="0" count="1" selected="0">
            <x v="3"/>
          </reference>
          <reference field="1" count="1" selected="0">
            <x v="115"/>
          </reference>
        </references>
      </pivotArea>
    </chartFormat>
    <chartFormat chart="0" format="116" series="1">
      <pivotArea type="data" outline="0" fieldPosition="0">
        <references count="3">
          <reference field="4294967294" count="1" selected="0">
            <x v="0"/>
          </reference>
          <reference field="0" count="1" selected="0">
            <x v="3"/>
          </reference>
          <reference field="1" count="1" selected="0">
            <x v="116"/>
          </reference>
        </references>
      </pivotArea>
    </chartFormat>
    <chartFormat chart="0" format="117" series="1">
      <pivotArea type="data" outline="0" fieldPosition="0">
        <references count="3">
          <reference field="4294967294" count="1" selected="0">
            <x v="0"/>
          </reference>
          <reference field="0" count="1" selected="0">
            <x v="3"/>
          </reference>
          <reference field="1" count="1" selected="0">
            <x v="117"/>
          </reference>
        </references>
      </pivotArea>
    </chartFormat>
    <chartFormat chart="0" format="118" series="1">
      <pivotArea type="data" outline="0" fieldPosition="0">
        <references count="3">
          <reference field="4294967294" count="1" selected="0">
            <x v="0"/>
          </reference>
          <reference field="0" count="1" selected="0">
            <x v="3"/>
          </reference>
          <reference field="1" count="1" selected="0">
            <x v="118"/>
          </reference>
        </references>
      </pivotArea>
    </chartFormat>
    <chartFormat chart="0" format="119" series="1">
      <pivotArea type="data" outline="0" fieldPosition="0">
        <references count="3">
          <reference field="4294967294" count="1" selected="0">
            <x v="0"/>
          </reference>
          <reference field="0" count="1" selected="0">
            <x v="4"/>
          </reference>
          <reference field="1" count="1" selected="0">
            <x v="119"/>
          </reference>
        </references>
      </pivotArea>
    </chartFormat>
    <chartFormat chart="0" format="120" series="1">
      <pivotArea type="data" outline="0" fieldPosition="0">
        <references count="3">
          <reference field="4294967294" count="1" selected="0">
            <x v="0"/>
          </reference>
          <reference field="0" count="1" selected="0">
            <x v="4"/>
          </reference>
          <reference field="1" count="1" selected="0">
            <x v="120"/>
          </reference>
        </references>
      </pivotArea>
    </chartFormat>
    <chartFormat chart="0" format="121" series="1">
      <pivotArea type="data" outline="0" fieldPosition="0">
        <references count="3">
          <reference field="4294967294" count="1" selected="0">
            <x v="0"/>
          </reference>
          <reference field="0" count="1" selected="0">
            <x v="4"/>
          </reference>
          <reference field="1" count="1" selected="0">
            <x v="121"/>
          </reference>
        </references>
      </pivotArea>
    </chartFormat>
    <chartFormat chart="0" format="122" series="1">
      <pivotArea type="data" outline="0" fieldPosition="0">
        <references count="3">
          <reference field="4294967294" count="1" selected="0">
            <x v="0"/>
          </reference>
          <reference field="0" count="1" selected="0">
            <x v="4"/>
          </reference>
          <reference field="1" count="1" selected="0">
            <x v="122"/>
          </reference>
        </references>
      </pivotArea>
    </chartFormat>
    <chartFormat chart="0" format="123" series="1">
      <pivotArea type="data" outline="0" fieldPosition="0">
        <references count="3">
          <reference field="4294967294" count="1" selected="0">
            <x v="0"/>
          </reference>
          <reference field="0" count="1" selected="0">
            <x v="4"/>
          </reference>
          <reference field="1" count="1" selected="0">
            <x v="123"/>
          </reference>
        </references>
      </pivotArea>
    </chartFormat>
    <chartFormat chart="0" format="124" series="1">
      <pivotArea type="data" outline="0" fieldPosition="0">
        <references count="3">
          <reference field="4294967294" count="1" selected="0">
            <x v="0"/>
          </reference>
          <reference field="0" count="1" selected="0">
            <x v="4"/>
          </reference>
          <reference field="1" count="1" selected="0">
            <x v="124"/>
          </reference>
        </references>
      </pivotArea>
    </chartFormat>
    <chartFormat chart="0" format="125" series="1">
      <pivotArea type="data" outline="0" fieldPosition="0">
        <references count="3">
          <reference field="4294967294" count="1" selected="0">
            <x v="0"/>
          </reference>
          <reference field="0" count="1" selected="0">
            <x v="4"/>
          </reference>
          <reference field="1" count="1" selected="0">
            <x v="125"/>
          </reference>
        </references>
      </pivotArea>
    </chartFormat>
    <chartFormat chart="0" format="126" series="1">
      <pivotArea type="data" outline="0" fieldPosition="0">
        <references count="3">
          <reference field="4294967294" count="1" selected="0">
            <x v="0"/>
          </reference>
          <reference field="0" count="1" selected="0">
            <x v="4"/>
          </reference>
          <reference field="1" count="1" selected="0">
            <x v="126"/>
          </reference>
        </references>
      </pivotArea>
    </chartFormat>
    <chartFormat chart="0" format="127" series="1">
      <pivotArea type="data" outline="0" fieldPosition="0">
        <references count="3">
          <reference field="4294967294" count="1" selected="0">
            <x v="0"/>
          </reference>
          <reference field="0" count="1" selected="0">
            <x v="4"/>
          </reference>
          <reference field="1" count="1" selected="0">
            <x v="127"/>
          </reference>
        </references>
      </pivotArea>
    </chartFormat>
    <chartFormat chart="0" format="128" series="1">
      <pivotArea type="data" outline="0" fieldPosition="0">
        <references count="3">
          <reference field="4294967294" count="1" selected="0">
            <x v="0"/>
          </reference>
          <reference field="0" count="1" selected="0">
            <x v="4"/>
          </reference>
          <reference field="1" count="1" selected="0">
            <x v="128"/>
          </reference>
        </references>
      </pivotArea>
    </chartFormat>
    <chartFormat chart="0" format="129" series="1">
      <pivotArea type="data" outline="0" fieldPosition="0">
        <references count="3">
          <reference field="4294967294" count="1" selected="0">
            <x v="0"/>
          </reference>
          <reference field="0" count="1" selected="0">
            <x v="4"/>
          </reference>
          <reference field="1" count="1" selected="0">
            <x v="129"/>
          </reference>
        </references>
      </pivotArea>
    </chartFormat>
    <chartFormat chart="0" format="130" series="1">
      <pivotArea type="data" outline="0" fieldPosition="0">
        <references count="3">
          <reference field="4294967294" count="1" selected="0">
            <x v="0"/>
          </reference>
          <reference field="0" count="1" selected="0">
            <x v="4"/>
          </reference>
          <reference field="1" count="1" selected="0">
            <x v="130"/>
          </reference>
        </references>
      </pivotArea>
    </chartFormat>
    <chartFormat chart="0" format="131" series="1">
      <pivotArea type="data" outline="0" fieldPosition="0">
        <references count="3">
          <reference field="4294967294" count="1" selected="0">
            <x v="0"/>
          </reference>
          <reference field="0" count="1" selected="0">
            <x v="4"/>
          </reference>
          <reference field="1" count="1" selected="0">
            <x v="131"/>
          </reference>
        </references>
      </pivotArea>
    </chartFormat>
    <chartFormat chart="0" format="132" series="1">
      <pivotArea type="data" outline="0" fieldPosition="0">
        <references count="3">
          <reference field="4294967294" count="1" selected="0">
            <x v="0"/>
          </reference>
          <reference field="0" count="1" selected="0">
            <x v="4"/>
          </reference>
          <reference field="1" count="1" selected="0">
            <x v="132"/>
          </reference>
        </references>
      </pivotArea>
    </chartFormat>
    <chartFormat chart="0" format="133" series="1">
      <pivotArea type="data" outline="0" fieldPosition="0">
        <references count="3">
          <reference field="4294967294" count="1" selected="0">
            <x v="0"/>
          </reference>
          <reference field="0" count="1" selected="0">
            <x v="4"/>
          </reference>
          <reference field="1" count="1" selected="0">
            <x v="133"/>
          </reference>
        </references>
      </pivotArea>
    </chartFormat>
    <chartFormat chart="0" format="134" series="1">
      <pivotArea type="data" outline="0" fieldPosition="0">
        <references count="3">
          <reference field="4294967294" count="1" selected="0">
            <x v="0"/>
          </reference>
          <reference field="0" count="1" selected="0">
            <x v="4"/>
          </reference>
          <reference field="1" count="1" selected="0">
            <x v="134"/>
          </reference>
        </references>
      </pivotArea>
    </chartFormat>
    <chartFormat chart="0" format="135" series="1">
      <pivotArea type="data" outline="0" fieldPosition="0">
        <references count="3">
          <reference field="4294967294" count="1" selected="0">
            <x v="0"/>
          </reference>
          <reference field="0" count="1" selected="0">
            <x v="4"/>
          </reference>
          <reference field="1" count="1" selected="0">
            <x v="135"/>
          </reference>
        </references>
      </pivotArea>
    </chartFormat>
    <chartFormat chart="0" format="136" series="1">
      <pivotArea type="data" outline="0" fieldPosition="0">
        <references count="3">
          <reference field="4294967294" count="1" selected="0">
            <x v="0"/>
          </reference>
          <reference field="0" count="1" selected="0">
            <x v="4"/>
          </reference>
          <reference field="1" count="1" selected="0">
            <x v="136"/>
          </reference>
        </references>
      </pivotArea>
    </chartFormat>
    <chartFormat chart="0" format="137" series="1">
      <pivotArea type="data" outline="0" fieldPosition="0">
        <references count="3">
          <reference field="4294967294" count="1" selected="0">
            <x v="0"/>
          </reference>
          <reference field="0" count="1" selected="0">
            <x v="4"/>
          </reference>
          <reference field="1" count="1" selected="0">
            <x v="137"/>
          </reference>
        </references>
      </pivotArea>
    </chartFormat>
    <chartFormat chart="0" format="138" series="1">
      <pivotArea type="data" outline="0" fieldPosition="0">
        <references count="3">
          <reference field="4294967294" count="1" selected="0">
            <x v="0"/>
          </reference>
          <reference field="0" count="1" selected="0">
            <x v="4"/>
          </reference>
          <reference field="1" count="1" selected="0">
            <x v="138"/>
          </reference>
        </references>
      </pivotArea>
    </chartFormat>
    <chartFormat chart="0" format="139" series="1">
      <pivotArea type="data" outline="0" fieldPosition="0">
        <references count="3">
          <reference field="4294967294" count="1" selected="0">
            <x v="0"/>
          </reference>
          <reference field="0" count="1" selected="0">
            <x v="4"/>
          </reference>
          <reference field="1" count="1" selected="0">
            <x v="139"/>
          </reference>
        </references>
      </pivotArea>
    </chartFormat>
    <chartFormat chart="0" format="140" series="1">
      <pivotArea type="data" outline="0" fieldPosition="0">
        <references count="3">
          <reference field="4294967294" count="1" selected="0">
            <x v="0"/>
          </reference>
          <reference field="0" count="1" selected="0">
            <x v="4"/>
          </reference>
          <reference field="1" count="1" selected="0">
            <x v="140"/>
          </reference>
        </references>
      </pivotArea>
    </chartFormat>
    <chartFormat chart="0" format="141" series="1">
      <pivotArea type="data" outline="0" fieldPosition="0">
        <references count="3">
          <reference field="4294967294" count="1" selected="0">
            <x v="0"/>
          </reference>
          <reference field="0" count="1" selected="0">
            <x v="4"/>
          </reference>
          <reference field="1" count="1" selected="0">
            <x v="141"/>
          </reference>
        </references>
      </pivotArea>
    </chartFormat>
    <chartFormat chart="0" format="142" series="1">
      <pivotArea type="data" outline="0" fieldPosition="0">
        <references count="3">
          <reference field="4294967294" count="1" selected="0">
            <x v="0"/>
          </reference>
          <reference field="0" count="1" selected="0">
            <x v="4"/>
          </reference>
          <reference field="1" count="1" selected="0">
            <x v="142"/>
          </reference>
        </references>
      </pivotArea>
    </chartFormat>
    <chartFormat chart="0" format="143" series="1">
      <pivotArea type="data" outline="0" fieldPosition="0">
        <references count="3">
          <reference field="4294967294" count="1" selected="0">
            <x v="0"/>
          </reference>
          <reference field="0" count="1" selected="0">
            <x v="4"/>
          </reference>
          <reference field="1" count="1" selected="0">
            <x v="143"/>
          </reference>
        </references>
      </pivotArea>
    </chartFormat>
    <chartFormat chart="0" format="144" series="1">
      <pivotArea type="data" outline="0" fieldPosition="0">
        <references count="3">
          <reference field="4294967294" count="1" selected="0">
            <x v="0"/>
          </reference>
          <reference field="0" count="1" selected="0">
            <x v="4"/>
          </reference>
          <reference field="1" count="1" selected="0">
            <x v="144"/>
          </reference>
        </references>
      </pivotArea>
    </chartFormat>
    <chartFormat chart="0" format="145" series="1">
      <pivotArea type="data" outline="0" fieldPosition="0">
        <references count="3">
          <reference field="4294967294" count="1" selected="0">
            <x v="0"/>
          </reference>
          <reference field="0" count="1" selected="0">
            <x v="4"/>
          </reference>
          <reference field="1" count="1" selected="0">
            <x v="145"/>
          </reference>
        </references>
      </pivotArea>
    </chartFormat>
    <chartFormat chart="0" format="146" series="1">
      <pivotArea type="data" outline="0" fieldPosition="0">
        <references count="3">
          <reference field="4294967294" count="1" selected="0">
            <x v="0"/>
          </reference>
          <reference field="0" count="1" selected="0">
            <x v="4"/>
          </reference>
          <reference field="1" count="1" selected="0">
            <x v="146"/>
          </reference>
        </references>
      </pivotArea>
    </chartFormat>
    <chartFormat chart="0" format="147" series="1">
      <pivotArea type="data" outline="0" fieldPosition="0">
        <references count="3">
          <reference field="4294967294" count="1" selected="0">
            <x v="0"/>
          </reference>
          <reference field="0" count="1" selected="0">
            <x v="4"/>
          </reference>
          <reference field="1" count="1" selected="0">
            <x v="147"/>
          </reference>
        </references>
      </pivotArea>
    </chartFormat>
    <chartFormat chart="0" format="148" series="1">
      <pivotArea type="data" outline="0" fieldPosition="0">
        <references count="3">
          <reference field="4294967294" count="1" selected="0">
            <x v="0"/>
          </reference>
          <reference field="0" count="1" selected="0">
            <x v="4"/>
          </reference>
          <reference field="1" count="1" selected="0">
            <x v="148"/>
          </reference>
        </references>
      </pivotArea>
    </chartFormat>
    <chartFormat chart="0" format="149" series="1">
      <pivotArea type="data" outline="0" fieldPosition="0">
        <references count="3">
          <reference field="4294967294" count="1" selected="0">
            <x v="0"/>
          </reference>
          <reference field="0" count="1" selected="0">
            <x v="5"/>
          </reference>
          <reference field="1" count="1" selected="0">
            <x v="149"/>
          </reference>
        </references>
      </pivotArea>
    </chartFormat>
    <chartFormat chart="0" format="150" series="1">
      <pivotArea type="data" outline="0" fieldPosition="0">
        <references count="3">
          <reference field="4294967294" count="1" selected="0">
            <x v="0"/>
          </reference>
          <reference field="0" count="1" selected="0">
            <x v="5"/>
          </reference>
          <reference field="1" count="1" selected="0">
            <x v="150"/>
          </reference>
        </references>
      </pivotArea>
    </chartFormat>
    <chartFormat chart="0" format="151" series="1">
      <pivotArea type="data" outline="0" fieldPosition="0">
        <references count="3">
          <reference field="4294967294" count="1" selected="0">
            <x v="0"/>
          </reference>
          <reference field="0" count="1" selected="0">
            <x v="5"/>
          </reference>
          <reference field="1" count="1" selected="0">
            <x v="151"/>
          </reference>
        </references>
      </pivotArea>
    </chartFormat>
    <chartFormat chart="0" format="152" series="1">
      <pivotArea type="data" outline="0" fieldPosition="0">
        <references count="3">
          <reference field="4294967294" count="1" selected="0">
            <x v="0"/>
          </reference>
          <reference field="0" count="1" selected="0">
            <x v="5"/>
          </reference>
          <reference field="1" count="1" selected="0">
            <x v="152"/>
          </reference>
        </references>
      </pivotArea>
    </chartFormat>
    <chartFormat chart="0" format="153" series="1">
      <pivotArea type="data" outline="0" fieldPosition="0">
        <references count="3">
          <reference field="4294967294" count="1" selected="0">
            <x v="0"/>
          </reference>
          <reference field="0" count="1" selected="0">
            <x v="5"/>
          </reference>
          <reference field="1" count="1" selected="0">
            <x v="153"/>
          </reference>
        </references>
      </pivotArea>
    </chartFormat>
    <chartFormat chart="0" format="154" series="1">
      <pivotArea type="data" outline="0" fieldPosition="0">
        <references count="3">
          <reference field="4294967294" count="1" selected="0">
            <x v="0"/>
          </reference>
          <reference field="0" count="1" selected="0">
            <x v="5"/>
          </reference>
          <reference field="1" count="1" selected="0">
            <x v="154"/>
          </reference>
        </references>
      </pivotArea>
    </chartFormat>
    <chartFormat chart="0" format="155" series="1">
      <pivotArea type="data" outline="0" fieldPosition="0">
        <references count="3">
          <reference field="4294967294" count="1" selected="0">
            <x v="0"/>
          </reference>
          <reference field="0" count="1" selected="0">
            <x v="5"/>
          </reference>
          <reference field="1" count="1" selected="0">
            <x v="155"/>
          </reference>
        </references>
      </pivotArea>
    </chartFormat>
    <chartFormat chart="0" format="156" series="1">
      <pivotArea type="data" outline="0" fieldPosition="0">
        <references count="3">
          <reference field="4294967294" count="1" selected="0">
            <x v="0"/>
          </reference>
          <reference field="0" count="1" selected="0">
            <x v="5"/>
          </reference>
          <reference field="1" count="1" selected="0">
            <x v="156"/>
          </reference>
        </references>
      </pivotArea>
    </chartFormat>
    <chartFormat chart="0" format="157" series="1">
      <pivotArea type="data" outline="0" fieldPosition="0">
        <references count="3">
          <reference field="4294967294" count="1" selected="0">
            <x v="0"/>
          </reference>
          <reference field="0" count="1" selected="0">
            <x v="5"/>
          </reference>
          <reference field="1" count="1" selected="0">
            <x v="157"/>
          </reference>
        </references>
      </pivotArea>
    </chartFormat>
    <chartFormat chart="0" format="158" series="1">
      <pivotArea type="data" outline="0" fieldPosition="0">
        <references count="3">
          <reference field="4294967294" count="1" selected="0">
            <x v="0"/>
          </reference>
          <reference field="0" count="1" selected="0">
            <x v="5"/>
          </reference>
          <reference field="1" count="1" selected="0">
            <x v="158"/>
          </reference>
        </references>
      </pivotArea>
    </chartFormat>
    <chartFormat chart="0" format="159" series="1">
      <pivotArea type="data" outline="0" fieldPosition="0">
        <references count="3">
          <reference field="4294967294" count="1" selected="0">
            <x v="0"/>
          </reference>
          <reference field="0" count="1" selected="0">
            <x v="5"/>
          </reference>
          <reference field="1" count="1" selected="0">
            <x v="159"/>
          </reference>
        </references>
      </pivotArea>
    </chartFormat>
    <chartFormat chart="0" format="160" series="1">
      <pivotArea type="data" outline="0" fieldPosition="0">
        <references count="3">
          <reference field="4294967294" count="1" selected="0">
            <x v="0"/>
          </reference>
          <reference field="0" count="1" selected="0">
            <x v="5"/>
          </reference>
          <reference field="1" count="1" selected="0">
            <x v="160"/>
          </reference>
        </references>
      </pivotArea>
    </chartFormat>
    <chartFormat chart="0" format="161" series="1">
      <pivotArea type="data" outline="0" fieldPosition="0">
        <references count="3">
          <reference field="4294967294" count="1" selected="0">
            <x v="0"/>
          </reference>
          <reference field="0" count="1" selected="0">
            <x v="5"/>
          </reference>
          <reference field="1" count="1" selected="0">
            <x v="161"/>
          </reference>
        </references>
      </pivotArea>
    </chartFormat>
    <chartFormat chart="0" format="162" series="1">
      <pivotArea type="data" outline="0" fieldPosition="0">
        <references count="3">
          <reference field="4294967294" count="1" selected="0">
            <x v="0"/>
          </reference>
          <reference field="0" count="1" selected="0">
            <x v="5"/>
          </reference>
          <reference field="1" count="1" selected="0">
            <x v="162"/>
          </reference>
        </references>
      </pivotArea>
    </chartFormat>
    <chartFormat chart="0" format="163" series="1">
      <pivotArea type="data" outline="0" fieldPosition="0">
        <references count="3">
          <reference field="4294967294" count="1" selected="0">
            <x v="0"/>
          </reference>
          <reference field="0" count="1" selected="0">
            <x v="5"/>
          </reference>
          <reference field="1" count="1" selected="0">
            <x v="163"/>
          </reference>
        </references>
      </pivotArea>
    </chartFormat>
    <chartFormat chart="0" format="164" series="1">
      <pivotArea type="data" outline="0" fieldPosition="0">
        <references count="3">
          <reference field="4294967294" count="1" selected="0">
            <x v="0"/>
          </reference>
          <reference field="0" count="1" selected="0">
            <x v="5"/>
          </reference>
          <reference field="1" count="1" selected="0">
            <x v="164"/>
          </reference>
        </references>
      </pivotArea>
    </chartFormat>
    <chartFormat chart="0" format="165" series="1">
      <pivotArea type="data" outline="0" fieldPosition="0">
        <references count="3">
          <reference field="4294967294" count="1" selected="0">
            <x v="0"/>
          </reference>
          <reference field="0" count="1" selected="0">
            <x v="5"/>
          </reference>
          <reference field="1" count="1" selected="0">
            <x v="165"/>
          </reference>
        </references>
      </pivotArea>
    </chartFormat>
    <chartFormat chart="0" format="166" series="1">
      <pivotArea type="data" outline="0" fieldPosition="0">
        <references count="3">
          <reference field="4294967294" count="1" selected="0">
            <x v="0"/>
          </reference>
          <reference field="0" count="1" selected="0">
            <x v="5"/>
          </reference>
          <reference field="1" count="1" selected="0">
            <x v="166"/>
          </reference>
        </references>
      </pivotArea>
    </chartFormat>
    <chartFormat chart="0" format="167" series="1">
      <pivotArea type="data" outline="0" fieldPosition="0">
        <references count="3">
          <reference field="4294967294" count="1" selected="0">
            <x v="0"/>
          </reference>
          <reference field="0" count="1" selected="0">
            <x v="5"/>
          </reference>
          <reference field="1" count="1" selected="0">
            <x v="167"/>
          </reference>
        </references>
      </pivotArea>
    </chartFormat>
    <chartFormat chart="0" format="168" series="1">
      <pivotArea type="data" outline="0" fieldPosition="0">
        <references count="3">
          <reference field="4294967294" count="1" selected="0">
            <x v="0"/>
          </reference>
          <reference field="0" count="1" selected="0">
            <x v="5"/>
          </reference>
          <reference field="1" count="1" selected="0">
            <x v="168"/>
          </reference>
        </references>
      </pivotArea>
    </chartFormat>
    <chartFormat chart="0" format="169" series="1">
      <pivotArea type="data" outline="0" fieldPosition="0">
        <references count="3">
          <reference field="4294967294" count="1" selected="0">
            <x v="0"/>
          </reference>
          <reference field="0" count="1" selected="0">
            <x v="5"/>
          </reference>
          <reference field="1" count="1" selected="0">
            <x v="169"/>
          </reference>
        </references>
      </pivotArea>
    </chartFormat>
    <chartFormat chart="0" format="170" series="1">
      <pivotArea type="data" outline="0" fieldPosition="0">
        <references count="3">
          <reference field="4294967294" count="1" selected="0">
            <x v="0"/>
          </reference>
          <reference field="0" count="1" selected="0">
            <x v="5"/>
          </reference>
          <reference field="1" count="1" selected="0">
            <x v="170"/>
          </reference>
        </references>
      </pivotArea>
    </chartFormat>
    <chartFormat chart="0" format="171" series="1">
      <pivotArea type="data" outline="0" fieldPosition="0">
        <references count="3">
          <reference field="4294967294" count="1" selected="0">
            <x v="0"/>
          </reference>
          <reference field="0" count="1" selected="0">
            <x v="5"/>
          </reference>
          <reference field="1" count="1" selected="0">
            <x v="171"/>
          </reference>
        </references>
      </pivotArea>
    </chartFormat>
    <chartFormat chart="0" format="172" series="1">
      <pivotArea type="data" outline="0" fieldPosition="0">
        <references count="3">
          <reference field="4294967294" count="1" selected="0">
            <x v="0"/>
          </reference>
          <reference field="0" count="1" selected="0">
            <x v="5"/>
          </reference>
          <reference field="1" count="1" selected="0">
            <x v="172"/>
          </reference>
        </references>
      </pivotArea>
    </chartFormat>
    <chartFormat chart="0" format="173" series="1">
      <pivotArea type="data" outline="0" fieldPosition="0">
        <references count="3">
          <reference field="4294967294" count="1" selected="0">
            <x v="0"/>
          </reference>
          <reference field="0" count="1" selected="0">
            <x v="5"/>
          </reference>
          <reference field="1" count="1" selected="0">
            <x v="173"/>
          </reference>
        </references>
      </pivotArea>
    </chartFormat>
    <chartFormat chart="0" format="174" series="1">
      <pivotArea type="data" outline="0" fieldPosition="0">
        <references count="3">
          <reference field="4294967294" count="1" selected="0">
            <x v="0"/>
          </reference>
          <reference field="0" count="1" selected="0">
            <x v="5"/>
          </reference>
          <reference field="1" count="1" selected="0">
            <x v="174"/>
          </reference>
        </references>
      </pivotArea>
    </chartFormat>
    <chartFormat chart="0" format="175" series="1">
      <pivotArea type="data" outline="0" fieldPosition="0">
        <references count="3">
          <reference field="4294967294" count="1" selected="0">
            <x v="0"/>
          </reference>
          <reference field="0" count="1" selected="0">
            <x v="5"/>
          </reference>
          <reference field="1" count="1" selected="0">
            <x v="175"/>
          </reference>
        </references>
      </pivotArea>
    </chartFormat>
    <chartFormat chart="0" format="176" series="1">
      <pivotArea type="data" outline="0" fieldPosition="0">
        <references count="3">
          <reference field="4294967294" count="1" selected="0">
            <x v="0"/>
          </reference>
          <reference field="0" count="1" selected="0">
            <x v="5"/>
          </reference>
          <reference field="1" count="1" selected="0">
            <x v="176"/>
          </reference>
        </references>
      </pivotArea>
    </chartFormat>
    <chartFormat chart="0" format="177" series="1">
      <pivotArea type="data" outline="0" fieldPosition="0">
        <references count="3">
          <reference field="4294967294" count="1" selected="0">
            <x v="0"/>
          </reference>
          <reference field="0" count="1" selected="0">
            <x v="5"/>
          </reference>
          <reference field="1" count="1" selected="0">
            <x v="177"/>
          </reference>
        </references>
      </pivotArea>
    </chartFormat>
    <chartFormat chart="0" format="178" series="1">
      <pivotArea type="data" outline="0" fieldPosition="0">
        <references count="3">
          <reference field="4294967294" count="1" selected="0">
            <x v="0"/>
          </reference>
          <reference field="0" count="1" selected="0">
            <x v="5"/>
          </reference>
          <reference field="1" count="1" selected="0">
            <x v="178"/>
          </reference>
        </references>
      </pivotArea>
    </chartFormat>
  </chartFormats>
  <pivotHierarchies count="53">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es"/>
    <pivotHierarchy dragToData="1" caption="Sold Quantity"/>
    <pivotHierarchy dragToData="1" caption="Profi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showRowHeaders="1" showColHeaders="1" showRowStripes="0" showColStripes="0" showLastColumn="1"/>
  <rowHierarchiesUsage count="2">
    <rowHierarchyUsage hierarchyUsage="30"/>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70E5194-3C05-46E6-90B9-6648330AF0A8}" name="Distribution_LeastSellingCities" cacheId="6" applyNumberFormats="0" applyBorderFormats="0" applyFontFormats="0" applyPatternFormats="0" applyAlignmentFormats="0" applyWidthHeightFormats="1" dataCaption="Values" updatedVersion="8" minRefreshableVersion="3" useAutoFormatting="1" subtotalHiddenItems="1" rowGrandTotals="0" itemPrintTitles="1" createdVersion="8" indent="0" outline="1" outlineData="1" multipleFieldFilters="0" rowHeaderCaption="City Name">
  <location ref="CJ41:CL44" firstHeaderRow="0" firstDataRow="1" firstDataCol="1"/>
  <pivotFields count="4">
    <pivotField axis="axisRow" allDrilled="1" subtotalTop="0" showAll="0" measureFilter="1" dataSourceSort="1" defaultSubtotal="0" defaultAttributeDrillState="1">
      <items count="3">
        <item x="0"/>
        <item x="1"/>
        <item x="2"/>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
    <i>
      <x/>
    </i>
    <i>
      <x v="1"/>
    </i>
    <i>
      <x v="2"/>
    </i>
  </rowItems>
  <colFields count="1">
    <field x="-2"/>
  </colFields>
  <colItems count="2">
    <i>
      <x/>
    </i>
    <i i="1">
      <x v="1"/>
    </i>
  </colItems>
  <dataFields count="2">
    <dataField name="Sales" fld="1" baseField="0" baseItem="0" numFmtId="168"/>
    <dataField name="Quantity" fld="2" baseField="0" baseItem="0"/>
  </dataFields>
  <formats count="12">
    <format dxfId="579">
      <pivotArea outline="0" collapsedLevelsAreSubtotals="1" fieldPosition="0">
        <references count="1">
          <reference field="4294967294" count="1" selected="0">
            <x v="0"/>
          </reference>
        </references>
      </pivotArea>
    </format>
    <format dxfId="578">
      <pivotArea dataOnly="0" labelOnly="1" outline="0" fieldPosition="0">
        <references count="1">
          <reference field="4294967294" count="1">
            <x v="0"/>
          </reference>
        </references>
      </pivotArea>
    </format>
    <format dxfId="577">
      <pivotArea type="all" dataOnly="0" outline="0" fieldPosition="0"/>
    </format>
    <format dxfId="576">
      <pivotArea outline="0" collapsedLevelsAreSubtotals="1" fieldPosition="0"/>
    </format>
    <format dxfId="575">
      <pivotArea field="0" type="button" dataOnly="0" labelOnly="1" outline="0" axis="axisRow" fieldPosition="0"/>
    </format>
    <format dxfId="574">
      <pivotArea dataOnly="0" labelOnly="1" fieldPosition="0">
        <references count="1">
          <reference field="0" count="0"/>
        </references>
      </pivotArea>
    </format>
    <format dxfId="573">
      <pivotArea dataOnly="0" labelOnly="1" outline="0" fieldPosition="0">
        <references count="1">
          <reference field="4294967294" count="2">
            <x v="0"/>
            <x v="1"/>
          </reference>
        </references>
      </pivotArea>
    </format>
    <format dxfId="572">
      <pivotArea type="all" dataOnly="0" outline="0" fieldPosition="0"/>
    </format>
    <format dxfId="571">
      <pivotArea outline="0" collapsedLevelsAreSubtotals="1" fieldPosition="0"/>
    </format>
    <format dxfId="570">
      <pivotArea field="0" type="button" dataOnly="0" labelOnly="1" outline="0" axis="axisRow" fieldPosition="0"/>
    </format>
    <format dxfId="569">
      <pivotArea dataOnly="0" labelOnly="1" fieldPosition="0">
        <references count="1">
          <reference field="0" count="0"/>
        </references>
      </pivotArea>
    </format>
    <format dxfId="568">
      <pivotArea dataOnly="0" labelOnly="1" outline="0" fieldPosition="0">
        <references count="1">
          <reference field="4294967294" count="2">
            <x v="0"/>
            <x v="1"/>
          </reference>
        </references>
      </pivotArea>
    </format>
  </formats>
  <pivotHierarchies count="54">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es"/>
    <pivotHierarchy dragToData="1" caption="Quantit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38">
      <autoFilter ref="A1">
        <filterColumn colId="0">
          <top10 top="0" val="3" filterVal="3"/>
        </filterColumn>
      </autoFilter>
    </filter>
  </filters>
  <rowHierarchiesUsage count="1">
    <rowHierarchyUsage hierarchyUsage="1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454C3FC9-C493-43E8-B9CF-2CA2DD593070}" name="Distribution_TopSellingProducts" cacheId="12" applyNumberFormats="0" applyBorderFormats="0" applyFontFormats="0" applyPatternFormats="0" applyAlignmentFormats="0" applyWidthHeightFormats="1" dataCaption="Values" updatedVersion="8" minRefreshableVersion="3" useAutoFormatting="1" subtotalHiddenItems="1" rowGrandTotals="0" itemPrintTitles="1" createdVersion="8" indent="0" outline="1" outlineData="1" multipleFieldFilters="0" rowHeaderCaption="Product Name">
  <location ref="CJ5:CL8" firstHeaderRow="0" firstDataRow="1" firstDataCol="1"/>
  <pivotFields count="4">
    <pivotField axis="axisRow" allDrilled="1" subtotalTop="0" showAll="0" measureFilter="1" dataSourceSort="1" defaultSubtotal="0" defaultAttributeDrillState="1">
      <items count="3">
        <item x="0"/>
        <item x="1"/>
        <item x="2"/>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
    <i>
      <x/>
    </i>
    <i>
      <x v="1"/>
    </i>
    <i>
      <x v="2"/>
    </i>
  </rowItems>
  <colFields count="1">
    <field x="-2"/>
  </colFields>
  <colItems count="2">
    <i>
      <x/>
    </i>
    <i i="1">
      <x v="1"/>
    </i>
  </colItems>
  <dataFields count="2">
    <dataField name="Sales" fld="1" baseField="0" baseItem="0" numFmtId="168"/>
    <dataField name="Quantity" fld="2" baseField="0" baseItem="0"/>
  </dataFields>
  <formats count="17">
    <format dxfId="596">
      <pivotArea outline="0" collapsedLevelsAreSubtotals="1" fieldPosition="0">
        <references count="1">
          <reference field="4294967294" count="1" selected="0">
            <x v="0"/>
          </reference>
        </references>
      </pivotArea>
    </format>
    <format dxfId="595">
      <pivotArea dataOnly="0" labelOnly="1" outline="0" fieldPosition="0">
        <references count="1">
          <reference field="4294967294" count="1">
            <x v="0"/>
          </reference>
        </references>
      </pivotArea>
    </format>
    <format dxfId="594">
      <pivotArea type="all" dataOnly="0" outline="0" fieldPosition="0"/>
    </format>
    <format dxfId="593">
      <pivotArea outline="0" collapsedLevelsAreSubtotals="1" fieldPosition="0"/>
    </format>
    <format dxfId="592">
      <pivotArea field="0" type="button" dataOnly="0" labelOnly="1" outline="0" axis="axisRow" fieldPosition="0"/>
    </format>
    <format dxfId="591">
      <pivotArea dataOnly="0" labelOnly="1" fieldPosition="0">
        <references count="1">
          <reference field="0" count="0"/>
        </references>
      </pivotArea>
    </format>
    <format dxfId="590">
      <pivotArea dataOnly="0" labelOnly="1" outline="0" fieldPosition="0">
        <references count="1">
          <reference field="4294967294" count="2">
            <x v="0"/>
            <x v="1"/>
          </reference>
        </references>
      </pivotArea>
    </format>
    <format dxfId="589">
      <pivotArea type="all" dataOnly="0" outline="0" fieldPosition="0"/>
    </format>
    <format dxfId="588">
      <pivotArea outline="0" collapsedLevelsAreSubtotals="1" fieldPosition="0"/>
    </format>
    <format dxfId="587">
      <pivotArea field="0" type="button" dataOnly="0" labelOnly="1" outline="0" axis="axisRow" fieldPosition="0"/>
    </format>
    <format dxfId="586">
      <pivotArea dataOnly="0" labelOnly="1" fieldPosition="0">
        <references count="1">
          <reference field="0" count="0"/>
        </references>
      </pivotArea>
    </format>
    <format dxfId="585">
      <pivotArea dataOnly="0" labelOnly="1" outline="0" fieldPosition="0">
        <references count="1">
          <reference field="4294967294" count="2">
            <x v="0"/>
            <x v="1"/>
          </reference>
        </references>
      </pivotArea>
    </format>
    <format dxfId="584">
      <pivotArea type="all" dataOnly="0" outline="0" fieldPosition="0"/>
    </format>
    <format dxfId="583">
      <pivotArea outline="0" collapsedLevelsAreSubtotals="1" fieldPosition="0"/>
    </format>
    <format dxfId="582">
      <pivotArea field="0" type="button" dataOnly="0" labelOnly="1" outline="0" axis="axisRow" fieldPosition="0"/>
    </format>
    <format dxfId="581">
      <pivotArea dataOnly="0" labelOnly="1" fieldPosition="0">
        <references count="1">
          <reference field="0" count="0"/>
        </references>
      </pivotArea>
    </format>
    <format dxfId="580">
      <pivotArea dataOnly="0" labelOnly="1" outline="0" fieldPosition="0">
        <references count="1">
          <reference field="4294967294" count="2">
            <x v="0"/>
            <x v="1"/>
          </reference>
        </references>
      </pivotArea>
    </format>
  </formats>
  <pivotHierarchies count="53">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es"/>
    <pivotHierarchy dragToData="1" caption="Quantit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38">
      <autoFilter ref="A1">
        <filterColumn colId="0">
          <top10 val="3" filterVal="3"/>
        </filterColumn>
      </autoFilter>
    </filter>
  </filters>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0B04B34-207F-4295-AAE2-BDAEDD14EB76}" name="Distribution_TopSellingCities" cacheId="11" applyNumberFormats="0" applyBorderFormats="0" applyFontFormats="0" applyPatternFormats="0" applyAlignmentFormats="0" applyWidthHeightFormats="1" dataCaption="Values" updatedVersion="8" minRefreshableVersion="3" useAutoFormatting="1" subtotalHiddenItems="1" rowGrandTotals="0" itemPrintTitles="1" createdVersion="8" indent="0" outline="1" outlineData="1" multipleFieldFilters="0" rowHeaderCaption="City Name">
  <location ref="CJ29:CL32" firstHeaderRow="0" firstDataRow="1" firstDataCol="1"/>
  <pivotFields count="4">
    <pivotField axis="axisRow" allDrilled="1" subtotalTop="0" showAll="0" measureFilter="1" dataSourceSort="1" defaultSubtotal="0" defaultAttributeDrillState="1">
      <items count="3">
        <item x="0"/>
        <item x="1"/>
        <item x="2"/>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
    <i>
      <x/>
    </i>
    <i>
      <x v="1"/>
    </i>
    <i>
      <x v="2"/>
    </i>
  </rowItems>
  <colFields count="1">
    <field x="-2"/>
  </colFields>
  <colItems count="2">
    <i>
      <x/>
    </i>
    <i i="1">
      <x v="1"/>
    </i>
  </colItems>
  <dataFields count="2">
    <dataField name="Sales" fld="1" baseField="0" baseItem="0" numFmtId="168"/>
    <dataField name="Quantity" fld="2" baseField="0" baseItem="0"/>
  </dataFields>
  <formats count="12">
    <format dxfId="608">
      <pivotArea outline="0" collapsedLevelsAreSubtotals="1" fieldPosition="0">
        <references count="1">
          <reference field="4294967294" count="1" selected="0">
            <x v="0"/>
          </reference>
        </references>
      </pivotArea>
    </format>
    <format dxfId="607">
      <pivotArea dataOnly="0" labelOnly="1" outline="0" fieldPosition="0">
        <references count="1">
          <reference field="4294967294" count="1">
            <x v="0"/>
          </reference>
        </references>
      </pivotArea>
    </format>
    <format dxfId="606">
      <pivotArea type="all" dataOnly="0" outline="0" fieldPosition="0"/>
    </format>
    <format dxfId="605">
      <pivotArea outline="0" collapsedLevelsAreSubtotals="1" fieldPosition="0"/>
    </format>
    <format dxfId="604">
      <pivotArea field="0" type="button" dataOnly="0" labelOnly="1" outline="0" axis="axisRow" fieldPosition="0"/>
    </format>
    <format dxfId="603">
      <pivotArea dataOnly="0" labelOnly="1" fieldPosition="0">
        <references count="1">
          <reference field="0" count="0"/>
        </references>
      </pivotArea>
    </format>
    <format dxfId="602">
      <pivotArea dataOnly="0" labelOnly="1" outline="0" fieldPosition="0">
        <references count="1">
          <reference field="4294967294" count="2">
            <x v="0"/>
            <x v="1"/>
          </reference>
        </references>
      </pivotArea>
    </format>
    <format dxfId="601">
      <pivotArea type="all" dataOnly="0" outline="0" fieldPosition="0"/>
    </format>
    <format dxfId="600">
      <pivotArea outline="0" collapsedLevelsAreSubtotals="1" fieldPosition="0"/>
    </format>
    <format dxfId="599">
      <pivotArea field="0" type="button" dataOnly="0" labelOnly="1" outline="0" axis="axisRow" fieldPosition="0"/>
    </format>
    <format dxfId="598">
      <pivotArea dataOnly="0" labelOnly="1" fieldPosition="0">
        <references count="1">
          <reference field="0" count="0"/>
        </references>
      </pivotArea>
    </format>
    <format dxfId="597">
      <pivotArea dataOnly="0" labelOnly="1" outline="0" fieldPosition="0">
        <references count="1">
          <reference field="4294967294" count="2">
            <x v="0"/>
            <x v="1"/>
          </reference>
        </references>
      </pivotArea>
    </format>
  </formats>
  <pivotHierarchies count="54">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es"/>
    <pivotHierarchy dragToData="1" caption="Quantit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38">
      <autoFilter ref="A1">
        <filterColumn colId="0">
          <top10 val="3" filterVal="3"/>
        </filterColumn>
      </autoFilter>
    </filter>
  </filters>
  <rowHierarchiesUsage count="1">
    <rowHierarchyUsage hierarchyUsage="1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BAB89E43-CC14-40A3-B3F6-70BD4F1B4A8E}" name="SalesMap_RegionalBars+Matrix" cacheId="19" applyNumberFormats="0" applyBorderFormats="0" applyFontFormats="0" applyPatternFormats="0" applyAlignmentFormats="0" applyWidthHeightFormats="1" dataCaption="Values" tag="aeb17f03-33b3-4867-967a-2a6de321512f" updatedVersion="8" minRefreshableVersion="3" subtotalHiddenItems="1" itemPrintTitles="1" createdVersion="8" indent="0" compact="0" compactData="0" gridDropZones="1" multipleFieldFilters="0" chartFormat="13">
  <location ref="AD5:AJ19" firstHeaderRow="1" firstDataRow="2" firstDataCol="2"/>
  <pivotFields count="7">
    <pivotField axis="axisRow" compact="0" allDrilled="1" outline="0" subtotalTop="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4">
        <item x="0"/>
        <item x="1"/>
        <item x="2"/>
        <item x="3"/>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s>
  <rowFields count="2">
    <field x="4"/>
    <field x="0"/>
  </rowFields>
  <rowItems count="13">
    <i>
      <x/>
      <x/>
    </i>
    <i r="1">
      <x v="1"/>
    </i>
    <i r="1">
      <x v="2"/>
    </i>
    <i>
      <x v="1"/>
      <x/>
    </i>
    <i r="1">
      <x v="1"/>
    </i>
    <i r="1">
      <x v="2"/>
    </i>
    <i>
      <x v="2"/>
      <x/>
    </i>
    <i r="1">
      <x v="1"/>
    </i>
    <i r="1">
      <x v="2"/>
    </i>
    <i>
      <x v="3"/>
      <x/>
    </i>
    <i r="1">
      <x v="1"/>
    </i>
    <i r="1">
      <x v="2"/>
    </i>
    <i t="grand">
      <x/>
    </i>
  </rowItems>
  <colFields count="1">
    <field x="-2"/>
  </colFields>
  <colItems count="5">
    <i>
      <x/>
    </i>
    <i i="1">
      <x v="1"/>
    </i>
    <i i="2">
      <x v="2"/>
    </i>
    <i i="3">
      <x v="3"/>
    </i>
    <i i="4">
      <x v="4"/>
    </i>
  </colItems>
  <dataFields count="5">
    <dataField name="Cumulative cost" fld="2" baseField="0" baseItem="0"/>
    <dataField name="Shipping Cost" fld="3" baseField="0" baseItem="0"/>
    <dataField name="Discount" fld="5" baseField="0" baseItem="0"/>
    <dataField name="Profit" fld="1" baseField="0" baseItem="0"/>
    <dataField name="Sales" fld="6" baseField="0" baseItem="0"/>
  </dataFields>
  <formats count="152">
    <format dxfId="760">
      <pivotArea type="all" dataOnly="0" outline="0" fieldPosition="0"/>
    </format>
    <format dxfId="759">
      <pivotArea outline="0" collapsedLevelsAreSubtotals="1" fieldPosition="0"/>
    </format>
    <format dxfId="758">
      <pivotArea dataOnly="0" labelOnly="1" grandRow="1" outline="0" fieldPosition="0"/>
    </format>
    <format dxfId="757">
      <pivotArea dataOnly="0" labelOnly="1" outline="0" fieldPosition="0">
        <references count="1">
          <reference field="4294967294" count="3">
            <x v="0"/>
            <x v="1"/>
            <x v="3"/>
          </reference>
        </references>
      </pivotArea>
    </format>
    <format dxfId="756">
      <pivotArea type="all" dataOnly="0" outline="0" fieldPosition="0"/>
    </format>
    <format dxfId="755">
      <pivotArea outline="0" collapsedLevelsAreSubtotals="1" fieldPosition="0"/>
    </format>
    <format dxfId="754">
      <pivotArea dataOnly="0" labelOnly="1" grandRow="1" outline="0" fieldPosition="0"/>
    </format>
    <format dxfId="753">
      <pivotArea dataOnly="0" labelOnly="1" outline="0" fieldPosition="0">
        <references count="1">
          <reference field="4294967294" count="3">
            <x v="0"/>
            <x v="1"/>
            <x v="3"/>
          </reference>
        </references>
      </pivotArea>
    </format>
    <format dxfId="752">
      <pivotArea type="all" dataOnly="0" outline="0" fieldPosition="0"/>
    </format>
    <format dxfId="751">
      <pivotArea outline="0" collapsedLevelsAreSubtotals="1" fieldPosition="0"/>
    </format>
    <format dxfId="750">
      <pivotArea type="origin" dataOnly="0" labelOnly="1" outline="0" fieldPosition="0"/>
    </format>
    <format dxfId="749">
      <pivotArea field="-2" type="button" dataOnly="0" labelOnly="1" outline="0" axis="axisCol" fieldPosition="0"/>
    </format>
    <format dxfId="748">
      <pivotArea type="topRight" dataOnly="0" labelOnly="1" outline="0" fieldPosition="0"/>
    </format>
    <format dxfId="747">
      <pivotArea field="4" type="button" dataOnly="0" labelOnly="1" outline="0" axis="axisRow" fieldPosition="0"/>
    </format>
    <format dxfId="746">
      <pivotArea field="0" type="button" dataOnly="0" labelOnly="1" outline="0" axis="axisRow" fieldPosition="1"/>
    </format>
    <format dxfId="745">
      <pivotArea dataOnly="0" labelOnly="1" outline="0" fieldPosition="0">
        <references count="1">
          <reference field="4" count="0"/>
        </references>
      </pivotArea>
    </format>
    <format dxfId="744">
      <pivotArea dataOnly="0" labelOnly="1" grandRow="1" outline="0" fieldPosition="0"/>
    </format>
    <format dxfId="743">
      <pivotArea dataOnly="0" labelOnly="1" outline="0" fieldPosition="0">
        <references count="2">
          <reference field="0" count="0"/>
          <reference field="4" count="1" selected="0">
            <x v="0"/>
          </reference>
        </references>
      </pivotArea>
    </format>
    <format dxfId="742">
      <pivotArea dataOnly="0" labelOnly="1" outline="0" fieldPosition="0">
        <references count="2">
          <reference field="0" count="0"/>
          <reference field="4" count="1" selected="0">
            <x v="1"/>
          </reference>
        </references>
      </pivotArea>
    </format>
    <format dxfId="741">
      <pivotArea dataOnly="0" labelOnly="1" outline="0" fieldPosition="0">
        <references count="2">
          <reference field="0" count="0"/>
          <reference field="4" count="1" selected="0">
            <x v="2"/>
          </reference>
        </references>
      </pivotArea>
    </format>
    <format dxfId="740">
      <pivotArea dataOnly="0" labelOnly="1" outline="0" fieldPosition="0">
        <references count="2">
          <reference field="0" count="0"/>
          <reference field="4" count="1" selected="0">
            <x v="3"/>
          </reference>
        </references>
      </pivotArea>
    </format>
    <format dxfId="739">
      <pivotArea dataOnly="0" labelOnly="1" outline="0" fieldPosition="0">
        <references count="1">
          <reference field="4294967294" count="3">
            <x v="0"/>
            <x v="1"/>
            <x v="3"/>
          </reference>
        </references>
      </pivotArea>
    </format>
    <format dxfId="738">
      <pivotArea type="all" dataOnly="0" outline="0" fieldPosition="0"/>
    </format>
    <format dxfId="737">
      <pivotArea outline="0" collapsedLevelsAreSubtotals="1" fieldPosition="0"/>
    </format>
    <format dxfId="736">
      <pivotArea type="origin" dataOnly="0" labelOnly="1" outline="0" fieldPosition="0"/>
    </format>
    <format dxfId="735">
      <pivotArea field="-2" type="button" dataOnly="0" labelOnly="1" outline="0" axis="axisCol" fieldPosition="0"/>
    </format>
    <format dxfId="734">
      <pivotArea type="topRight" dataOnly="0" labelOnly="1" outline="0" fieldPosition="0"/>
    </format>
    <format dxfId="733">
      <pivotArea field="4" type="button" dataOnly="0" labelOnly="1" outline="0" axis="axisRow" fieldPosition="0"/>
    </format>
    <format dxfId="732">
      <pivotArea field="0" type="button" dataOnly="0" labelOnly="1" outline="0" axis="axisRow" fieldPosition="1"/>
    </format>
    <format dxfId="731">
      <pivotArea dataOnly="0" labelOnly="1" outline="0" fieldPosition="0">
        <references count="1">
          <reference field="4" count="0"/>
        </references>
      </pivotArea>
    </format>
    <format dxfId="730">
      <pivotArea dataOnly="0" labelOnly="1" grandRow="1" outline="0" fieldPosition="0"/>
    </format>
    <format dxfId="729">
      <pivotArea dataOnly="0" labelOnly="1" outline="0" fieldPosition="0">
        <references count="2">
          <reference field="0" count="0"/>
          <reference field="4" count="1" selected="0">
            <x v="0"/>
          </reference>
        </references>
      </pivotArea>
    </format>
    <format dxfId="728">
      <pivotArea dataOnly="0" labelOnly="1" outline="0" fieldPosition="0">
        <references count="2">
          <reference field="0" count="0"/>
          <reference field="4" count="1" selected="0">
            <x v="1"/>
          </reference>
        </references>
      </pivotArea>
    </format>
    <format dxfId="727">
      <pivotArea dataOnly="0" labelOnly="1" outline="0" fieldPosition="0">
        <references count="2">
          <reference field="0" count="0"/>
          <reference field="4" count="1" selected="0">
            <x v="2"/>
          </reference>
        </references>
      </pivotArea>
    </format>
    <format dxfId="726">
      <pivotArea dataOnly="0" labelOnly="1" outline="0" fieldPosition="0">
        <references count="2">
          <reference field="0" count="0"/>
          <reference field="4" count="1" selected="0">
            <x v="3"/>
          </reference>
        </references>
      </pivotArea>
    </format>
    <format dxfId="725">
      <pivotArea dataOnly="0" labelOnly="1" outline="0" fieldPosition="0">
        <references count="1">
          <reference field="4294967294" count="3">
            <x v="0"/>
            <x v="1"/>
            <x v="3"/>
          </reference>
        </references>
      </pivotArea>
    </format>
    <format dxfId="724">
      <pivotArea type="origin" dataOnly="0" labelOnly="1" outline="0" fieldPosition="0"/>
    </format>
    <format dxfId="723">
      <pivotArea field="4" type="button" dataOnly="0" labelOnly="1" outline="0" axis="axisRow" fieldPosition="0"/>
    </format>
    <format dxfId="722">
      <pivotArea dataOnly="0" labelOnly="1" outline="0" fieldPosition="0">
        <references count="1">
          <reference field="4" count="0"/>
        </references>
      </pivotArea>
    </format>
    <format dxfId="721">
      <pivotArea dataOnly="0" labelOnly="1" grandRow="1" outline="0" fieldPosition="0"/>
    </format>
    <format dxfId="720">
      <pivotArea type="all" dataOnly="0" outline="0" fieldPosition="0"/>
    </format>
    <format dxfId="719">
      <pivotArea outline="0" collapsedLevelsAreSubtotals="1" fieldPosition="0"/>
    </format>
    <format dxfId="718">
      <pivotArea type="origin" dataOnly="0" labelOnly="1" outline="0" fieldPosition="0"/>
    </format>
    <format dxfId="717">
      <pivotArea field="-2" type="button" dataOnly="0" labelOnly="1" outline="0" axis="axisCol" fieldPosition="0"/>
    </format>
    <format dxfId="716">
      <pivotArea type="topRight" dataOnly="0" labelOnly="1" outline="0" fieldPosition="0"/>
    </format>
    <format dxfId="715">
      <pivotArea field="4" type="button" dataOnly="0" labelOnly="1" outline="0" axis="axisRow" fieldPosition="0"/>
    </format>
    <format dxfId="714">
      <pivotArea field="0" type="button" dataOnly="0" labelOnly="1" outline="0" axis="axisRow" fieldPosition="1"/>
    </format>
    <format dxfId="713">
      <pivotArea dataOnly="0" labelOnly="1" outline="0" fieldPosition="0">
        <references count="1">
          <reference field="4" count="0"/>
        </references>
      </pivotArea>
    </format>
    <format dxfId="712">
      <pivotArea dataOnly="0" labelOnly="1" grandRow="1" outline="0" fieldPosition="0"/>
    </format>
    <format dxfId="711">
      <pivotArea dataOnly="0" labelOnly="1" outline="0" fieldPosition="0">
        <references count="2">
          <reference field="0" count="0"/>
          <reference field="4" count="1" selected="0">
            <x v="0"/>
          </reference>
        </references>
      </pivotArea>
    </format>
    <format dxfId="710">
      <pivotArea dataOnly="0" labelOnly="1" outline="0" fieldPosition="0">
        <references count="2">
          <reference field="0" count="0"/>
          <reference field="4" count="1" selected="0">
            <x v="1"/>
          </reference>
        </references>
      </pivotArea>
    </format>
    <format dxfId="709">
      <pivotArea dataOnly="0" labelOnly="1" outline="0" fieldPosition="0">
        <references count="2">
          <reference field="0" count="0"/>
          <reference field="4" count="1" selected="0">
            <x v="2"/>
          </reference>
        </references>
      </pivotArea>
    </format>
    <format dxfId="708">
      <pivotArea dataOnly="0" labelOnly="1" outline="0" fieldPosition="0">
        <references count="2">
          <reference field="0" count="0"/>
          <reference field="4" count="1" selected="0">
            <x v="3"/>
          </reference>
        </references>
      </pivotArea>
    </format>
    <format dxfId="707">
      <pivotArea dataOnly="0" labelOnly="1" outline="0" fieldPosition="0">
        <references count="1">
          <reference field="4294967294" count="5">
            <x v="0"/>
            <x v="1"/>
            <x v="2"/>
            <x v="3"/>
            <x v="4"/>
          </reference>
        </references>
      </pivotArea>
    </format>
    <format dxfId="706">
      <pivotArea type="all" dataOnly="0" outline="0" fieldPosition="0"/>
    </format>
    <format dxfId="705">
      <pivotArea outline="0" collapsedLevelsAreSubtotals="1" fieldPosition="0"/>
    </format>
    <format dxfId="704">
      <pivotArea type="origin" dataOnly="0" labelOnly="1" outline="0" fieldPosition="0"/>
    </format>
    <format dxfId="703">
      <pivotArea field="-2" type="button" dataOnly="0" labelOnly="1" outline="0" axis="axisCol" fieldPosition="0"/>
    </format>
    <format dxfId="702">
      <pivotArea type="topRight" dataOnly="0" labelOnly="1" outline="0" fieldPosition="0"/>
    </format>
    <format dxfId="701">
      <pivotArea field="4" type="button" dataOnly="0" labelOnly="1" outline="0" axis="axisRow" fieldPosition="0"/>
    </format>
    <format dxfId="700">
      <pivotArea field="0" type="button" dataOnly="0" labelOnly="1" outline="0" axis="axisRow" fieldPosition="1"/>
    </format>
    <format dxfId="699">
      <pivotArea dataOnly="0" labelOnly="1" outline="0" fieldPosition="0">
        <references count="1">
          <reference field="4" count="0"/>
        </references>
      </pivotArea>
    </format>
    <format dxfId="698">
      <pivotArea dataOnly="0" labelOnly="1" grandRow="1" outline="0" fieldPosition="0"/>
    </format>
    <format dxfId="697">
      <pivotArea dataOnly="0" labelOnly="1" outline="0" fieldPosition="0">
        <references count="2">
          <reference field="0" count="0"/>
          <reference field="4" count="1" selected="0">
            <x v="0"/>
          </reference>
        </references>
      </pivotArea>
    </format>
    <format dxfId="696">
      <pivotArea dataOnly="0" labelOnly="1" outline="0" fieldPosition="0">
        <references count="2">
          <reference field="0" count="0"/>
          <reference field="4" count="1" selected="0">
            <x v="1"/>
          </reference>
        </references>
      </pivotArea>
    </format>
    <format dxfId="695">
      <pivotArea dataOnly="0" labelOnly="1" outline="0" fieldPosition="0">
        <references count="2">
          <reference field="0" count="0"/>
          <reference field="4" count="1" selected="0">
            <x v="2"/>
          </reference>
        </references>
      </pivotArea>
    </format>
    <format dxfId="694">
      <pivotArea dataOnly="0" labelOnly="1" outline="0" fieldPosition="0">
        <references count="2">
          <reference field="0" count="0"/>
          <reference field="4" count="1" selected="0">
            <x v="3"/>
          </reference>
        </references>
      </pivotArea>
    </format>
    <format dxfId="693">
      <pivotArea dataOnly="0" labelOnly="1" outline="0" fieldPosition="0">
        <references count="1">
          <reference field="4294967294" count="5">
            <x v="0"/>
            <x v="1"/>
            <x v="2"/>
            <x v="3"/>
            <x v="4"/>
          </reference>
        </references>
      </pivotArea>
    </format>
    <format dxfId="692">
      <pivotArea type="all" dataOnly="0" outline="0" fieldPosition="0"/>
    </format>
    <format dxfId="691">
      <pivotArea outline="0" collapsedLevelsAreSubtotals="1" fieldPosition="0"/>
    </format>
    <format dxfId="690">
      <pivotArea type="origin" dataOnly="0" labelOnly="1" outline="0" fieldPosition="0"/>
    </format>
    <format dxfId="689">
      <pivotArea field="-2" type="button" dataOnly="0" labelOnly="1" outline="0" axis="axisCol" fieldPosition="0"/>
    </format>
    <format dxfId="688">
      <pivotArea type="topRight" dataOnly="0" labelOnly="1" outline="0" fieldPosition="0"/>
    </format>
    <format dxfId="687">
      <pivotArea field="4" type="button" dataOnly="0" labelOnly="1" outline="0" axis="axisRow" fieldPosition="0"/>
    </format>
    <format dxfId="686">
      <pivotArea field="0" type="button" dataOnly="0" labelOnly="1" outline="0" axis="axisRow" fieldPosition="1"/>
    </format>
    <format dxfId="685">
      <pivotArea dataOnly="0" labelOnly="1" outline="0" fieldPosition="0">
        <references count="1">
          <reference field="4" count="0"/>
        </references>
      </pivotArea>
    </format>
    <format dxfId="684">
      <pivotArea dataOnly="0" labelOnly="1" grandRow="1" outline="0" fieldPosition="0"/>
    </format>
    <format dxfId="683">
      <pivotArea dataOnly="0" labelOnly="1" outline="0" fieldPosition="0">
        <references count="2">
          <reference field="0" count="0"/>
          <reference field="4" count="1" selected="0">
            <x v="0"/>
          </reference>
        </references>
      </pivotArea>
    </format>
    <format dxfId="682">
      <pivotArea dataOnly="0" labelOnly="1" outline="0" fieldPosition="0">
        <references count="2">
          <reference field="0" count="0"/>
          <reference field="4" count="1" selected="0">
            <x v="1"/>
          </reference>
        </references>
      </pivotArea>
    </format>
    <format dxfId="681">
      <pivotArea dataOnly="0" labelOnly="1" outline="0" fieldPosition="0">
        <references count="2">
          <reference field="0" count="0"/>
          <reference field="4" count="1" selected="0">
            <x v="2"/>
          </reference>
        </references>
      </pivotArea>
    </format>
    <format dxfId="680">
      <pivotArea dataOnly="0" labelOnly="1" outline="0" fieldPosition="0">
        <references count="2">
          <reference field="0" count="0"/>
          <reference field="4" count="1" selected="0">
            <x v="3"/>
          </reference>
        </references>
      </pivotArea>
    </format>
    <format dxfId="679">
      <pivotArea dataOnly="0" labelOnly="1" outline="0" fieldPosition="0">
        <references count="1">
          <reference field="4294967294" count="5">
            <x v="0"/>
            <x v="1"/>
            <x v="2"/>
            <x v="3"/>
            <x v="4"/>
          </reference>
        </references>
      </pivotArea>
    </format>
    <format dxfId="678">
      <pivotArea type="all" dataOnly="0" outline="0" fieldPosition="0"/>
    </format>
    <format dxfId="677">
      <pivotArea outline="0" collapsedLevelsAreSubtotals="1" fieldPosition="0"/>
    </format>
    <format dxfId="676">
      <pivotArea type="origin" dataOnly="0" labelOnly="1" outline="0" fieldPosition="0"/>
    </format>
    <format dxfId="675">
      <pivotArea field="-2" type="button" dataOnly="0" labelOnly="1" outline="0" axis="axisCol" fieldPosition="0"/>
    </format>
    <format dxfId="674">
      <pivotArea type="topRight" dataOnly="0" labelOnly="1" outline="0" fieldPosition="0"/>
    </format>
    <format dxfId="673">
      <pivotArea field="4" type="button" dataOnly="0" labelOnly="1" outline="0" axis="axisRow" fieldPosition="0"/>
    </format>
    <format dxfId="672">
      <pivotArea field="0" type="button" dataOnly="0" labelOnly="1" outline="0" axis="axisRow" fieldPosition="1"/>
    </format>
    <format dxfId="671">
      <pivotArea dataOnly="0" labelOnly="1" outline="0" fieldPosition="0">
        <references count="1">
          <reference field="4" count="0"/>
        </references>
      </pivotArea>
    </format>
    <format dxfId="670">
      <pivotArea dataOnly="0" labelOnly="1" grandRow="1" outline="0" fieldPosition="0"/>
    </format>
    <format dxfId="669">
      <pivotArea dataOnly="0" labelOnly="1" outline="0" fieldPosition="0">
        <references count="2">
          <reference field="0" count="0"/>
          <reference field="4" count="1" selected="0">
            <x v="0"/>
          </reference>
        </references>
      </pivotArea>
    </format>
    <format dxfId="668">
      <pivotArea dataOnly="0" labelOnly="1" outline="0" fieldPosition="0">
        <references count="2">
          <reference field="0" count="0"/>
          <reference field="4" count="1" selected="0">
            <x v="1"/>
          </reference>
        </references>
      </pivotArea>
    </format>
    <format dxfId="667">
      <pivotArea dataOnly="0" labelOnly="1" outline="0" fieldPosition="0">
        <references count="2">
          <reference field="0" count="0"/>
          <reference field="4" count="1" selected="0">
            <x v="2"/>
          </reference>
        </references>
      </pivotArea>
    </format>
    <format dxfId="666">
      <pivotArea dataOnly="0" labelOnly="1" outline="0" fieldPosition="0">
        <references count="2">
          <reference field="0" count="0"/>
          <reference field="4" count="1" selected="0">
            <x v="3"/>
          </reference>
        </references>
      </pivotArea>
    </format>
    <format dxfId="665">
      <pivotArea dataOnly="0" labelOnly="1" outline="0" fieldPosition="0">
        <references count="1">
          <reference field="4294967294" count="5">
            <x v="0"/>
            <x v="1"/>
            <x v="2"/>
            <x v="3"/>
            <x v="4"/>
          </reference>
        </references>
      </pivotArea>
    </format>
    <format dxfId="664">
      <pivotArea type="all" dataOnly="0" outline="0" fieldPosition="0"/>
    </format>
    <format dxfId="663">
      <pivotArea outline="0" collapsedLevelsAreSubtotals="1" fieldPosition="0"/>
    </format>
    <format dxfId="662">
      <pivotArea type="origin" dataOnly="0" labelOnly="1" outline="0" fieldPosition="0"/>
    </format>
    <format dxfId="661">
      <pivotArea field="-2" type="button" dataOnly="0" labelOnly="1" outline="0" axis="axisCol" fieldPosition="0"/>
    </format>
    <format dxfId="660">
      <pivotArea type="topRight" dataOnly="0" labelOnly="1" outline="0" fieldPosition="0"/>
    </format>
    <format dxfId="659">
      <pivotArea field="4" type="button" dataOnly="0" labelOnly="1" outline="0" axis="axisRow" fieldPosition="0"/>
    </format>
    <format dxfId="658">
      <pivotArea field="0" type="button" dataOnly="0" labelOnly="1" outline="0" axis="axisRow" fieldPosition="1"/>
    </format>
    <format dxfId="657">
      <pivotArea dataOnly="0" labelOnly="1" outline="0" fieldPosition="0">
        <references count="1">
          <reference field="4" count="0"/>
        </references>
      </pivotArea>
    </format>
    <format dxfId="656">
      <pivotArea dataOnly="0" labelOnly="1" grandRow="1" outline="0" fieldPosition="0"/>
    </format>
    <format dxfId="655">
      <pivotArea dataOnly="0" labelOnly="1" outline="0" fieldPosition="0">
        <references count="2">
          <reference field="0" count="0"/>
          <reference field="4" count="1" selected="0">
            <x v="0"/>
          </reference>
        </references>
      </pivotArea>
    </format>
    <format dxfId="654">
      <pivotArea dataOnly="0" labelOnly="1" outline="0" fieldPosition="0">
        <references count="2">
          <reference field="0" count="0"/>
          <reference field="4" count="1" selected="0">
            <x v="1"/>
          </reference>
        </references>
      </pivotArea>
    </format>
    <format dxfId="653">
      <pivotArea dataOnly="0" labelOnly="1" outline="0" fieldPosition="0">
        <references count="2">
          <reference field="0" count="0"/>
          <reference field="4" count="1" selected="0">
            <x v="2"/>
          </reference>
        </references>
      </pivotArea>
    </format>
    <format dxfId="652">
      <pivotArea dataOnly="0" labelOnly="1" outline="0" fieldPosition="0">
        <references count="2">
          <reference field="0" count="0"/>
          <reference field="4" count="1" selected="0">
            <x v="3"/>
          </reference>
        </references>
      </pivotArea>
    </format>
    <format dxfId="651">
      <pivotArea dataOnly="0" labelOnly="1" outline="0" fieldPosition="0">
        <references count="1">
          <reference field="4294967294" count="5">
            <x v="0"/>
            <x v="1"/>
            <x v="2"/>
            <x v="3"/>
            <x v="4"/>
          </reference>
        </references>
      </pivotArea>
    </format>
    <format dxfId="650">
      <pivotArea type="all" dataOnly="0" outline="0" fieldPosition="0"/>
    </format>
    <format dxfId="649">
      <pivotArea outline="0" collapsedLevelsAreSubtotals="1" fieldPosition="0"/>
    </format>
    <format dxfId="648">
      <pivotArea type="origin" dataOnly="0" labelOnly="1" outline="0" fieldPosition="0"/>
    </format>
    <format dxfId="647">
      <pivotArea field="-2" type="button" dataOnly="0" labelOnly="1" outline="0" axis="axisCol" fieldPosition="0"/>
    </format>
    <format dxfId="646">
      <pivotArea type="topRight" dataOnly="0" labelOnly="1" outline="0" fieldPosition="0"/>
    </format>
    <format dxfId="645">
      <pivotArea field="4" type="button" dataOnly="0" labelOnly="1" outline="0" axis="axisRow" fieldPosition="0"/>
    </format>
    <format dxfId="644">
      <pivotArea field="0" type="button" dataOnly="0" labelOnly="1" outline="0" axis="axisRow" fieldPosition="1"/>
    </format>
    <format dxfId="643">
      <pivotArea dataOnly="0" labelOnly="1" outline="0" fieldPosition="0">
        <references count="1">
          <reference field="4" count="0"/>
        </references>
      </pivotArea>
    </format>
    <format dxfId="642">
      <pivotArea dataOnly="0" labelOnly="1" grandRow="1" outline="0" fieldPosition="0"/>
    </format>
    <format dxfId="641">
      <pivotArea dataOnly="0" labelOnly="1" outline="0" fieldPosition="0">
        <references count="2">
          <reference field="0" count="0"/>
          <reference field="4" count="1" selected="0">
            <x v="0"/>
          </reference>
        </references>
      </pivotArea>
    </format>
    <format dxfId="640">
      <pivotArea dataOnly="0" labelOnly="1" outline="0" fieldPosition="0">
        <references count="2">
          <reference field="0" count="0"/>
          <reference field="4" count="1" selected="0">
            <x v="1"/>
          </reference>
        </references>
      </pivotArea>
    </format>
    <format dxfId="639">
      <pivotArea dataOnly="0" labelOnly="1" outline="0" fieldPosition="0">
        <references count="2">
          <reference field="0" count="0"/>
          <reference field="4" count="1" selected="0">
            <x v="2"/>
          </reference>
        </references>
      </pivotArea>
    </format>
    <format dxfId="638">
      <pivotArea dataOnly="0" labelOnly="1" outline="0" fieldPosition="0">
        <references count="2">
          <reference field="0" count="0"/>
          <reference field="4" count="1" selected="0">
            <x v="3"/>
          </reference>
        </references>
      </pivotArea>
    </format>
    <format dxfId="637">
      <pivotArea dataOnly="0" labelOnly="1" outline="0" fieldPosition="0">
        <references count="1">
          <reference field="4294967294" count="5">
            <x v="0"/>
            <x v="1"/>
            <x v="2"/>
            <x v="3"/>
            <x v="4"/>
          </reference>
        </references>
      </pivotArea>
    </format>
    <format dxfId="636">
      <pivotArea type="all" dataOnly="0" outline="0" fieldPosition="0"/>
    </format>
    <format dxfId="635">
      <pivotArea outline="0" collapsedLevelsAreSubtotals="1" fieldPosition="0"/>
    </format>
    <format dxfId="634">
      <pivotArea type="origin" dataOnly="0" labelOnly="1" outline="0" fieldPosition="0"/>
    </format>
    <format dxfId="633">
      <pivotArea field="-2" type="button" dataOnly="0" labelOnly="1" outline="0" axis="axisCol" fieldPosition="0"/>
    </format>
    <format dxfId="632">
      <pivotArea type="topRight" dataOnly="0" labelOnly="1" outline="0" fieldPosition="0"/>
    </format>
    <format dxfId="631">
      <pivotArea field="4" type="button" dataOnly="0" labelOnly="1" outline="0" axis="axisRow" fieldPosition="0"/>
    </format>
    <format dxfId="630">
      <pivotArea field="0" type="button" dataOnly="0" labelOnly="1" outline="0" axis="axisRow" fieldPosition="1"/>
    </format>
    <format dxfId="629">
      <pivotArea dataOnly="0" labelOnly="1" outline="0" fieldPosition="0">
        <references count="1">
          <reference field="4" count="0"/>
        </references>
      </pivotArea>
    </format>
    <format dxfId="628">
      <pivotArea dataOnly="0" labelOnly="1" grandRow="1" outline="0" fieldPosition="0"/>
    </format>
    <format dxfId="627">
      <pivotArea dataOnly="0" labelOnly="1" outline="0" fieldPosition="0">
        <references count="2">
          <reference field="0" count="0"/>
          <reference field="4" count="1" selected="0">
            <x v="0"/>
          </reference>
        </references>
      </pivotArea>
    </format>
    <format dxfId="626">
      <pivotArea dataOnly="0" labelOnly="1" outline="0" fieldPosition="0">
        <references count="2">
          <reference field="0" count="0"/>
          <reference field="4" count="1" selected="0">
            <x v="1"/>
          </reference>
        </references>
      </pivotArea>
    </format>
    <format dxfId="625">
      <pivotArea dataOnly="0" labelOnly="1" outline="0" fieldPosition="0">
        <references count="2">
          <reference field="0" count="0"/>
          <reference field="4" count="1" selected="0">
            <x v="2"/>
          </reference>
        </references>
      </pivotArea>
    </format>
    <format dxfId="624">
      <pivotArea dataOnly="0" labelOnly="1" outline="0" fieldPosition="0">
        <references count="2">
          <reference field="0" count="0"/>
          <reference field="4" count="1" selected="0">
            <x v="3"/>
          </reference>
        </references>
      </pivotArea>
    </format>
    <format dxfId="623">
      <pivotArea dataOnly="0" labelOnly="1" outline="0" fieldPosition="0">
        <references count="1">
          <reference field="4294967294" count="5">
            <x v="0"/>
            <x v="1"/>
            <x v="2"/>
            <x v="3"/>
            <x v="4"/>
          </reference>
        </references>
      </pivotArea>
    </format>
    <format dxfId="622">
      <pivotArea type="all" dataOnly="0" outline="0" fieldPosition="0"/>
    </format>
    <format dxfId="621">
      <pivotArea outline="0" collapsedLevelsAreSubtotals="1" fieldPosition="0"/>
    </format>
    <format dxfId="620">
      <pivotArea type="origin" dataOnly="0" labelOnly="1" outline="0" fieldPosition="0"/>
    </format>
    <format dxfId="619">
      <pivotArea field="-2" type="button" dataOnly="0" labelOnly="1" outline="0" axis="axisCol" fieldPosition="0"/>
    </format>
    <format dxfId="618">
      <pivotArea type="topRight" dataOnly="0" labelOnly="1" outline="0" fieldPosition="0"/>
    </format>
    <format dxfId="617">
      <pivotArea field="4" type="button" dataOnly="0" labelOnly="1" outline="0" axis="axisRow" fieldPosition="0"/>
    </format>
    <format dxfId="616">
      <pivotArea field="0" type="button" dataOnly="0" labelOnly="1" outline="0" axis="axisRow" fieldPosition="1"/>
    </format>
    <format dxfId="615">
      <pivotArea dataOnly="0" labelOnly="1" outline="0" fieldPosition="0">
        <references count="1">
          <reference field="4" count="0"/>
        </references>
      </pivotArea>
    </format>
    <format dxfId="614">
      <pivotArea dataOnly="0" labelOnly="1" grandRow="1" outline="0" fieldPosition="0"/>
    </format>
    <format dxfId="613">
      <pivotArea dataOnly="0" labelOnly="1" outline="0" fieldPosition="0">
        <references count="2">
          <reference field="0" count="0"/>
          <reference field="4" count="1" selected="0">
            <x v="0"/>
          </reference>
        </references>
      </pivotArea>
    </format>
    <format dxfId="612">
      <pivotArea dataOnly="0" labelOnly="1" outline="0" fieldPosition="0">
        <references count="2">
          <reference field="0" count="0"/>
          <reference field="4" count="1" selected="0">
            <x v="1"/>
          </reference>
        </references>
      </pivotArea>
    </format>
    <format dxfId="611">
      <pivotArea dataOnly="0" labelOnly="1" outline="0" fieldPosition="0">
        <references count="2">
          <reference field="0" count="0"/>
          <reference field="4" count="1" selected="0">
            <x v="2"/>
          </reference>
        </references>
      </pivotArea>
    </format>
    <format dxfId="610">
      <pivotArea dataOnly="0" labelOnly="1" outline="0" fieldPosition="0">
        <references count="2">
          <reference field="0" count="0"/>
          <reference field="4" count="1" selected="0">
            <x v="3"/>
          </reference>
        </references>
      </pivotArea>
    </format>
    <format dxfId="609">
      <pivotArea dataOnly="0" labelOnly="1" outline="0" fieldPosition="0">
        <references count="1">
          <reference field="4294967294" count="5">
            <x v="0"/>
            <x v="1"/>
            <x v="2"/>
            <x v="3"/>
            <x v="4"/>
          </reference>
        </references>
      </pivotArea>
    </format>
  </formats>
  <chartFormats count="12">
    <chartFormat chart="1" format="0" series="1">
      <pivotArea type="data" outline="0" fieldPosition="0">
        <references count="1">
          <reference field="4294967294" count="1" selected="0">
            <x v="3"/>
          </reference>
        </references>
      </pivotArea>
    </chartFormat>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 chart="9" format="1"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1"/>
          </reference>
        </references>
      </pivotArea>
    </chartFormat>
    <chartFormat chart="9" format="3" series="1">
      <pivotArea type="data" outline="0" fieldPosition="0">
        <references count="1">
          <reference field="4294967294" count="1" selected="0">
            <x v="3"/>
          </reference>
        </references>
      </pivotArea>
    </chartFormat>
    <chartFormat chart="10" format="5" series="1">
      <pivotArea type="data" outline="0" fieldPosition="0">
        <references count="1">
          <reference field="4294967294" count="1" selected="0">
            <x v="0"/>
          </reference>
        </references>
      </pivotArea>
    </chartFormat>
    <chartFormat chart="10" format="6" series="1">
      <pivotArea type="data" outline="0" fieldPosition="0">
        <references count="1">
          <reference field="4294967294" count="1" selected="0">
            <x v="1"/>
          </reference>
        </references>
      </pivotArea>
    </chartFormat>
    <chartFormat chart="10" format="7" series="1">
      <pivotArea type="data" outline="0" fieldPosition="0">
        <references count="1">
          <reference field="4294967294" count="1" selected="0">
            <x v="3"/>
          </reference>
        </references>
      </pivotArea>
    </chartFormat>
    <chartFormat chart="11" format="9" series="1">
      <pivotArea type="data" outline="0" fieldPosition="0">
        <references count="1">
          <reference field="4294967294" count="1" selected="0">
            <x v="0"/>
          </reference>
        </references>
      </pivotArea>
    </chartFormat>
    <chartFormat chart="11" format="10" series="1">
      <pivotArea type="data" outline="0" fieldPosition="0">
        <references count="1">
          <reference field="4294967294" count="1" selected="0">
            <x v="1"/>
          </reference>
        </references>
      </pivotArea>
    </chartFormat>
    <chartFormat chart="11" format="11" series="1">
      <pivotArea type="data" outline="0" fieldPosition="0">
        <references count="1">
          <reference field="4294967294" count="1" selected="0">
            <x v="3"/>
          </reference>
        </references>
      </pivotArea>
    </chartFormat>
  </chartFormats>
  <pivotHierarchies count="53">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Sales"/>
    <pivotHierarchy dragToData="1"/>
    <pivotHierarchy dragToData="1" caption="Profit"/>
    <pivotHierarchy dragToData="1"/>
    <pivotHierarchy dragToData="1" caption="Discount"/>
    <pivotHierarchy dragToData="1" caption="Shipping Cost"/>
    <pivotHierarchy dragToData="1"/>
    <pivotHierarchy dragToData="1" caption="Cumulative cost"/>
    <pivotHierarchy dragToData="1"/>
    <pivotHierarchy dragToData="1"/>
    <pivotHierarchy dragToData="1"/>
    <pivotHierarchy dragToData="1"/>
    <pivotHierarchy dragToData="1"/>
    <pivotHierarchy dragToData="1"/>
    <pivotHierarchy dragToData="1"/>
  </pivotHierarchies>
  <pivotTableStyleInfo showRowHeaders="1" showColHeaders="1" showRowStripes="0" showColStripes="0" showLastColumn="1"/>
  <rowHierarchiesUsage count="2">
    <rowHierarchyUsage hierarchyUsage="14"/>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5B7CBB82-BDFD-48D8-B5E6-229CF43306C8}" name="Distribution_TopProfitCities" cacheId="9" applyNumberFormats="0" applyBorderFormats="0" applyFontFormats="0" applyPatternFormats="0" applyAlignmentFormats="0" applyWidthHeightFormats="1" dataCaption="Values" updatedVersion="8" minRefreshableVersion="3" useAutoFormatting="1" subtotalHiddenItems="1" rowGrandTotals="0" itemPrintTitles="1" createdVersion="8" indent="0" outline="1" outlineData="1" multipleFieldFilters="0" rowHeaderCaption="City Name">
  <location ref="CJ35:CL38" firstHeaderRow="0" firstDataRow="1" firstDataCol="1"/>
  <pivotFields count="4">
    <pivotField axis="axisRow" allDrilled="1" subtotalTop="0" showAll="0" measureFilter="1" dataSourceSort="1" defaultSubtotal="0" defaultAttributeDrillState="1">
      <items count="3">
        <item x="0"/>
        <item x="1"/>
        <item x="2"/>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
    <i>
      <x/>
    </i>
    <i>
      <x v="1"/>
    </i>
    <i>
      <x v="2"/>
    </i>
  </rowItems>
  <colFields count="1">
    <field x="-2"/>
  </colFields>
  <colItems count="2">
    <i>
      <x/>
    </i>
    <i i="1">
      <x v="1"/>
    </i>
  </colItems>
  <dataFields count="2">
    <dataField name="Profit" fld="2" baseField="0" baseItem="0" numFmtId="168"/>
    <dataField name="Quantity" fld="1" baseField="0" baseItem="0"/>
  </dataFields>
  <formats count="12">
    <format dxfId="772">
      <pivotArea outline="0" collapsedLevelsAreSubtotals="1" fieldPosition="0">
        <references count="1">
          <reference field="4294967294" count="1" selected="0">
            <x v="0"/>
          </reference>
        </references>
      </pivotArea>
    </format>
    <format dxfId="771">
      <pivotArea dataOnly="0" labelOnly="1" outline="0" fieldPosition="0">
        <references count="1">
          <reference field="4294967294" count="1">
            <x v="0"/>
          </reference>
        </references>
      </pivotArea>
    </format>
    <format dxfId="770">
      <pivotArea type="all" dataOnly="0" outline="0" fieldPosition="0"/>
    </format>
    <format dxfId="769">
      <pivotArea outline="0" collapsedLevelsAreSubtotals="1" fieldPosition="0"/>
    </format>
    <format dxfId="768">
      <pivotArea field="0" type="button" dataOnly="0" labelOnly="1" outline="0" axis="axisRow" fieldPosition="0"/>
    </format>
    <format dxfId="767">
      <pivotArea dataOnly="0" labelOnly="1" fieldPosition="0">
        <references count="1">
          <reference field="0" count="0"/>
        </references>
      </pivotArea>
    </format>
    <format dxfId="766">
      <pivotArea dataOnly="0" labelOnly="1" outline="0" fieldPosition="0">
        <references count="1">
          <reference field="4294967294" count="2">
            <x v="0"/>
            <x v="1"/>
          </reference>
        </references>
      </pivotArea>
    </format>
    <format dxfId="765">
      <pivotArea type="all" dataOnly="0" outline="0" fieldPosition="0"/>
    </format>
    <format dxfId="764">
      <pivotArea outline="0" collapsedLevelsAreSubtotals="1" fieldPosition="0"/>
    </format>
    <format dxfId="763">
      <pivotArea field="0" type="button" dataOnly="0" labelOnly="1" outline="0" axis="axisRow" fieldPosition="0"/>
    </format>
    <format dxfId="762">
      <pivotArea dataOnly="0" labelOnly="1" fieldPosition="0">
        <references count="1">
          <reference field="0" count="0"/>
        </references>
      </pivotArea>
    </format>
    <format dxfId="761">
      <pivotArea dataOnly="0" labelOnly="1" outline="0" fieldPosition="0">
        <references count="1">
          <reference field="4294967294" count="2">
            <x v="0"/>
            <x v="1"/>
          </reference>
        </references>
      </pivotArea>
    </format>
  </formats>
  <pivotHierarchies count="54">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Quantity"/>
    <pivotHierarchy dragToData="1" caption="Profi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38">
      <autoFilter ref="A1">
        <filterColumn colId="0">
          <top10 val="3" filterVal="3"/>
        </filterColumn>
      </autoFilter>
    </filter>
  </filters>
  <rowHierarchiesUsage count="1">
    <rowHierarchyUsage hierarchyUsage="1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ACCE484A-C91F-4693-8FFB-BADA9DC1D6B0}" name="Sales&amp;Profit_VBAhover" cacheId="20" dataOnRows="1" applyNumberFormats="0" applyBorderFormats="0" applyFontFormats="0" applyPatternFormats="0" applyAlignmentFormats="0" applyWidthHeightFormats="1" dataCaption="Values" tag="61807855-8c58-43a7-a087-09dc4cbca6f3" updatedVersion="8" minRefreshableVersion="3" subtotalHiddenItems="1" rowGrandTotals="0" colGrandTotals="0" itemPrintTitles="1" createdVersion="8" indent="0" outline="1" outlineData="1" multipleFieldFilters="0" rowHeaderCaption="Product Sub-Category">
  <location ref="B39:S44" firstHeaderRow="1" firstDataRow="2" firstDataCol="1"/>
  <pivotFields count="6">
    <pivotField axis="axisCol" allDrilled="1" subtotalTop="0" showAll="0" dataSourceSort="1" defaultSubtotal="0" defaultAttributeDrillState="1">
      <items count="17">
        <item x="0"/>
        <item x="1"/>
        <item x="2"/>
        <item x="3"/>
        <item x="4"/>
        <item x="5"/>
        <item x="6"/>
        <item x="7"/>
        <item x="8"/>
        <item x="9"/>
        <item x="10"/>
        <item x="11"/>
        <item x="12"/>
        <item x="13"/>
        <item x="14"/>
        <item x="15"/>
        <item x="16"/>
      </items>
    </pivotField>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2"/>
  </rowFields>
  <rowItems count="4">
    <i>
      <x/>
    </i>
    <i i="1">
      <x v="1"/>
    </i>
    <i i="2">
      <x v="2"/>
    </i>
    <i i="3">
      <x v="3"/>
    </i>
  </rowItems>
  <colFields count="1">
    <field x="0"/>
  </colFields>
  <colItems count="17">
    <i>
      <x/>
    </i>
    <i>
      <x v="1"/>
    </i>
    <i>
      <x v="2"/>
    </i>
    <i>
      <x v="3"/>
    </i>
    <i>
      <x v="4"/>
    </i>
    <i>
      <x v="5"/>
    </i>
    <i>
      <x v="6"/>
    </i>
    <i>
      <x v="7"/>
    </i>
    <i>
      <x v="8"/>
    </i>
    <i>
      <x v="9"/>
    </i>
    <i>
      <x v="10"/>
    </i>
    <i>
      <x v="11"/>
    </i>
    <i>
      <x v="12"/>
    </i>
    <i>
      <x v="13"/>
    </i>
    <i>
      <x v="14"/>
    </i>
    <i>
      <x v="15"/>
    </i>
    <i>
      <x v="16"/>
    </i>
  </colItems>
  <dataFields count="4">
    <dataField fld="1" subtotal="count" baseField="0" baseItem="0"/>
    <dataField fld="2" subtotal="count" baseField="0" baseItem="0"/>
    <dataField fld="3" subtotal="count" baseField="0" baseItem="0"/>
    <dataField fld="4" subtotal="count" baseField="0" baseItem="0"/>
  </dataFields>
  <formats count="67">
    <format dxfId="839">
      <pivotArea type="all" dataOnly="0" outline="0" fieldPosition="0"/>
    </format>
    <format dxfId="838">
      <pivotArea outline="0" collapsedLevelsAreSubtotals="1" fieldPosition="0"/>
    </format>
    <format dxfId="837">
      <pivotArea field="0" type="button" dataOnly="0" labelOnly="1" outline="0" axis="axisCol" fieldPosition="0"/>
    </format>
    <format dxfId="836">
      <pivotArea dataOnly="0" labelOnly="1" fieldPosition="0">
        <references count="1">
          <reference field="0" count="0"/>
        </references>
      </pivotArea>
    </format>
    <format dxfId="835">
      <pivotArea dataOnly="0" labelOnly="1" grandRow="1" outline="0" fieldPosition="0"/>
    </format>
    <format dxfId="834">
      <pivotArea type="all" dataOnly="0" outline="0" fieldPosition="0"/>
    </format>
    <format dxfId="833">
      <pivotArea outline="0" collapsedLevelsAreSubtotals="1" fieldPosition="0"/>
    </format>
    <format dxfId="832">
      <pivotArea field="0" type="button" dataOnly="0" labelOnly="1" outline="0" axis="axisCol" fieldPosition="0"/>
    </format>
    <format dxfId="831">
      <pivotArea dataOnly="0" labelOnly="1" fieldPosition="0">
        <references count="1">
          <reference field="0" count="0"/>
        </references>
      </pivotArea>
    </format>
    <format dxfId="830">
      <pivotArea dataOnly="0" labelOnly="1" grandRow="1" outline="0" fieldPosition="0"/>
    </format>
    <format dxfId="829">
      <pivotArea type="all" dataOnly="0" outline="0" fieldPosition="0"/>
    </format>
    <format dxfId="828">
      <pivotArea outline="0" collapsedLevelsAreSubtotals="1" fieldPosition="0"/>
    </format>
    <format dxfId="827">
      <pivotArea field="0" type="button" dataOnly="0" labelOnly="1" outline="0" axis="axisCol" fieldPosition="0"/>
    </format>
    <format dxfId="826">
      <pivotArea dataOnly="0" labelOnly="1" fieldPosition="0">
        <references count="1">
          <reference field="0" count="0"/>
        </references>
      </pivotArea>
    </format>
    <format dxfId="825">
      <pivotArea dataOnly="0" labelOnly="1" grandRow="1" outline="0" fieldPosition="0"/>
    </format>
    <format dxfId="824">
      <pivotArea collapsedLevelsAreSubtotals="1" fieldPosition="0">
        <references count="1">
          <reference field="0" count="0"/>
        </references>
      </pivotArea>
    </format>
    <format dxfId="823">
      <pivotArea type="all" dataOnly="0" outline="0" fieldPosition="0"/>
    </format>
    <format dxfId="822">
      <pivotArea outline="0" collapsedLevelsAreSubtotals="1" fieldPosition="0"/>
    </format>
    <format dxfId="821">
      <pivotArea dataOnly="0" labelOnly="1" fieldPosition="0">
        <references count="1">
          <reference field="0" count="0"/>
        </references>
      </pivotArea>
    </format>
    <format dxfId="820">
      <pivotArea dataOnly="0" labelOnly="1" grandRow="1" outline="0" fieldPosition="0"/>
    </format>
    <format dxfId="819">
      <pivotArea outline="0" collapsedLevelsAreSubtotals="1" fieldPosition="0">
        <references count="1">
          <reference field="0" count="4" selected="0">
            <x v="0"/>
            <x v="1"/>
            <x v="2"/>
            <x v="3"/>
          </reference>
        </references>
      </pivotArea>
    </format>
    <format dxfId="818">
      <pivotArea type="origin" dataOnly="0" labelOnly="1" outline="0" fieldPosition="0"/>
    </format>
    <format dxfId="817">
      <pivotArea field="0" type="button" dataOnly="0" labelOnly="1" outline="0" axis="axisCol" fieldPosition="0"/>
    </format>
    <format dxfId="816">
      <pivotArea type="topRight" dataOnly="0" labelOnly="1" outline="0" offset="A1:C1" fieldPosition="0"/>
    </format>
    <format dxfId="815">
      <pivotArea field="-2" type="button" dataOnly="0" labelOnly="1" outline="0" axis="axisRow" fieldPosition="0"/>
    </format>
    <format dxfId="814">
      <pivotArea dataOnly="0" labelOnly="1" outline="0" fieldPosition="0">
        <references count="1">
          <reference field="4294967294" count="4">
            <x v="0"/>
            <x v="1"/>
            <x v="2"/>
            <x v="3"/>
          </reference>
        </references>
      </pivotArea>
    </format>
    <format dxfId="813">
      <pivotArea dataOnly="0" labelOnly="1" fieldPosition="0">
        <references count="1">
          <reference field="0" count="4">
            <x v="0"/>
            <x v="1"/>
            <x v="2"/>
            <x v="3"/>
          </reference>
        </references>
      </pivotArea>
    </format>
    <format dxfId="812">
      <pivotArea type="all" dataOnly="0" outline="0" fieldPosition="0"/>
    </format>
    <format dxfId="811">
      <pivotArea outline="0" collapsedLevelsAreSubtotals="1" fieldPosition="0"/>
    </format>
    <format dxfId="810">
      <pivotArea type="origin" dataOnly="0" labelOnly="1" outline="0" fieldPosition="0"/>
    </format>
    <format dxfId="809">
      <pivotArea field="0" type="button" dataOnly="0" labelOnly="1" outline="0" axis="axisCol" fieldPosition="0"/>
    </format>
    <format dxfId="808">
      <pivotArea type="topRight" dataOnly="0" labelOnly="1" outline="0" fieldPosition="0"/>
    </format>
    <format dxfId="807">
      <pivotArea field="-2" type="button" dataOnly="0" labelOnly="1" outline="0" axis="axisRow" fieldPosition="0"/>
    </format>
    <format dxfId="806">
      <pivotArea dataOnly="0" labelOnly="1" outline="0" fieldPosition="0">
        <references count="1">
          <reference field="4294967294" count="4">
            <x v="0"/>
            <x v="1"/>
            <x v="2"/>
            <x v="3"/>
          </reference>
        </references>
      </pivotArea>
    </format>
    <format dxfId="805">
      <pivotArea dataOnly="0" labelOnly="1" fieldPosition="0">
        <references count="1">
          <reference field="0" count="0"/>
        </references>
      </pivotArea>
    </format>
    <format dxfId="804">
      <pivotArea type="all" dataOnly="0" outline="0" fieldPosition="0"/>
    </format>
    <format dxfId="803">
      <pivotArea outline="0" collapsedLevelsAreSubtotals="1" fieldPosition="0"/>
    </format>
    <format dxfId="802">
      <pivotArea type="origin" dataOnly="0" labelOnly="1" outline="0" fieldPosition="0"/>
    </format>
    <format dxfId="801">
      <pivotArea field="0" type="button" dataOnly="0" labelOnly="1" outline="0" axis="axisCol" fieldPosition="0"/>
    </format>
    <format dxfId="800">
      <pivotArea type="topRight" dataOnly="0" labelOnly="1" outline="0" fieldPosition="0"/>
    </format>
    <format dxfId="799">
      <pivotArea field="-2" type="button" dataOnly="0" labelOnly="1" outline="0" axis="axisRow" fieldPosition="0"/>
    </format>
    <format dxfId="798">
      <pivotArea dataOnly="0" labelOnly="1" outline="0" fieldPosition="0">
        <references count="1">
          <reference field="4294967294" count="4">
            <x v="0"/>
            <x v="1"/>
            <x v="2"/>
            <x v="3"/>
          </reference>
        </references>
      </pivotArea>
    </format>
    <format dxfId="797">
      <pivotArea dataOnly="0" labelOnly="1" fieldPosition="0">
        <references count="1">
          <reference field="0" count="0"/>
        </references>
      </pivotArea>
    </format>
    <format dxfId="796">
      <pivotArea type="all" dataOnly="0" outline="0" fieldPosition="0"/>
    </format>
    <format dxfId="795">
      <pivotArea outline="0" collapsedLevelsAreSubtotals="1" fieldPosition="0"/>
    </format>
    <format dxfId="794">
      <pivotArea type="origin" dataOnly="0" labelOnly="1" outline="0" fieldPosition="0"/>
    </format>
    <format dxfId="793">
      <pivotArea field="0" type="button" dataOnly="0" labelOnly="1" outline="0" axis="axisCol" fieldPosition="0"/>
    </format>
    <format dxfId="792">
      <pivotArea type="topRight" dataOnly="0" labelOnly="1" outline="0" fieldPosition="0"/>
    </format>
    <format dxfId="791">
      <pivotArea field="-2" type="button" dataOnly="0" labelOnly="1" outline="0" axis="axisRow" fieldPosition="0"/>
    </format>
    <format dxfId="790">
      <pivotArea dataOnly="0" labelOnly="1" outline="0" fieldPosition="0">
        <references count="1">
          <reference field="4294967294" count="4">
            <x v="0"/>
            <x v="1"/>
            <x v="2"/>
            <x v="3"/>
          </reference>
        </references>
      </pivotArea>
    </format>
    <format dxfId="789">
      <pivotArea dataOnly="0" labelOnly="1" fieldPosition="0">
        <references count="1">
          <reference field="0" count="0"/>
        </references>
      </pivotArea>
    </format>
    <format dxfId="788">
      <pivotArea type="all" dataOnly="0" outline="0" fieldPosition="0"/>
    </format>
    <format dxfId="787">
      <pivotArea outline="0" collapsedLevelsAreSubtotals="1" fieldPosition="0"/>
    </format>
    <format dxfId="786">
      <pivotArea type="origin" dataOnly="0" labelOnly="1" outline="0" fieldPosition="0"/>
    </format>
    <format dxfId="785">
      <pivotArea field="0" type="button" dataOnly="0" labelOnly="1" outline="0" axis="axisCol" fieldPosition="0"/>
    </format>
    <format dxfId="784">
      <pivotArea type="topRight" dataOnly="0" labelOnly="1" outline="0" fieldPosition="0"/>
    </format>
    <format dxfId="783">
      <pivotArea field="-2" type="button" dataOnly="0" labelOnly="1" outline="0" axis="axisRow" fieldPosition="0"/>
    </format>
    <format dxfId="782">
      <pivotArea dataOnly="0" labelOnly="1" outline="0" fieldPosition="0">
        <references count="1">
          <reference field="4294967294" count="4">
            <x v="0"/>
            <x v="1"/>
            <x v="2"/>
            <x v="3"/>
          </reference>
        </references>
      </pivotArea>
    </format>
    <format dxfId="781">
      <pivotArea dataOnly="0" labelOnly="1" fieldPosition="0">
        <references count="1">
          <reference field="0" count="0"/>
        </references>
      </pivotArea>
    </format>
    <format dxfId="780">
      <pivotArea type="all" dataOnly="0" outline="0" fieldPosition="0"/>
    </format>
    <format dxfId="779">
      <pivotArea outline="0" collapsedLevelsAreSubtotals="1" fieldPosition="0"/>
    </format>
    <format dxfId="778">
      <pivotArea type="origin" dataOnly="0" labelOnly="1" outline="0" fieldPosition="0"/>
    </format>
    <format dxfId="777">
      <pivotArea field="0" type="button" dataOnly="0" labelOnly="1" outline="0" axis="axisCol" fieldPosition="0"/>
    </format>
    <format dxfId="776">
      <pivotArea type="topRight" dataOnly="0" labelOnly="1" outline="0" fieldPosition="0"/>
    </format>
    <format dxfId="775">
      <pivotArea field="-2" type="button" dataOnly="0" labelOnly="1" outline="0" axis="axisRow" fieldPosition="0"/>
    </format>
    <format dxfId="774">
      <pivotArea dataOnly="0" labelOnly="1" outline="0" fieldPosition="0">
        <references count="1">
          <reference field="4294967294" count="4">
            <x v="0"/>
            <x v="1"/>
            <x v="2"/>
            <x v="3"/>
          </reference>
        </references>
      </pivotArea>
    </format>
    <format dxfId="773">
      <pivotArea dataOnly="0" labelOnly="1" fieldPosition="0">
        <references count="1">
          <reference field="0" count="0"/>
        </references>
      </pivotArea>
    </format>
  </formats>
  <pivotHierarchies count="53">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es %"/>
    <pivotHierarchy dragToData="1" caption="Quantity %"/>
    <pivotHierarchy dragToData="1" caption="Profit %"/>
    <pivotHierarchy dragToData="1"/>
    <pivotHierarchy dragToData="1"/>
    <pivotHierarchy dragToData="1" caption="Shipping Cost"/>
    <pivotHierarchy dragToData="1" caption="Discount"/>
    <pivotHierarchy dragToData="1" caption="Cumulative cost"/>
    <pivotHierarchy dragToData="1"/>
    <pivotHierarchy dragToData="1"/>
    <pivotHierarchy dragToData="1"/>
    <pivotHierarchy dragToData="1"/>
    <pivotHierarchy dragToData="1"/>
    <pivotHierarchy dragToData="1"/>
    <pivotHierarchy dragToData="1"/>
  </pivotHierarchies>
  <pivotTableStyleInfo name="PivotStyleLight7" showRowHeaders="1" showColHeaders="1" showRowStripes="0" showColStripes="0" showLastColumn="1"/>
  <rowHierarchiesUsage count="1">
    <rowHierarchyUsage hierarchyUsage="-2"/>
  </rowHierarchiesUsage>
  <colHierarchiesUsage count="1">
    <colHierarchyUsage hierarchyUsage="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uperstore Raw Data.xlsx!Table_1">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B7F9F2B4-8EA3-47A7-A55A-1DC739A9E1F3}" name="SalesMap_The Map" cacheId="13" applyNumberFormats="0" applyBorderFormats="0" applyFontFormats="0" applyPatternFormats="0" applyAlignmentFormats="0" applyWidthHeightFormats="1" dataCaption="Values" tag="f77f5d1d-165f-4424-9b2f-da235a565a48" updatedVersion="8" minRefreshableVersion="3" subtotalHiddenItems="1" rowGrandTotals="0" itemPrintTitles="1" createdVersion="8" indent="0" compact="0" outline="1" outlineData="1" compactData="0" multipleFieldFilters="0" chartFormat="2" rowHeaderCaption="States">
  <location ref="U5:Y54" firstHeaderRow="0" firstDataRow="1" firstDataCol="1"/>
  <pivotFields count="6">
    <pivotField axis="axisRow" compact="0" allDrilled="1" showAll="0" dataSourceSort="1" defaultSubtotal="0" defaultAttributeDrillState="1">
      <items count="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s>
    </pivotField>
    <pivotField dataField="1" compact="0" subtotalTop="0" showAll="0" defaultSubtotal="0"/>
    <pivotField dataField="1" compact="0" subtotalTop="0" showAll="0" defaultSubtotal="0"/>
    <pivotField dataField="1" compact="0" subtotalTop="0" showAll="0" defaultSubtotal="0"/>
    <pivotField dataField="1" compact="0" subtotalTop="0" showAll="0" defaultSubtotal="0"/>
    <pivotField compact="0" allDrilled="1" subtotalTop="0" showAll="0" dataSourceSort="1" defaultSubtotal="0" defaultAttributeDrillState="1"/>
  </pivotFields>
  <rowFields count="1">
    <field x="0"/>
  </rowFields>
  <rowItems count="4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rowItems>
  <colFields count="1">
    <field x="-2"/>
  </colFields>
  <colItems count="4">
    <i>
      <x/>
    </i>
    <i i="1">
      <x v="1"/>
    </i>
    <i i="2">
      <x v="2"/>
    </i>
    <i i="3">
      <x v="3"/>
    </i>
  </colItems>
  <dataFields count="4">
    <dataField name="Total Sales" fld="1" baseField="0" baseItem="0"/>
    <dataField name="All other Cost" fld="2" baseField="0" baseItem="0"/>
    <dataField name="Shipping Cost" fld="3" baseField="0" baseItem="0"/>
    <dataField name="Net Profit" fld="4" baseField="0" baseItem="0"/>
  </dataFields>
  <formats count="57">
    <format dxfId="896">
      <pivotArea type="all" dataOnly="0" outline="0" fieldPosition="0"/>
    </format>
    <format dxfId="895">
      <pivotArea outline="0" collapsedLevelsAreSubtotals="1" fieldPosition="0"/>
    </format>
    <format dxfId="894">
      <pivotArea field="0" type="button" dataOnly="0" labelOnly="1" outline="0" axis="axisRow" fieldPosition="0"/>
    </format>
    <format dxfId="893">
      <pivotArea dataOnly="0" labelOnly="1" outline="0" fieldPosition="0">
        <references count="1">
          <reference field="0" count="0"/>
        </references>
      </pivotArea>
    </format>
    <format dxfId="892">
      <pivotArea dataOnly="0" labelOnly="1" grandRow="1" outline="0" fieldPosition="0"/>
    </format>
    <format dxfId="891">
      <pivotArea type="all" dataOnly="0" outline="0" fieldPosition="0"/>
    </format>
    <format dxfId="890">
      <pivotArea outline="0" collapsedLevelsAreSubtotals="1" fieldPosition="0"/>
    </format>
    <format dxfId="889">
      <pivotArea field="0" type="button" dataOnly="0" labelOnly="1" outline="0" axis="axisRow" fieldPosition="0"/>
    </format>
    <format dxfId="888">
      <pivotArea dataOnly="0" labelOnly="1" outline="0" fieldPosition="0">
        <references count="1">
          <reference field="0" count="0"/>
        </references>
      </pivotArea>
    </format>
    <format dxfId="887">
      <pivotArea dataOnly="0" labelOnly="1" grandRow="1" outline="0" fieldPosition="0"/>
    </format>
    <format dxfId="886">
      <pivotArea type="all" dataOnly="0" outline="0" fieldPosition="0"/>
    </format>
    <format dxfId="885">
      <pivotArea outline="0" collapsedLevelsAreSubtotals="1" fieldPosition="0"/>
    </format>
    <format dxfId="884">
      <pivotArea field="0" type="button" dataOnly="0" labelOnly="1" outline="0" axis="axisRow" fieldPosition="0"/>
    </format>
    <format dxfId="883">
      <pivotArea dataOnly="0" labelOnly="1" outline="0" fieldPosition="0">
        <references count="1">
          <reference field="0" count="0"/>
        </references>
      </pivotArea>
    </format>
    <format dxfId="882">
      <pivotArea dataOnly="0" labelOnly="1" outline="0" fieldPosition="0">
        <references count="1">
          <reference field="4294967294" count="1">
            <x v="0"/>
          </reference>
        </references>
      </pivotArea>
    </format>
    <format dxfId="881">
      <pivotArea outline="0" collapsedLevelsAreSubtotals="1" fieldPosition="0"/>
    </format>
    <format dxfId="880">
      <pivotArea type="all" dataOnly="0" outline="0" fieldPosition="0"/>
    </format>
    <format dxfId="879">
      <pivotArea outline="0" collapsedLevelsAreSubtotals="1" fieldPosition="0"/>
    </format>
    <format dxfId="878">
      <pivotArea field="0" type="button" dataOnly="0" labelOnly="1" outline="0" axis="axisRow" fieldPosition="0"/>
    </format>
    <format dxfId="877">
      <pivotArea dataOnly="0" labelOnly="1" outline="0" fieldPosition="0">
        <references count="1">
          <reference field="0" count="0"/>
        </references>
      </pivotArea>
    </format>
    <format dxfId="876">
      <pivotArea dataOnly="0" labelOnly="1" outline="0" fieldPosition="0">
        <references count="1">
          <reference field="4294967294" count="4">
            <x v="0"/>
            <x v="1"/>
            <x v="2"/>
            <x v="3"/>
          </reference>
        </references>
      </pivotArea>
    </format>
    <format dxfId="875">
      <pivotArea type="all" dataOnly="0" outline="0" fieldPosition="0"/>
    </format>
    <format dxfId="874">
      <pivotArea outline="0" collapsedLevelsAreSubtotals="1" fieldPosition="0"/>
    </format>
    <format dxfId="873">
      <pivotArea field="0" type="button" dataOnly="0" labelOnly="1" outline="0" axis="axisRow" fieldPosition="0"/>
    </format>
    <format dxfId="872">
      <pivotArea dataOnly="0" labelOnly="1" outline="0" fieldPosition="0">
        <references count="1">
          <reference field="0" count="0"/>
        </references>
      </pivotArea>
    </format>
    <format dxfId="871">
      <pivotArea dataOnly="0" labelOnly="1" outline="0" fieldPosition="0">
        <references count="1">
          <reference field="4294967294" count="4">
            <x v="0"/>
            <x v="1"/>
            <x v="2"/>
            <x v="3"/>
          </reference>
        </references>
      </pivotArea>
    </format>
    <format dxfId="870">
      <pivotArea type="all" dataOnly="0" outline="0" fieldPosition="0"/>
    </format>
    <format dxfId="869">
      <pivotArea outline="0" collapsedLevelsAreSubtotals="1" fieldPosition="0"/>
    </format>
    <format dxfId="868">
      <pivotArea field="0" type="button" dataOnly="0" labelOnly="1" outline="0" axis="axisRow" fieldPosition="0"/>
    </format>
    <format dxfId="867">
      <pivotArea dataOnly="0" labelOnly="1" outline="0" fieldPosition="0">
        <references count="1">
          <reference field="0" count="0"/>
        </references>
      </pivotArea>
    </format>
    <format dxfId="866">
      <pivotArea dataOnly="0" labelOnly="1" outline="0" fieldPosition="0">
        <references count="1">
          <reference field="4294967294" count="4">
            <x v="0"/>
            <x v="1"/>
            <x v="2"/>
            <x v="3"/>
          </reference>
        </references>
      </pivotArea>
    </format>
    <format dxfId="865">
      <pivotArea type="all" dataOnly="0" outline="0" fieldPosition="0"/>
    </format>
    <format dxfId="864">
      <pivotArea outline="0" collapsedLevelsAreSubtotals="1" fieldPosition="0"/>
    </format>
    <format dxfId="863">
      <pivotArea field="0" type="button" dataOnly="0" labelOnly="1" outline="0" axis="axisRow" fieldPosition="0"/>
    </format>
    <format dxfId="862">
      <pivotArea dataOnly="0" labelOnly="1" outline="0" fieldPosition="0">
        <references count="1">
          <reference field="0" count="0"/>
        </references>
      </pivotArea>
    </format>
    <format dxfId="861">
      <pivotArea dataOnly="0" labelOnly="1" outline="0" fieldPosition="0">
        <references count="1">
          <reference field="4294967294" count="4">
            <x v="0"/>
            <x v="1"/>
            <x v="2"/>
            <x v="3"/>
          </reference>
        </references>
      </pivotArea>
    </format>
    <format dxfId="860">
      <pivotArea type="all" dataOnly="0" outline="0" fieldPosition="0"/>
    </format>
    <format dxfId="859">
      <pivotArea outline="0" collapsedLevelsAreSubtotals="1" fieldPosition="0"/>
    </format>
    <format dxfId="858">
      <pivotArea field="0" type="button" dataOnly="0" labelOnly="1" outline="0" axis="axisRow" fieldPosition="0"/>
    </format>
    <format dxfId="857">
      <pivotArea dataOnly="0" labelOnly="1" outline="0" fieldPosition="0">
        <references count="1">
          <reference field="0" count="0"/>
        </references>
      </pivotArea>
    </format>
    <format dxfId="856">
      <pivotArea dataOnly="0" labelOnly="1" outline="0" fieldPosition="0">
        <references count="1">
          <reference field="4294967294" count="4">
            <x v="0"/>
            <x v="1"/>
            <x v="2"/>
            <x v="3"/>
          </reference>
        </references>
      </pivotArea>
    </format>
    <format dxfId="855">
      <pivotArea fieldPosition="0">
        <references count="1">
          <reference field="0" count="1">
            <x v="41"/>
          </reference>
        </references>
      </pivotArea>
    </format>
    <format dxfId="854">
      <pivotArea dataOnly="0" labelOnly="1" outline="0" fieldPosition="0">
        <references count="1">
          <reference field="0" count="1">
            <x v="41"/>
          </reference>
        </references>
      </pivotArea>
    </format>
    <format dxfId="853">
      <pivotArea fieldPosition="0">
        <references count="1">
          <reference field="0" count="1">
            <x v="41"/>
          </reference>
        </references>
      </pivotArea>
    </format>
    <format dxfId="852">
      <pivotArea dataOnly="0" labelOnly="1" outline="0" fieldPosition="0">
        <references count="1">
          <reference field="0" count="1">
            <x v="41"/>
          </reference>
        </references>
      </pivotArea>
    </format>
    <format dxfId="851">
      <pivotArea fieldPosition="0">
        <references count="1">
          <reference field="0" count="1">
            <x v="41"/>
          </reference>
        </references>
      </pivotArea>
    </format>
    <format dxfId="850">
      <pivotArea dataOnly="0" labelOnly="1" outline="0" fieldPosition="0">
        <references count="1">
          <reference field="0" count="1">
            <x v="41"/>
          </reference>
        </references>
      </pivotArea>
    </format>
    <format dxfId="849">
      <pivotArea type="all" dataOnly="0" outline="0" fieldPosition="0"/>
    </format>
    <format dxfId="848">
      <pivotArea outline="0" collapsedLevelsAreSubtotals="1" fieldPosition="0"/>
    </format>
    <format dxfId="847">
      <pivotArea field="0" type="button" dataOnly="0" labelOnly="1" outline="0" axis="axisRow" fieldPosition="0"/>
    </format>
    <format dxfId="846">
      <pivotArea dataOnly="0" labelOnly="1" outline="0" fieldPosition="0">
        <references count="1">
          <reference field="0" count="0"/>
        </references>
      </pivotArea>
    </format>
    <format dxfId="845">
      <pivotArea dataOnly="0" labelOnly="1" outline="0" fieldPosition="0">
        <references count="1">
          <reference field="4294967294" count="4">
            <x v="0"/>
            <x v="1"/>
            <x v="2"/>
            <x v="3"/>
          </reference>
        </references>
      </pivotArea>
    </format>
    <format dxfId="844">
      <pivotArea type="all" dataOnly="0" outline="0" fieldPosition="0"/>
    </format>
    <format dxfId="843">
      <pivotArea outline="0" collapsedLevelsAreSubtotals="1" fieldPosition="0"/>
    </format>
    <format dxfId="842">
      <pivotArea field="0" type="button" dataOnly="0" labelOnly="1" outline="0" axis="axisRow" fieldPosition="0"/>
    </format>
    <format dxfId="841">
      <pivotArea dataOnly="0" labelOnly="1" outline="0" fieldPosition="0">
        <references count="1">
          <reference field="0" count="0"/>
        </references>
      </pivotArea>
    </format>
    <format dxfId="840">
      <pivotArea dataOnly="0" labelOnly="1" outline="0" fieldPosition="0">
        <references count="1">
          <reference field="4294967294" count="4">
            <x v="0"/>
            <x v="1"/>
            <x v="2"/>
            <x v="3"/>
          </reference>
        </references>
      </pivotArea>
    </format>
  </formats>
  <chartFormats count="1">
    <chartFormat chart="1" format="3" series="1">
      <pivotArea type="data" outline="0" fieldPosition="0">
        <references count="1">
          <reference field="4294967294" count="1" selected="0">
            <x v="0"/>
          </reference>
        </references>
      </pivotArea>
    </chartFormat>
  </chartFormats>
  <pivotHierarchies count="53">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Sales"/>
    <pivotHierarchy dragToData="1"/>
    <pivotHierarchy dragToData="1" caption="Net Profit"/>
    <pivotHierarchy dragToData="1"/>
    <pivotHierarchy dragToData="1"/>
    <pivotHierarchy dragToData="1" caption="Shipping Cost"/>
    <pivotHierarchy dragToData="1"/>
    <pivotHierarchy dragToData="1" caption="All other Cost"/>
    <pivotHierarchy dragToData="1"/>
    <pivotHierarchy dragToData="1"/>
    <pivotHierarchy dragToData="1"/>
    <pivotHierarchy dragToData="1"/>
    <pivotHierarchy dragToData="1"/>
    <pivotHierarchy dragToData="1"/>
    <pivotHierarchy dragToData="1"/>
  </pivotHierarchies>
  <pivotTableStyleInfo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2D80FE4D-2952-476E-88D3-1447A4C6C1F6}" name="Sales&amp;Profit_TrendChart" cacheId="15" applyNumberFormats="0" applyBorderFormats="0" applyFontFormats="0" applyPatternFormats="0" applyAlignmentFormats="0" applyWidthHeightFormats="1" dataCaption="Values" tag="1d4d7696-950e-4903-8328-d6013be8c5ae" updatedVersion="8" minRefreshableVersion="3" subtotalHiddenItems="1" itemPrintTitles="1" createdVersion="8" indent="0" outline="1" outlineData="1" multipleFieldFilters="0" chartFormat="22" rowHeaderCaption="Product Sub-Category">
  <location ref="B27:D34" firstHeaderRow="0" firstDataRow="1" firstDataCol="1"/>
  <pivotFields count="4">
    <pivotField dataField="1" subtotalTop="0" showAll="0" defaultSubtotal="0"/>
    <pivotField axis="axisRow" allDrilled="1" subtotalTop="0" showAll="0" dataSourceSort="1" defaultSubtotal="0" defaultAttributeDrillState="1">
      <items count="6">
        <item x="0"/>
        <item x="1"/>
        <item x="2"/>
        <item x="3"/>
        <item x="4"/>
        <item x="5"/>
      </items>
    </pivotField>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7">
    <i>
      <x/>
    </i>
    <i>
      <x v="1"/>
    </i>
    <i>
      <x v="2"/>
    </i>
    <i>
      <x v="3"/>
    </i>
    <i>
      <x v="4"/>
    </i>
    <i>
      <x v="5"/>
    </i>
    <i t="grand">
      <x/>
    </i>
  </rowItems>
  <colFields count="1">
    <field x="-2"/>
  </colFields>
  <colItems count="2">
    <i>
      <x/>
    </i>
    <i i="1">
      <x v="1"/>
    </i>
  </colItems>
  <dataFields count="2">
    <dataField name="Sales" fld="0" baseField="0" baseItem="0" numFmtId="165"/>
    <dataField name="Sum of Sales" fld="3" baseField="0" baseItem="0" numFmtId="165">
      <extLst>
        <ext xmlns:x14="http://schemas.microsoft.com/office/spreadsheetml/2009/9/main" uri="{E15A36E0-9728-4e99-A89B-3F7291B0FE68}">
          <x14:dataField sourceField="0" uniqueName="[__Xl2].[Measures].[Sum of Sales]"/>
        </ext>
      </extLst>
    </dataField>
  </dataFields>
  <formats count="50">
    <format dxfId="946">
      <pivotArea outline="0" collapsedLevelsAreSubtotals="1" fieldPosition="0">
        <references count="1">
          <reference field="4294967294" count="1" selected="0">
            <x v="0"/>
          </reference>
        </references>
      </pivotArea>
    </format>
    <format dxfId="945">
      <pivotArea outline="0" collapsedLevelsAreSubtotals="1" fieldPosition="0">
        <references count="1">
          <reference field="4294967294" count="1" selected="0">
            <x v="1"/>
          </reference>
        </references>
      </pivotArea>
    </format>
    <format dxfId="944">
      <pivotArea type="all" dataOnly="0" outline="0" fieldPosition="0"/>
    </format>
    <format dxfId="943">
      <pivotArea outline="0" collapsedLevelsAreSubtotals="1" fieldPosition="0"/>
    </format>
    <format dxfId="942">
      <pivotArea field="1" type="button" dataOnly="0" labelOnly="1" outline="0" axis="axisRow" fieldPosition="0"/>
    </format>
    <format dxfId="941">
      <pivotArea dataOnly="0" labelOnly="1" fieldPosition="0">
        <references count="1">
          <reference field="1" count="0"/>
        </references>
      </pivotArea>
    </format>
    <format dxfId="940">
      <pivotArea dataOnly="0" labelOnly="1" grandRow="1" outline="0" fieldPosition="0"/>
    </format>
    <format dxfId="939">
      <pivotArea dataOnly="0" labelOnly="1" outline="0" fieldPosition="0">
        <references count="1">
          <reference field="4294967294" count="2">
            <x v="0"/>
            <x v="1"/>
          </reference>
        </references>
      </pivotArea>
    </format>
    <format dxfId="938">
      <pivotArea type="all" dataOnly="0" outline="0" fieldPosition="0"/>
    </format>
    <format dxfId="937">
      <pivotArea outline="0" collapsedLevelsAreSubtotals="1" fieldPosition="0"/>
    </format>
    <format dxfId="936">
      <pivotArea field="1" type="button" dataOnly="0" labelOnly="1" outline="0" axis="axisRow" fieldPosition="0"/>
    </format>
    <format dxfId="935">
      <pivotArea dataOnly="0" labelOnly="1" fieldPosition="0">
        <references count="1">
          <reference field="1" count="0"/>
        </references>
      </pivotArea>
    </format>
    <format dxfId="934">
      <pivotArea dataOnly="0" labelOnly="1" grandRow="1" outline="0" fieldPosition="0"/>
    </format>
    <format dxfId="933">
      <pivotArea dataOnly="0" labelOnly="1" outline="0" fieldPosition="0">
        <references count="1">
          <reference field="4294967294" count="2">
            <x v="0"/>
            <x v="1"/>
          </reference>
        </references>
      </pivotArea>
    </format>
    <format dxfId="932">
      <pivotArea type="all" dataOnly="0" outline="0" fieldPosition="0"/>
    </format>
    <format dxfId="931">
      <pivotArea outline="0" collapsedLevelsAreSubtotals="1" fieldPosition="0"/>
    </format>
    <format dxfId="930">
      <pivotArea field="1" type="button" dataOnly="0" labelOnly="1" outline="0" axis="axisRow" fieldPosition="0"/>
    </format>
    <format dxfId="929">
      <pivotArea dataOnly="0" labelOnly="1" fieldPosition="0">
        <references count="1">
          <reference field="1" count="0"/>
        </references>
      </pivotArea>
    </format>
    <format dxfId="928">
      <pivotArea dataOnly="0" labelOnly="1" grandRow="1" outline="0" fieldPosition="0"/>
    </format>
    <format dxfId="927">
      <pivotArea dataOnly="0" labelOnly="1" outline="0" fieldPosition="0">
        <references count="1">
          <reference field="4294967294" count="2">
            <x v="0"/>
            <x v="1"/>
          </reference>
        </references>
      </pivotArea>
    </format>
    <format dxfId="926">
      <pivotArea type="all" dataOnly="0" outline="0" fieldPosition="0"/>
    </format>
    <format dxfId="925">
      <pivotArea outline="0" collapsedLevelsAreSubtotals="1" fieldPosition="0"/>
    </format>
    <format dxfId="924">
      <pivotArea field="1" type="button" dataOnly="0" labelOnly="1" outline="0" axis="axisRow" fieldPosition="0"/>
    </format>
    <format dxfId="923">
      <pivotArea dataOnly="0" labelOnly="1" fieldPosition="0">
        <references count="1">
          <reference field="1" count="1">
            <x v="1"/>
          </reference>
        </references>
      </pivotArea>
    </format>
    <format dxfId="922">
      <pivotArea dataOnly="0" labelOnly="1" grandRow="1" outline="0" fieldPosition="0"/>
    </format>
    <format dxfId="921">
      <pivotArea dataOnly="0" labelOnly="1" outline="0" fieldPosition="0">
        <references count="1">
          <reference field="4294967294" count="2">
            <x v="0"/>
            <x v="1"/>
          </reference>
        </references>
      </pivotArea>
    </format>
    <format dxfId="920">
      <pivotArea type="all" dataOnly="0" outline="0" fieldPosition="0"/>
    </format>
    <format dxfId="919">
      <pivotArea outline="0" collapsedLevelsAreSubtotals="1" fieldPosition="0"/>
    </format>
    <format dxfId="918">
      <pivotArea field="1" type="button" dataOnly="0" labelOnly="1" outline="0" axis="axisRow" fieldPosition="0"/>
    </format>
    <format dxfId="917">
      <pivotArea dataOnly="0" labelOnly="1" fieldPosition="0">
        <references count="1">
          <reference field="1" count="0"/>
        </references>
      </pivotArea>
    </format>
    <format dxfId="916">
      <pivotArea dataOnly="0" labelOnly="1" grandRow="1" outline="0" fieldPosition="0"/>
    </format>
    <format dxfId="915">
      <pivotArea dataOnly="0" labelOnly="1" outline="0" fieldPosition="0">
        <references count="1">
          <reference field="4294967294" count="2">
            <x v="0"/>
            <x v="1"/>
          </reference>
        </references>
      </pivotArea>
    </format>
    <format dxfId="914">
      <pivotArea type="all" dataOnly="0" outline="0" fieldPosition="0"/>
    </format>
    <format dxfId="913">
      <pivotArea outline="0" collapsedLevelsAreSubtotals="1" fieldPosition="0"/>
    </format>
    <format dxfId="912">
      <pivotArea field="1" type="button" dataOnly="0" labelOnly="1" outline="0" axis="axisRow" fieldPosition="0"/>
    </format>
    <format dxfId="911">
      <pivotArea dataOnly="0" labelOnly="1" fieldPosition="0">
        <references count="1">
          <reference field="1" count="0"/>
        </references>
      </pivotArea>
    </format>
    <format dxfId="910">
      <pivotArea dataOnly="0" labelOnly="1" grandRow="1" outline="0" fieldPosition="0"/>
    </format>
    <format dxfId="909">
      <pivotArea dataOnly="0" labelOnly="1" outline="0" fieldPosition="0">
        <references count="1">
          <reference field="4294967294" count="2">
            <x v="0"/>
            <x v="1"/>
          </reference>
        </references>
      </pivotArea>
    </format>
    <format dxfId="908">
      <pivotArea type="all" dataOnly="0" outline="0" fieldPosition="0"/>
    </format>
    <format dxfId="907">
      <pivotArea outline="0" collapsedLevelsAreSubtotals="1" fieldPosition="0"/>
    </format>
    <format dxfId="906">
      <pivotArea field="1" type="button" dataOnly="0" labelOnly="1" outline="0" axis="axisRow" fieldPosition="0"/>
    </format>
    <format dxfId="905">
      <pivotArea dataOnly="0" labelOnly="1" fieldPosition="0">
        <references count="1">
          <reference field="1" count="0"/>
        </references>
      </pivotArea>
    </format>
    <format dxfId="904">
      <pivotArea dataOnly="0" labelOnly="1" grandRow="1" outline="0" fieldPosition="0"/>
    </format>
    <format dxfId="903">
      <pivotArea dataOnly="0" labelOnly="1" outline="0" fieldPosition="0">
        <references count="1">
          <reference field="4294967294" count="2">
            <x v="0"/>
            <x v="1"/>
          </reference>
        </references>
      </pivotArea>
    </format>
    <format dxfId="902">
      <pivotArea type="all" dataOnly="0" outline="0" fieldPosition="0"/>
    </format>
    <format dxfId="901">
      <pivotArea outline="0" collapsedLevelsAreSubtotals="1" fieldPosition="0"/>
    </format>
    <format dxfId="900">
      <pivotArea field="1" type="button" dataOnly="0" labelOnly="1" outline="0" axis="axisRow" fieldPosition="0"/>
    </format>
    <format dxfId="899">
      <pivotArea dataOnly="0" labelOnly="1" fieldPosition="0">
        <references count="1">
          <reference field="1" count="0"/>
        </references>
      </pivotArea>
    </format>
    <format dxfId="898">
      <pivotArea dataOnly="0" labelOnly="1" grandRow="1" outline="0" fieldPosition="0"/>
    </format>
    <format dxfId="897">
      <pivotArea dataOnly="0" labelOnly="1" outline="0" fieldPosition="0">
        <references count="1">
          <reference field="4294967294" count="2">
            <x v="0"/>
            <x v="1"/>
          </reference>
        </references>
      </pivotArea>
    </format>
  </formats>
  <chartFormats count="3">
    <chartFormat chart="18" format="4" series="1">
      <pivotArea type="data" outline="0" fieldPosition="0">
        <references count="1">
          <reference field="4294967294" count="1" selected="0">
            <x v="1"/>
          </reference>
        </references>
      </pivotArea>
    </chartFormat>
    <chartFormat chart="18" format="5" series="1">
      <pivotArea type="data" outline="0" fieldPosition="0">
        <references count="1">
          <reference field="4294967294" count="1" selected="0">
            <x v="0"/>
          </reference>
        </references>
      </pivotArea>
    </chartFormat>
    <chartFormat chart="18" format="6">
      <pivotArea type="data" outline="0" fieldPosition="0">
        <references count="2">
          <reference field="4294967294" count="1" selected="0">
            <x v="0"/>
          </reference>
          <reference field="1" count="1" selected="0">
            <x v="5"/>
          </reference>
        </references>
      </pivotArea>
    </chartFormat>
  </chartFormats>
  <pivotHierarchies count="54">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es %"/>
    <pivotHierarchy dragToData="1" caption="Quantity %"/>
    <pivotHierarchy dragToData="1" caption="Profit %"/>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7" showRowHeaders="1" showColHeaders="1" showRowStripes="0" showColStripes="0" showLastColumn="1"/>
  <rowHierarchiesUsage count="1">
    <rowHierarchyUsage hierarchyUsage="3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uperstore Raw Data.xlsx!Table_1">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91B94722-0470-49B3-94AE-CB3C09F55F33}" name="Distribution_TopLossProducts" cacheId="8" applyNumberFormats="0" applyBorderFormats="0" applyFontFormats="0" applyPatternFormats="0" applyAlignmentFormats="0" applyWidthHeightFormats="1" dataCaption="Values" updatedVersion="8" minRefreshableVersion="3" useAutoFormatting="1" subtotalHiddenItems="1" rowGrandTotals="0" itemPrintTitles="1" createdVersion="8" indent="0" outline="1" outlineData="1" multipleFieldFilters="0" rowHeaderCaption="Product Name">
  <location ref="CJ23:CL26" firstHeaderRow="0" firstDataRow="1" firstDataCol="1"/>
  <pivotFields count="4">
    <pivotField axis="axisRow" allDrilled="1" subtotalTop="0" showAll="0" measureFilter="1" sortType="a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
    <i>
      <x v="2"/>
    </i>
    <i>
      <x/>
    </i>
    <i>
      <x v="1"/>
    </i>
  </rowItems>
  <colFields count="1">
    <field x="-2"/>
  </colFields>
  <colItems count="2">
    <i>
      <x/>
    </i>
    <i i="1">
      <x v="1"/>
    </i>
  </colItems>
  <dataFields count="2">
    <dataField name="Profit" fld="2" baseField="0" baseItem="0" numFmtId="168"/>
    <dataField name="Quantity" fld="1" baseField="0" baseItem="0"/>
  </dataFields>
  <formats count="17">
    <format dxfId="963">
      <pivotArea outline="0" collapsedLevelsAreSubtotals="1" fieldPosition="0">
        <references count="1">
          <reference field="4294967294" count="1" selected="0">
            <x v="0"/>
          </reference>
        </references>
      </pivotArea>
    </format>
    <format dxfId="962">
      <pivotArea dataOnly="0" labelOnly="1" outline="0" fieldPosition="0">
        <references count="1">
          <reference field="4294967294" count="1">
            <x v="0"/>
          </reference>
        </references>
      </pivotArea>
    </format>
    <format dxfId="961">
      <pivotArea type="all" dataOnly="0" outline="0" fieldPosition="0"/>
    </format>
    <format dxfId="960">
      <pivotArea outline="0" collapsedLevelsAreSubtotals="1" fieldPosition="0"/>
    </format>
    <format dxfId="959">
      <pivotArea field="0" type="button" dataOnly="0" labelOnly="1" outline="0" axis="axisRow" fieldPosition="0"/>
    </format>
    <format dxfId="958">
      <pivotArea dataOnly="0" labelOnly="1" fieldPosition="0">
        <references count="1">
          <reference field="0" count="0"/>
        </references>
      </pivotArea>
    </format>
    <format dxfId="957">
      <pivotArea dataOnly="0" labelOnly="1" outline="0" fieldPosition="0">
        <references count="1">
          <reference field="4294967294" count="2">
            <x v="0"/>
            <x v="1"/>
          </reference>
        </references>
      </pivotArea>
    </format>
    <format dxfId="956">
      <pivotArea type="all" dataOnly="0" outline="0" fieldPosition="0"/>
    </format>
    <format dxfId="955">
      <pivotArea outline="0" collapsedLevelsAreSubtotals="1" fieldPosition="0"/>
    </format>
    <format dxfId="954">
      <pivotArea field="0" type="button" dataOnly="0" labelOnly="1" outline="0" axis="axisRow" fieldPosition="0"/>
    </format>
    <format dxfId="953">
      <pivotArea dataOnly="0" labelOnly="1" fieldPosition="0">
        <references count="1">
          <reference field="0" count="0"/>
        </references>
      </pivotArea>
    </format>
    <format dxfId="952">
      <pivotArea dataOnly="0" labelOnly="1" outline="0" fieldPosition="0">
        <references count="1">
          <reference field="4294967294" count="2">
            <x v="0"/>
            <x v="1"/>
          </reference>
        </references>
      </pivotArea>
    </format>
    <format dxfId="951">
      <pivotArea type="all" dataOnly="0" outline="0" fieldPosition="0"/>
    </format>
    <format dxfId="950">
      <pivotArea outline="0" collapsedLevelsAreSubtotals="1" fieldPosition="0"/>
    </format>
    <format dxfId="949">
      <pivotArea field="0" type="button" dataOnly="0" labelOnly="1" outline="0" axis="axisRow" fieldPosition="0"/>
    </format>
    <format dxfId="948">
      <pivotArea dataOnly="0" labelOnly="1" fieldPosition="0">
        <references count="1">
          <reference field="0" count="0"/>
        </references>
      </pivotArea>
    </format>
    <format dxfId="947">
      <pivotArea dataOnly="0" labelOnly="1" outline="0" fieldPosition="0">
        <references count="1">
          <reference field="4294967294" count="2">
            <x v="0"/>
            <x v="1"/>
          </reference>
        </references>
      </pivotArea>
    </format>
  </formats>
  <pivotHierarchies count="53">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Quantity"/>
    <pivotHierarchy dragToData="1" caption="Profi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3" iMeasureHier="40">
      <autoFilter ref="A1">
        <filterColumn colId="0">
          <top10 top="0" val="3" filterVal="3"/>
        </filterColumn>
      </autoFilter>
    </filter>
  </filters>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6869402-FFF3-47B4-B8EC-F322EEC3B66B}" name="Sales&amp;Profit_PercentageDial" cacheId="14" applyNumberFormats="0" applyBorderFormats="0" applyFontFormats="0" applyPatternFormats="0" applyAlignmentFormats="0" applyWidthHeightFormats="1" dataCaption="Values" tag="9556c826-6062-4dd0-a0dd-c5d2edd943cc" updatedVersion="8" minRefreshableVersion="3" subtotalHiddenItems="1" itemPrintTitles="1" createdVersion="8" indent="0" outline="1" outlineData="1" multipleFieldFilters="0" rowHeaderCaption="Product Sub-Category">
  <location ref="O5:P6" firstHeaderRow="0" firstDataRow="1" firstDataCol="0"/>
  <pivotFields count="3">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2">
    <i>
      <x/>
    </i>
    <i i="1">
      <x v="1"/>
    </i>
  </colItems>
  <dataFields count="2">
    <dataField name="Sales" fld="0" baseField="0" baseItem="0" numFmtId="165"/>
    <dataField name="Sum of Profit" fld="1" baseField="0" baseItem="1" numFmtId="165"/>
  </dataFields>
  <formats count="27">
    <format dxfId="990">
      <pivotArea outline="0" collapsedLevelsAreSubtotals="1" fieldPosition="0">
        <references count="1">
          <reference field="4294967294" count="1" selected="0">
            <x v="0"/>
          </reference>
        </references>
      </pivotArea>
    </format>
    <format dxfId="989">
      <pivotArea outline="0" fieldPosition="0">
        <references count="1">
          <reference field="4294967294" count="1">
            <x v="1"/>
          </reference>
        </references>
      </pivotArea>
    </format>
    <format dxfId="988">
      <pivotArea outline="0" collapsedLevelsAreSubtotals="1" fieldPosition="0">
        <references count="1">
          <reference field="4294967294" count="1" selected="0">
            <x v="1"/>
          </reference>
        </references>
      </pivotArea>
    </format>
    <format dxfId="987">
      <pivotArea type="all" dataOnly="0" outline="0" fieldPosition="0"/>
    </format>
    <format dxfId="986">
      <pivotArea outline="0" collapsedLevelsAreSubtotals="1" fieldPosition="0"/>
    </format>
    <format dxfId="985">
      <pivotArea dataOnly="0" labelOnly="1" outline="0" fieldPosition="0">
        <references count="1">
          <reference field="4294967294" count="2">
            <x v="0"/>
            <x v="1"/>
          </reference>
        </references>
      </pivotArea>
    </format>
    <format dxfId="984">
      <pivotArea type="all" dataOnly="0" outline="0" fieldPosition="0"/>
    </format>
    <format dxfId="983">
      <pivotArea outline="0" collapsedLevelsAreSubtotals="1" fieldPosition="0"/>
    </format>
    <format dxfId="982">
      <pivotArea dataOnly="0" labelOnly="1" outline="0" fieldPosition="0">
        <references count="1">
          <reference field="4294967294" count="2">
            <x v="0"/>
            <x v="1"/>
          </reference>
        </references>
      </pivotArea>
    </format>
    <format dxfId="981">
      <pivotArea type="all" dataOnly="0" outline="0" fieldPosition="0"/>
    </format>
    <format dxfId="980">
      <pivotArea outline="0" collapsedLevelsAreSubtotals="1" fieldPosition="0"/>
    </format>
    <format dxfId="979">
      <pivotArea dataOnly="0" labelOnly="1" outline="0" fieldPosition="0">
        <references count="1">
          <reference field="4294967294" count="2">
            <x v="0"/>
            <x v="1"/>
          </reference>
        </references>
      </pivotArea>
    </format>
    <format dxfId="978">
      <pivotArea type="all" dataOnly="0" outline="0" fieldPosition="0"/>
    </format>
    <format dxfId="977">
      <pivotArea outline="0" collapsedLevelsAreSubtotals="1" fieldPosition="0"/>
    </format>
    <format dxfId="976">
      <pivotArea dataOnly="0" labelOnly="1" outline="0" fieldPosition="0">
        <references count="1">
          <reference field="4294967294" count="2">
            <x v="0"/>
            <x v="1"/>
          </reference>
        </references>
      </pivotArea>
    </format>
    <format dxfId="975">
      <pivotArea type="all" dataOnly="0" outline="0" fieldPosition="0"/>
    </format>
    <format dxfId="974">
      <pivotArea outline="0" collapsedLevelsAreSubtotals="1" fieldPosition="0"/>
    </format>
    <format dxfId="973">
      <pivotArea dataOnly="0" labelOnly="1" outline="0" fieldPosition="0">
        <references count="1">
          <reference field="4294967294" count="2">
            <x v="0"/>
            <x v="1"/>
          </reference>
        </references>
      </pivotArea>
    </format>
    <format dxfId="972">
      <pivotArea type="all" dataOnly="0" outline="0" fieldPosition="0"/>
    </format>
    <format dxfId="971">
      <pivotArea outline="0" collapsedLevelsAreSubtotals="1" fieldPosition="0"/>
    </format>
    <format dxfId="970">
      <pivotArea dataOnly="0" labelOnly="1" outline="0" fieldPosition="0">
        <references count="1">
          <reference field="4294967294" count="2">
            <x v="0"/>
            <x v="1"/>
          </reference>
        </references>
      </pivotArea>
    </format>
    <format dxfId="969">
      <pivotArea type="all" dataOnly="0" outline="0" fieldPosition="0"/>
    </format>
    <format dxfId="968">
      <pivotArea outline="0" collapsedLevelsAreSubtotals="1" fieldPosition="0"/>
    </format>
    <format dxfId="967">
      <pivotArea dataOnly="0" labelOnly="1" outline="0" fieldPosition="0">
        <references count="1">
          <reference field="4294967294" count="2">
            <x v="0"/>
            <x v="1"/>
          </reference>
        </references>
      </pivotArea>
    </format>
    <format dxfId="966">
      <pivotArea type="all" dataOnly="0" outline="0" fieldPosition="0"/>
    </format>
    <format dxfId="965">
      <pivotArea outline="0" collapsedLevelsAreSubtotals="1" fieldPosition="0"/>
    </format>
    <format dxfId="964">
      <pivotArea dataOnly="0" labelOnly="1" outline="0" fieldPosition="0">
        <references count="1">
          <reference field="4294967294" count="2">
            <x v="0"/>
            <x v="1"/>
          </reference>
        </references>
      </pivotArea>
    </format>
  </formats>
  <pivotHierarchies count="53">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es %"/>
    <pivotHierarchy dragToData="1" caption="Quantity %"/>
    <pivotHierarchy dragToData="1" caption="Profit %"/>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7"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uperstore Raw Data.xlsx!Table_1">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59F53F42-C5BE-4725-88C5-B67AC9C3BAC6}" name="Didtribution_Cust.Segment" cacheId="4" applyNumberFormats="0" applyBorderFormats="0" applyFontFormats="0" applyPatternFormats="0" applyAlignmentFormats="0" applyWidthHeightFormats="1" dataCaption="Values" updatedVersion="8" minRefreshableVersion="3" useAutoFormatting="1" subtotalHiddenItems="1" rowGrandTotals="0" itemPrintTitles="1" createdVersion="8" indent="0" compact="0" compactData="0" gridDropZones="1" multipleFieldFilters="0">
  <location ref="BT4:BY25" firstHeaderRow="1" firstDataRow="2" firstDataCol="2"/>
  <pivotFields count="7">
    <pivotField name="Cust. Segment" axis="axisRow" compact="0" allDrilled="1" outline="0" subtotalTop="0" showAll="0" defaultSubtotal="0" defaultAttributeDrillState="1">
      <items count="4">
        <item x="2"/>
        <item x="0"/>
        <item x="1"/>
        <item x="3"/>
      </items>
    </pivotField>
    <pivotField compact="0" allDrilled="1" outline="0" subtotalTop="0" showAll="0" sortType="ascending" defaultSubtotal="0" defaultAttributeDrillState="1">
      <items count="17">
        <item x="0"/>
        <item x="1"/>
        <item x="2"/>
        <item x="3"/>
        <item x="4"/>
        <item x="5"/>
        <item x="6"/>
        <item x="7"/>
        <item x="8"/>
        <item x="9"/>
        <item x="10"/>
        <item x="11"/>
        <item x="12"/>
        <item x="13"/>
        <item x="14"/>
        <item x="15"/>
        <item x="16"/>
      </items>
      <autoSortScope>
        <pivotArea dataOnly="0" outline="0" fieldPosition="0">
          <references count="1">
            <reference field="4294967294" count="1" selected="0">
              <x v="0"/>
            </reference>
          </references>
        </pivotArea>
      </autoSortScope>
    </pivotField>
    <pivotField dataField="1" compact="0" outline="0" subtotalTop="0" showAll="0" defaultSubtotal="0"/>
    <pivotField dataField="1" compact="0" outline="0" subtotalTop="0" showAll="0" defaultSubtotal="0"/>
    <pivotField axis="axisRow" compact="0" allDrilled="1" outline="0" subtotalTop="0" showAll="0" nonAutoSortDefault="1" defaultSubtotal="0" defaultAttributeDrillState="1">
      <items count="5">
        <item n="Low" x="2"/>
        <item n="Medium" x="3"/>
        <item n="High" x="1"/>
        <item n="Critical" x="0"/>
        <item x="4"/>
      </items>
    </pivotField>
    <pivotField dataField="1" compact="0" outline="0" subtotalTop="0" showAll="0" defaultSubtotal="0"/>
    <pivotField dataField="1" compact="0" outline="0" subtotalTop="0" showAll="0" defaultSubtotal="0"/>
  </pivotFields>
  <rowFields count="2">
    <field x="4"/>
    <field x="0"/>
  </rowFields>
  <rowItems count="20">
    <i>
      <x/>
      <x/>
    </i>
    <i r="1">
      <x v="1"/>
    </i>
    <i r="1">
      <x v="2"/>
    </i>
    <i r="1">
      <x v="3"/>
    </i>
    <i>
      <x v="1"/>
      <x/>
    </i>
    <i r="1">
      <x v="1"/>
    </i>
    <i r="1">
      <x v="2"/>
    </i>
    <i r="1">
      <x v="3"/>
    </i>
    <i>
      <x v="2"/>
      <x/>
    </i>
    <i r="1">
      <x v="1"/>
    </i>
    <i r="1">
      <x v="2"/>
    </i>
    <i r="1">
      <x v="3"/>
    </i>
    <i>
      <x v="3"/>
      <x/>
    </i>
    <i r="1">
      <x v="1"/>
    </i>
    <i r="1">
      <x v="2"/>
    </i>
    <i r="1">
      <x v="3"/>
    </i>
    <i>
      <x v="4"/>
      <x/>
    </i>
    <i r="1">
      <x v="1"/>
    </i>
    <i r="1">
      <x v="2"/>
    </i>
    <i r="1">
      <x v="3"/>
    </i>
  </rowItems>
  <colFields count="1">
    <field x="-2"/>
  </colFields>
  <colItems count="4">
    <i>
      <x/>
    </i>
    <i i="1">
      <x v="1"/>
    </i>
    <i i="2">
      <x v="2"/>
    </i>
    <i i="3">
      <x v="3"/>
    </i>
  </colItems>
  <dataFields count="4">
    <dataField name="Sales" fld="2" baseField="0" baseItem="0" numFmtId="165"/>
    <dataField name="Profit" fld="3" baseField="0" baseItem="0" numFmtId="165"/>
    <dataField name="# of Orders" fld="5" subtotal="count" baseField="4" baseItem="0">
      <extLst>
        <ext xmlns:x15="http://schemas.microsoft.com/office/spreadsheetml/2010/11/main" uri="{FABC7310-3BB5-11E1-824E-6D434824019B}">
          <x15:dataField isCountDistinct="1"/>
        </ext>
      </extLst>
    </dataField>
    <dataField name="Last Orderd" fld="6" subtotal="max" baseField="0" baseItem="0" numFmtId="14"/>
  </dataFields>
  <formats count="69">
    <format dxfId="1059">
      <pivotArea outline="0" collapsedLevelsAreSubtotals="1" fieldPosition="0"/>
    </format>
    <format dxfId="1058">
      <pivotArea field="-2" type="button" dataOnly="0" labelOnly="1" outline="0" axis="axisCol" fieldPosition="0"/>
    </format>
    <format dxfId="1057">
      <pivotArea type="topRight" dataOnly="0" labelOnly="1" outline="0" fieldPosition="0"/>
    </format>
    <format dxfId="1056">
      <pivotArea dataOnly="0" labelOnly="1" outline="0" fieldPosition="0">
        <references count="1">
          <reference field="4294967294" count="2">
            <x v="0"/>
            <x v="1"/>
          </reference>
        </references>
      </pivotArea>
    </format>
    <format dxfId="1055">
      <pivotArea dataOnly="0" labelOnly="1" outline="0" fieldPosition="0">
        <references count="1">
          <reference field="4294967294" count="1">
            <x v="0"/>
          </reference>
        </references>
      </pivotArea>
    </format>
    <format dxfId="1054">
      <pivotArea dataOnly="0" labelOnly="1" outline="0" fieldPosition="0">
        <references count="1">
          <reference field="4294967294" count="1">
            <x v="1"/>
          </reference>
        </references>
      </pivotArea>
    </format>
    <format dxfId="1053">
      <pivotArea outline="0" fieldPosition="0">
        <references count="1">
          <reference field="4294967294" count="1" selected="0">
            <x v="0"/>
          </reference>
        </references>
      </pivotArea>
    </format>
    <format dxfId="1052">
      <pivotArea outline="0" fieldPosition="0">
        <references count="1">
          <reference field="4294967294" count="1" selected="0">
            <x v="1"/>
          </reference>
        </references>
      </pivotArea>
    </format>
    <format dxfId="1051">
      <pivotArea outline="0" fieldPosition="0">
        <references count="1">
          <reference field="4294967294" count="1" selected="0">
            <x v="3"/>
          </reference>
        </references>
      </pivotArea>
    </format>
    <format dxfId="1050">
      <pivotArea type="all" dataOnly="0" outline="0" fieldPosition="0"/>
    </format>
    <format dxfId="1049">
      <pivotArea outline="0" collapsedLevelsAreSubtotals="1" fieldPosition="0"/>
    </format>
    <format dxfId="1048">
      <pivotArea type="origin" dataOnly="0" labelOnly="1" outline="0" fieldPosition="0"/>
    </format>
    <format dxfId="1047">
      <pivotArea field="-2" type="button" dataOnly="0" labelOnly="1" outline="0" axis="axisCol" fieldPosition="0"/>
    </format>
    <format dxfId="1046">
      <pivotArea type="topRight" dataOnly="0" labelOnly="1" outline="0" fieldPosition="0"/>
    </format>
    <format dxfId="1045">
      <pivotArea field="0" type="button" dataOnly="0" labelOnly="1" outline="0" axis="axisRow" fieldPosition="1"/>
    </format>
    <format dxfId="1044">
      <pivotArea field="4" type="button" dataOnly="0" labelOnly="1" outline="0" axis="axisRow" fieldPosition="0"/>
    </format>
    <format dxfId="1043">
      <pivotArea dataOnly="0" labelOnly="1" outline="0" fieldPosition="0">
        <references count="1">
          <reference field="0" count="0"/>
        </references>
      </pivotArea>
    </format>
    <format dxfId="1042">
      <pivotArea dataOnly="0" labelOnly="1" outline="0" fieldPosition="0">
        <references count="1">
          <reference field="4294967294" count="4">
            <x v="0"/>
            <x v="1"/>
            <x v="2"/>
            <x v="3"/>
          </reference>
        </references>
      </pivotArea>
    </format>
    <format dxfId="1041">
      <pivotArea type="all" dataOnly="0" outline="0" fieldPosition="0"/>
    </format>
    <format dxfId="1040">
      <pivotArea outline="0" collapsedLevelsAreSubtotals="1" fieldPosition="0"/>
    </format>
    <format dxfId="1039">
      <pivotArea type="origin" dataOnly="0" labelOnly="1" outline="0" fieldPosition="0"/>
    </format>
    <format dxfId="1038">
      <pivotArea field="-2" type="button" dataOnly="0" labelOnly="1" outline="0" axis="axisCol" fieldPosition="0"/>
    </format>
    <format dxfId="1037">
      <pivotArea type="topRight" dataOnly="0" labelOnly="1" outline="0" fieldPosition="0"/>
    </format>
    <format dxfId="1036">
      <pivotArea field="0" type="button" dataOnly="0" labelOnly="1" outline="0" axis="axisRow" fieldPosition="1"/>
    </format>
    <format dxfId="1035">
      <pivotArea field="4" type="button" dataOnly="0" labelOnly="1" outline="0" axis="axisRow" fieldPosition="0"/>
    </format>
    <format dxfId="1034">
      <pivotArea dataOnly="0" labelOnly="1" outline="0" fieldPosition="0">
        <references count="1">
          <reference field="0" count="0"/>
        </references>
      </pivotArea>
    </format>
    <format dxfId="1033">
      <pivotArea dataOnly="0" labelOnly="1" outline="0" fieldPosition="0">
        <references count="1">
          <reference field="4294967294" count="4">
            <x v="0"/>
            <x v="1"/>
            <x v="2"/>
            <x v="3"/>
          </reference>
        </references>
      </pivotArea>
    </format>
    <format dxfId="1032">
      <pivotArea type="all" dataOnly="0" outline="0" fieldPosition="0"/>
    </format>
    <format dxfId="1031">
      <pivotArea outline="0" collapsedLevelsAreSubtotals="1" fieldPosition="0"/>
    </format>
    <format dxfId="1030">
      <pivotArea type="origin" dataOnly="0" labelOnly="1" outline="0" fieldPosition="0"/>
    </format>
    <format dxfId="1029">
      <pivotArea field="-2" type="button" dataOnly="0" labelOnly="1" outline="0" axis="axisCol" fieldPosition="0"/>
    </format>
    <format dxfId="1028">
      <pivotArea type="topRight" dataOnly="0" labelOnly="1" outline="0" fieldPosition="0"/>
    </format>
    <format dxfId="1027">
      <pivotArea field="4" type="button" dataOnly="0" labelOnly="1" outline="0" axis="axisRow" fieldPosition="0"/>
    </format>
    <format dxfId="1026">
      <pivotArea field="0" type="button" dataOnly="0" labelOnly="1" outline="0" axis="axisRow" fieldPosition="1"/>
    </format>
    <format dxfId="1025">
      <pivotArea dataOnly="0" labelOnly="1" outline="0" fieldPosition="0">
        <references count="1">
          <reference field="4" count="0"/>
        </references>
      </pivotArea>
    </format>
    <format dxfId="1024">
      <pivotArea dataOnly="0" labelOnly="1" outline="0" fieldPosition="0">
        <references count="2">
          <reference field="0" count="0"/>
          <reference field="4" count="1" selected="0">
            <x v="0"/>
          </reference>
        </references>
      </pivotArea>
    </format>
    <format dxfId="1023">
      <pivotArea dataOnly="0" labelOnly="1" outline="0" fieldPosition="0">
        <references count="2">
          <reference field="0" count="0"/>
          <reference field="4" count="1" selected="0">
            <x v="1"/>
          </reference>
        </references>
      </pivotArea>
    </format>
    <format dxfId="1022">
      <pivotArea dataOnly="0" labelOnly="1" outline="0" fieldPosition="0">
        <references count="2">
          <reference field="0" count="0"/>
          <reference field="4" count="1" selected="0">
            <x v="2"/>
          </reference>
        </references>
      </pivotArea>
    </format>
    <format dxfId="1021">
      <pivotArea dataOnly="0" labelOnly="1" outline="0" fieldPosition="0">
        <references count="2">
          <reference field="0" count="0"/>
          <reference field="4" count="1" selected="0">
            <x v="3"/>
          </reference>
        </references>
      </pivotArea>
    </format>
    <format dxfId="1020">
      <pivotArea dataOnly="0" labelOnly="1" outline="0" fieldPosition="0">
        <references count="2">
          <reference field="0" count="0"/>
          <reference field="4" count="1" selected="0">
            <x v="4"/>
          </reference>
        </references>
      </pivotArea>
    </format>
    <format dxfId="1019">
      <pivotArea dataOnly="0" labelOnly="1" outline="0" fieldPosition="0">
        <references count="1">
          <reference field="4294967294" count="4">
            <x v="0"/>
            <x v="1"/>
            <x v="2"/>
            <x v="3"/>
          </reference>
        </references>
      </pivotArea>
    </format>
    <format dxfId="1018">
      <pivotArea type="all" dataOnly="0" outline="0" fieldPosition="0"/>
    </format>
    <format dxfId="1017">
      <pivotArea outline="0" collapsedLevelsAreSubtotals="1" fieldPosition="0"/>
    </format>
    <format dxfId="1016">
      <pivotArea type="origin" dataOnly="0" labelOnly="1" outline="0" fieldPosition="0"/>
    </format>
    <format dxfId="1015">
      <pivotArea field="-2" type="button" dataOnly="0" labelOnly="1" outline="0" axis="axisCol" fieldPosition="0"/>
    </format>
    <format dxfId="1014">
      <pivotArea type="topRight" dataOnly="0" labelOnly="1" outline="0" fieldPosition="0"/>
    </format>
    <format dxfId="1013">
      <pivotArea field="4" type="button" dataOnly="0" labelOnly="1" outline="0" axis="axisRow" fieldPosition="0"/>
    </format>
    <format dxfId="1012">
      <pivotArea field="0" type="button" dataOnly="0" labelOnly="1" outline="0" axis="axisRow" fieldPosition="1"/>
    </format>
    <format dxfId="1011">
      <pivotArea dataOnly="0" labelOnly="1" outline="0" fieldPosition="0">
        <references count="1">
          <reference field="4" count="0"/>
        </references>
      </pivotArea>
    </format>
    <format dxfId="1010">
      <pivotArea dataOnly="0" labelOnly="1" outline="0" fieldPosition="0">
        <references count="2">
          <reference field="0" count="0"/>
          <reference field="4" count="1" selected="0">
            <x v="0"/>
          </reference>
        </references>
      </pivotArea>
    </format>
    <format dxfId="1009">
      <pivotArea dataOnly="0" labelOnly="1" outline="0" fieldPosition="0">
        <references count="2">
          <reference field="0" count="0"/>
          <reference field="4" count="1" selected="0">
            <x v="1"/>
          </reference>
        </references>
      </pivotArea>
    </format>
    <format dxfId="1008">
      <pivotArea dataOnly="0" labelOnly="1" outline="0" fieldPosition="0">
        <references count="2">
          <reference field="0" count="0"/>
          <reference field="4" count="1" selected="0">
            <x v="2"/>
          </reference>
        </references>
      </pivotArea>
    </format>
    <format dxfId="1007">
      <pivotArea dataOnly="0" labelOnly="1" outline="0" fieldPosition="0">
        <references count="2">
          <reference field="0" count="0"/>
          <reference field="4" count="1" selected="0">
            <x v="3"/>
          </reference>
        </references>
      </pivotArea>
    </format>
    <format dxfId="1006">
      <pivotArea dataOnly="0" labelOnly="1" outline="0" fieldPosition="0">
        <references count="2">
          <reference field="0" count="0"/>
          <reference field="4" count="1" selected="0">
            <x v="4"/>
          </reference>
        </references>
      </pivotArea>
    </format>
    <format dxfId="1005">
      <pivotArea dataOnly="0" labelOnly="1" outline="0" fieldPosition="0">
        <references count="1">
          <reference field="4294967294" count="4">
            <x v="0"/>
            <x v="1"/>
            <x v="2"/>
            <x v="3"/>
          </reference>
        </references>
      </pivotArea>
    </format>
    <format dxfId="1004">
      <pivotArea type="all" dataOnly="0" outline="0" fieldPosition="0"/>
    </format>
    <format dxfId="1003">
      <pivotArea outline="0" collapsedLevelsAreSubtotals="1" fieldPosition="0"/>
    </format>
    <format dxfId="1002">
      <pivotArea type="origin" dataOnly="0" labelOnly="1" outline="0" fieldPosition="0"/>
    </format>
    <format dxfId="1001">
      <pivotArea field="-2" type="button" dataOnly="0" labelOnly="1" outline="0" axis="axisCol" fieldPosition="0"/>
    </format>
    <format dxfId="1000">
      <pivotArea type="topRight" dataOnly="0" labelOnly="1" outline="0" fieldPosition="0"/>
    </format>
    <format dxfId="999">
      <pivotArea field="4" type="button" dataOnly="0" labelOnly="1" outline="0" axis="axisRow" fieldPosition="0"/>
    </format>
    <format dxfId="998">
      <pivotArea field="0" type="button" dataOnly="0" labelOnly="1" outline="0" axis="axisRow" fieldPosition="1"/>
    </format>
    <format dxfId="997">
      <pivotArea dataOnly="0" labelOnly="1" outline="0" fieldPosition="0">
        <references count="1">
          <reference field="4" count="0"/>
        </references>
      </pivotArea>
    </format>
    <format dxfId="996">
      <pivotArea dataOnly="0" labelOnly="1" outline="0" fieldPosition="0">
        <references count="2">
          <reference field="0" count="0"/>
          <reference field="4" count="1" selected="0">
            <x v="0"/>
          </reference>
        </references>
      </pivotArea>
    </format>
    <format dxfId="995">
      <pivotArea dataOnly="0" labelOnly="1" outline="0" fieldPosition="0">
        <references count="2">
          <reference field="0" count="0"/>
          <reference field="4" count="1" selected="0">
            <x v="1"/>
          </reference>
        </references>
      </pivotArea>
    </format>
    <format dxfId="994">
      <pivotArea dataOnly="0" labelOnly="1" outline="0" fieldPosition="0">
        <references count="2">
          <reference field="0" count="0"/>
          <reference field="4" count="1" selected="0">
            <x v="2"/>
          </reference>
        </references>
      </pivotArea>
    </format>
    <format dxfId="993">
      <pivotArea dataOnly="0" labelOnly="1" outline="0" fieldPosition="0">
        <references count="2">
          <reference field="0" count="0"/>
          <reference field="4" count="1" selected="0">
            <x v="3"/>
          </reference>
        </references>
      </pivotArea>
    </format>
    <format dxfId="992">
      <pivotArea dataOnly="0" labelOnly="1" outline="0" fieldPosition="0">
        <references count="2">
          <reference field="0" count="0"/>
          <reference field="4" count="1" selected="0">
            <x v="4"/>
          </reference>
        </references>
      </pivotArea>
    </format>
    <format dxfId="991">
      <pivotArea dataOnly="0" labelOnly="1" outline="0" fieldPosition="0">
        <references count="1">
          <reference field="4294967294" count="4">
            <x v="0"/>
            <x v="1"/>
            <x v="2"/>
            <x v="3"/>
          </reference>
        </references>
      </pivotArea>
    </format>
  </formats>
  <pivotHierarchies count="53">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es"/>
    <pivotHierarchy dragToData="1"/>
    <pivotHierarchy dragToData="1" caption="Profit"/>
    <pivotHierarchy dragToData="1"/>
    <pivotHierarchy dragToData="1"/>
    <pivotHierarchy dragToData="1"/>
    <pivotHierarchy dragToData="1"/>
    <pivotHierarchy dragToData="1"/>
    <pivotHierarchy dragToData="1"/>
    <pivotHierarchy dragToData="1"/>
    <pivotHierarchy dragToData="1" caption="# of Orders"/>
    <pivotHierarchy dragToData="1"/>
    <pivotHierarchy dragToData="1" caption="Last Orderd"/>
    <pivotHierarchy dragToData="1"/>
    <pivotHierarchy dragToData="1" caption="Distinct Count of Product Name"/>
  </pivotHierarchies>
  <pivotTableStyleInfo showRowHeaders="1" showColHeaders="1" showRowStripes="0" showColStripes="0" showLastColumn="1"/>
  <rowHierarchiesUsage count="2">
    <rowHierarchyUsage hierarchyUsage="2"/>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D2BD23C3-A10E-4D8E-8E6E-A329C9120CD7}" name="Distribution_TopProfitProducts" cacheId="10" applyNumberFormats="0" applyBorderFormats="0" applyFontFormats="0" applyPatternFormats="0" applyAlignmentFormats="0" applyWidthHeightFormats="1" dataCaption="Values" updatedVersion="8" minRefreshableVersion="3" useAutoFormatting="1" subtotalHiddenItems="1" rowGrandTotals="0" itemPrintTitles="1" createdVersion="8" indent="0" outline="1" outlineData="1" multipleFieldFilters="0" rowHeaderCaption="Product Name">
  <location ref="CJ11:CL14" firstHeaderRow="0" firstDataRow="1" firstDataCol="1"/>
  <pivotFields count="4">
    <pivotField axis="axisRow" allDrilled="1" subtotalTop="0" showAll="0" measureFilter="1" dataSourceSort="1" defaultSubtotal="0" defaultAttributeDrillState="1">
      <items count="3">
        <item x="0"/>
        <item x="1"/>
        <item x="2"/>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
    <i>
      <x/>
    </i>
    <i>
      <x v="1"/>
    </i>
    <i>
      <x v="2"/>
    </i>
  </rowItems>
  <colFields count="1">
    <field x="-2"/>
  </colFields>
  <colItems count="2">
    <i>
      <x/>
    </i>
    <i i="1">
      <x v="1"/>
    </i>
  </colItems>
  <dataFields count="2">
    <dataField name="Profit" fld="2" baseField="0" baseItem="0" numFmtId="168"/>
    <dataField name="Quantity" fld="1" baseField="0" baseItem="0"/>
  </dataFields>
  <formats count="17">
    <format dxfId="1076">
      <pivotArea outline="0" collapsedLevelsAreSubtotals="1" fieldPosition="0">
        <references count="1">
          <reference field="4294967294" count="1" selected="0">
            <x v="0"/>
          </reference>
        </references>
      </pivotArea>
    </format>
    <format dxfId="1075">
      <pivotArea dataOnly="0" labelOnly="1" outline="0" fieldPosition="0">
        <references count="1">
          <reference field="4294967294" count="1">
            <x v="0"/>
          </reference>
        </references>
      </pivotArea>
    </format>
    <format dxfId="1074">
      <pivotArea type="all" dataOnly="0" outline="0" fieldPosition="0"/>
    </format>
    <format dxfId="1073">
      <pivotArea outline="0" collapsedLevelsAreSubtotals="1" fieldPosition="0"/>
    </format>
    <format dxfId="1072">
      <pivotArea field="0" type="button" dataOnly="0" labelOnly="1" outline="0" axis="axisRow" fieldPosition="0"/>
    </format>
    <format dxfId="1071">
      <pivotArea dataOnly="0" labelOnly="1" fieldPosition="0">
        <references count="1">
          <reference field="0" count="0"/>
        </references>
      </pivotArea>
    </format>
    <format dxfId="1070">
      <pivotArea dataOnly="0" labelOnly="1" outline="0" fieldPosition="0">
        <references count="1">
          <reference field="4294967294" count="2">
            <x v="0"/>
            <x v="1"/>
          </reference>
        </references>
      </pivotArea>
    </format>
    <format dxfId="1069">
      <pivotArea type="all" dataOnly="0" outline="0" fieldPosition="0"/>
    </format>
    <format dxfId="1068">
      <pivotArea outline="0" collapsedLevelsAreSubtotals="1" fieldPosition="0"/>
    </format>
    <format dxfId="1067">
      <pivotArea field="0" type="button" dataOnly="0" labelOnly="1" outline="0" axis="axisRow" fieldPosition="0"/>
    </format>
    <format dxfId="1066">
      <pivotArea dataOnly="0" labelOnly="1" fieldPosition="0">
        <references count="1">
          <reference field="0" count="0"/>
        </references>
      </pivotArea>
    </format>
    <format dxfId="1065">
      <pivotArea dataOnly="0" labelOnly="1" outline="0" fieldPosition="0">
        <references count="1">
          <reference field="4294967294" count="2">
            <x v="0"/>
            <x v="1"/>
          </reference>
        </references>
      </pivotArea>
    </format>
    <format dxfId="1064">
      <pivotArea type="all" dataOnly="0" outline="0" fieldPosition="0"/>
    </format>
    <format dxfId="1063">
      <pivotArea outline="0" collapsedLevelsAreSubtotals="1" fieldPosition="0"/>
    </format>
    <format dxfId="1062">
      <pivotArea field="0" type="button" dataOnly="0" labelOnly="1" outline="0" axis="axisRow" fieldPosition="0"/>
    </format>
    <format dxfId="1061">
      <pivotArea dataOnly="0" labelOnly="1" fieldPosition="0">
        <references count="1">
          <reference field="0" count="0"/>
        </references>
      </pivotArea>
    </format>
    <format dxfId="1060">
      <pivotArea dataOnly="0" labelOnly="1" outline="0" fieldPosition="0">
        <references count="1">
          <reference field="4294967294" count="2">
            <x v="0"/>
            <x v="1"/>
          </reference>
        </references>
      </pivotArea>
    </format>
  </formats>
  <pivotHierarchies count="53">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Quantity"/>
    <pivotHierarchy dragToData="1" caption="Profi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38">
      <autoFilter ref="A1">
        <filterColumn colId="0">
          <top10 val="3" filterVal="3"/>
        </filterColumn>
      </autoFilter>
    </filter>
  </filters>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474A3A94-4B9C-433A-B355-718015AA89AB}" name="Sales&amp;Profit_SmallDonut" cacheId="18" applyNumberFormats="0" applyBorderFormats="0" applyFontFormats="0" applyPatternFormats="0" applyAlignmentFormats="0" applyWidthHeightFormats="1" dataCaption="Values" tag="67243fc6-6827-43f3-99e8-096150c90107" updatedVersion="8" minRefreshableVersion="3" showDrill="0" subtotalHiddenItems="1" itemPrintTitles="1" createdVersion="8" indent="0" outline="1" outlineData="1" multipleFieldFilters="0" chartFormat="49" rowHeaderCaption="Product Sub-Category">
  <location ref="I27:J32"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Profit" fld="1" baseField="0" baseItem="0"/>
  </dataFields>
  <formats count="55">
    <format dxfId="1131">
      <pivotArea outline="0" collapsedLevelsAreSubtotals="1" fieldPosition="0"/>
    </format>
    <format dxfId="1130">
      <pivotArea type="all" dataOnly="0" outline="0" fieldPosition="0"/>
    </format>
    <format dxfId="1129">
      <pivotArea outline="0" collapsedLevelsAreSubtotals="1" fieldPosition="0"/>
    </format>
    <format dxfId="1128">
      <pivotArea field="0" type="button" dataOnly="0" labelOnly="1" outline="0" axis="axisRow" fieldPosition="0"/>
    </format>
    <format dxfId="1127">
      <pivotArea dataOnly="0" labelOnly="1" fieldPosition="0">
        <references count="1">
          <reference field="0" count="0"/>
        </references>
      </pivotArea>
    </format>
    <format dxfId="1126">
      <pivotArea dataOnly="0" labelOnly="1" grandRow="1" outline="0" fieldPosition="0"/>
    </format>
    <format dxfId="1125">
      <pivotArea dataOnly="0" labelOnly="1" outline="0" axis="axisValues" fieldPosition="0"/>
    </format>
    <format dxfId="1124">
      <pivotArea type="all" dataOnly="0" outline="0" fieldPosition="0"/>
    </format>
    <format dxfId="1123">
      <pivotArea outline="0" collapsedLevelsAreSubtotals="1" fieldPosition="0"/>
    </format>
    <format dxfId="1122">
      <pivotArea field="0" type="button" dataOnly="0" labelOnly="1" outline="0" axis="axisRow" fieldPosition="0"/>
    </format>
    <format dxfId="1121">
      <pivotArea dataOnly="0" labelOnly="1" fieldPosition="0">
        <references count="1">
          <reference field="0" count="0"/>
        </references>
      </pivotArea>
    </format>
    <format dxfId="1120">
      <pivotArea dataOnly="0" labelOnly="1" grandRow="1" outline="0" fieldPosition="0"/>
    </format>
    <format dxfId="1119">
      <pivotArea dataOnly="0" labelOnly="1" outline="0" axis="axisValues" fieldPosition="0"/>
    </format>
    <format dxfId="1118">
      <pivotArea type="all" dataOnly="0" outline="0" fieldPosition="0"/>
    </format>
    <format dxfId="1117">
      <pivotArea outline="0" collapsedLevelsAreSubtotals="1" fieldPosition="0"/>
    </format>
    <format dxfId="1116">
      <pivotArea field="0" type="button" dataOnly="0" labelOnly="1" outline="0" axis="axisRow" fieldPosition="0"/>
    </format>
    <format dxfId="1115">
      <pivotArea dataOnly="0" labelOnly="1" fieldPosition="0">
        <references count="1">
          <reference field="0" count="0"/>
        </references>
      </pivotArea>
    </format>
    <format dxfId="1114">
      <pivotArea dataOnly="0" labelOnly="1" grandRow="1" outline="0" fieldPosition="0"/>
    </format>
    <format dxfId="1113">
      <pivotArea dataOnly="0" labelOnly="1" outline="0" axis="axisValues" fieldPosition="0"/>
    </format>
    <format dxfId="1112">
      <pivotArea type="all" dataOnly="0" outline="0" fieldPosition="0"/>
    </format>
    <format dxfId="1111">
      <pivotArea outline="0" collapsedLevelsAreSubtotals="1" fieldPosition="0"/>
    </format>
    <format dxfId="1110">
      <pivotArea field="0" type="button" dataOnly="0" labelOnly="1" outline="0" axis="axisRow" fieldPosition="0"/>
    </format>
    <format dxfId="1109">
      <pivotArea dataOnly="0" labelOnly="1" fieldPosition="0">
        <references count="1">
          <reference field="0" count="0"/>
        </references>
      </pivotArea>
    </format>
    <format dxfId="1108">
      <pivotArea dataOnly="0" labelOnly="1" grandRow="1" outline="0" fieldPosition="0"/>
    </format>
    <format dxfId="1107">
      <pivotArea dataOnly="0" labelOnly="1" outline="0" axis="axisValues" fieldPosition="0"/>
    </format>
    <format dxfId="1106">
      <pivotArea type="all" dataOnly="0" outline="0" fieldPosition="0"/>
    </format>
    <format dxfId="1105">
      <pivotArea outline="0" collapsedLevelsAreSubtotals="1" fieldPosition="0"/>
    </format>
    <format dxfId="1104">
      <pivotArea field="0" type="button" dataOnly="0" labelOnly="1" outline="0" axis="axisRow" fieldPosition="0"/>
    </format>
    <format dxfId="1103">
      <pivotArea dataOnly="0" labelOnly="1" fieldPosition="0">
        <references count="1">
          <reference field="0" count="0"/>
        </references>
      </pivotArea>
    </format>
    <format dxfId="1102">
      <pivotArea dataOnly="0" labelOnly="1" grandRow="1" outline="0" fieldPosition="0"/>
    </format>
    <format dxfId="1101">
      <pivotArea dataOnly="0" labelOnly="1" outline="0" axis="axisValues" fieldPosition="0"/>
    </format>
    <format dxfId="1100">
      <pivotArea type="all" dataOnly="0" outline="0" fieldPosition="0"/>
    </format>
    <format dxfId="1099">
      <pivotArea outline="0" collapsedLevelsAreSubtotals="1" fieldPosition="0"/>
    </format>
    <format dxfId="1098">
      <pivotArea field="0" type="button" dataOnly="0" labelOnly="1" outline="0" axis="axisRow" fieldPosition="0"/>
    </format>
    <format dxfId="1097">
      <pivotArea dataOnly="0" labelOnly="1" fieldPosition="0">
        <references count="1">
          <reference field="0" count="0"/>
        </references>
      </pivotArea>
    </format>
    <format dxfId="1096">
      <pivotArea dataOnly="0" labelOnly="1" grandRow="1" outline="0" fieldPosition="0"/>
    </format>
    <format dxfId="1095">
      <pivotArea dataOnly="0" labelOnly="1" outline="0" axis="axisValues" fieldPosition="0"/>
    </format>
    <format dxfId="1094">
      <pivotArea type="all" dataOnly="0" outline="0" fieldPosition="0"/>
    </format>
    <format dxfId="1093">
      <pivotArea outline="0" collapsedLevelsAreSubtotals="1" fieldPosition="0"/>
    </format>
    <format dxfId="1092">
      <pivotArea field="0" type="button" dataOnly="0" labelOnly="1" outline="0" axis="axisRow" fieldPosition="0"/>
    </format>
    <format dxfId="1091">
      <pivotArea dataOnly="0" labelOnly="1" fieldPosition="0">
        <references count="1">
          <reference field="0" count="0"/>
        </references>
      </pivotArea>
    </format>
    <format dxfId="1090">
      <pivotArea dataOnly="0" labelOnly="1" grandRow="1" outline="0" fieldPosition="0"/>
    </format>
    <format dxfId="1089">
      <pivotArea dataOnly="0" labelOnly="1" outline="0" axis="axisValues" fieldPosition="0"/>
    </format>
    <format dxfId="1088">
      <pivotArea type="all" dataOnly="0" outline="0" fieldPosition="0"/>
    </format>
    <format dxfId="1087">
      <pivotArea outline="0" collapsedLevelsAreSubtotals="1" fieldPosition="0"/>
    </format>
    <format dxfId="1086">
      <pivotArea field="0" type="button" dataOnly="0" labelOnly="1" outline="0" axis="axisRow" fieldPosition="0"/>
    </format>
    <format dxfId="1085">
      <pivotArea dataOnly="0" labelOnly="1" fieldPosition="0">
        <references count="1">
          <reference field="0" count="0"/>
        </references>
      </pivotArea>
    </format>
    <format dxfId="1084">
      <pivotArea dataOnly="0" labelOnly="1" grandRow="1" outline="0" fieldPosition="0"/>
    </format>
    <format dxfId="1083">
      <pivotArea dataOnly="0" labelOnly="1" outline="0" axis="axisValues" fieldPosition="0"/>
    </format>
    <format dxfId="1082">
      <pivotArea type="all" dataOnly="0" outline="0" fieldPosition="0"/>
    </format>
    <format dxfId="1081">
      <pivotArea outline="0" collapsedLevelsAreSubtotals="1" fieldPosition="0"/>
    </format>
    <format dxfId="1080">
      <pivotArea field="0" type="button" dataOnly="0" labelOnly="1" outline="0" axis="axisRow" fieldPosition="0"/>
    </format>
    <format dxfId="1079">
      <pivotArea dataOnly="0" labelOnly="1" fieldPosition="0">
        <references count="1">
          <reference field="0" count="0"/>
        </references>
      </pivotArea>
    </format>
    <format dxfId="1078">
      <pivotArea dataOnly="0" labelOnly="1" grandRow="1" outline="0" fieldPosition="0"/>
    </format>
    <format dxfId="1077">
      <pivotArea dataOnly="0" labelOnly="1" outline="0" axis="axisValues" fieldPosition="0"/>
    </format>
  </formats>
  <chartFormats count="17">
    <chartFormat chart="30" format="0" series="1">
      <pivotArea type="data" outline="0" fieldPosition="0">
        <references count="1">
          <reference field="4294967294" count="1" selected="0">
            <x v="0"/>
          </reference>
        </references>
      </pivotArea>
    </chartFormat>
    <chartFormat chart="36" format="0" series="1">
      <pivotArea type="data" outline="0" fieldPosition="0">
        <references count="1">
          <reference field="4294967294" count="1" selected="0">
            <x v="0"/>
          </reference>
        </references>
      </pivotArea>
    </chartFormat>
    <chartFormat chart="37" format="1" series="1">
      <pivotArea type="data" outline="0" fieldPosition="0">
        <references count="1">
          <reference field="4294967294" count="1" selected="0">
            <x v="0"/>
          </reference>
        </references>
      </pivotArea>
    </chartFormat>
    <chartFormat chart="37" format="2">
      <pivotArea type="data" outline="0" fieldPosition="0">
        <references count="2">
          <reference field="4294967294" count="1" selected="0">
            <x v="0"/>
          </reference>
          <reference field="0" count="1" selected="0">
            <x v="0"/>
          </reference>
        </references>
      </pivotArea>
    </chartFormat>
    <chartFormat chart="37" format="3">
      <pivotArea type="data" outline="0" fieldPosition="0">
        <references count="2">
          <reference field="4294967294" count="1" selected="0">
            <x v="0"/>
          </reference>
          <reference field="0" count="1" selected="0">
            <x v="1"/>
          </reference>
        </references>
      </pivotArea>
    </chartFormat>
    <chartFormat chart="37" format="4">
      <pivotArea type="data" outline="0" fieldPosition="0">
        <references count="2">
          <reference field="4294967294" count="1" selected="0">
            <x v="0"/>
          </reference>
          <reference field="0" count="1" selected="0">
            <x v="2"/>
          </reference>
        </references>
      </pivotArea>
    </chartFormat>
    <chartFormat chart="37" format="5">
      <pivotArea type="data" outline="0" fieldPosition="0">
        <references count="2">
          <reference field="4294967294" count="1" selected="0">
            <x v="0"/>
          </reference>
          <reference field="0" count="1" selected="0">
            <x v="3"/>
          </reference>
        </references>
      </pivotArea>
    </chartFormat>
    <chartFormat chart="38" format="6" series="1">
      <pivotArea type="data" outline="0" fieldPosition="0">
        <references count="1">
          <reference field="4294967294" count="1" selected="0">
            <x v="0"/>
          </reference>
        </references>
      </pivotArea>
    </chartFormat>
    <chartFormat chart="38" format="7">
      <pivotArea type="data" outline="0" fieldPosition="0">
        <references count="2">
          <reference field="4294967294" count="1" selected="0">
            <x v="0"/>
          </reference>
          <reference field="0" count="1" selected="0">
            <x v="0"/>
          </reference>
        </references>
      </pivotArea>
    </chartFormat>
    <chartFormat chart="38" format="8">
      <pivotArea type="data" outline="0" fieldPosition="0">
        <references count="2">
          <reference field="4294967294" count="1" selected="0">
            <x v="0"/>
          </reference>
          <reference field="0" count="1" selected="0">
            <x v="1"/>
          </reference>
        </references>
      </pivotArea>
    </chartFormat>
    <chartFormat chart="38" format="9">
      <pivotArea type="data" outline="0" fieldPosition="0">
        <references count="2">
          <reference field="4294967294" count="1" selected="0">
            <x v="0"/>
          </reference>
          <reference field="0" count="1" selected="0">
            <x v="2"/>
          </reference>
        </references>
      </pivotArea>
    </chartFormat>
    <chartFormat chart="38" format="10">
      <pivotArea type="data" outline="0" fieldPosition="0">
        <references count="2">
          <reference field="4294967294" count="1" selected="0">
            <x v="0"/>
          </reference>
          <reference field="0" count="1" selected="0">
            <x v="3"/>
          </reference>
        </references>
      </pivotArea>
    </chartFormat>
    <chartFormat chart="39" format="6" series="1">
      <pivotArea type="data" outline="0" fieldPosition="0">
        <references count="1">
          <reference field="4294967294" count="1" selected="0">
            <x v="0"/>
          </reference>
        </references>
      </pivotArea>
    </chartFormat>
    <chartFormat chart="39" format="7">
      <pivotArea type="data" outline="0" fieldPosition="0">
        <references count="2">
          <reference field="4294967294" count="1" selected="0">
            <x v="0"/>
          </reference>
          <reference field="0" count="1" selected="0">
            <x v="0"/>
          </reference>
        </references>
      </pivotArea>
    </chartFormat>
    <chartFormat chart="39" format="8">
      <pivotArea type="data" outline="0" fieldPosition="0">
        <references count="2">
          <reference field="4294967294" count="1" selected="0">
            <x v="0"/>
          </reference>
          <reference field="0" count="1" selected="0">
            <x v="1"/>
          </reference>
        </references>
      </pivotArea>
    </chartFormat>
    <chartFormat chart="39" format="9">
      <pivotArea type="data" outline="0" fieldPosition="0">
        <references count="2">
          <reference field="4294967294" count="1" selected="0">
            <x v="0"/>
          </reference>
          <reference field="0" count="1" selected="0">
            <x v="2"/>
          </reference>
        </references>
      </pivotArea>
    </chartFormat>
    <chartFormat chart="39" format="10">
      <pivotArea type="data" outline="0" fieldPosition="0">
        <references count="2">
          <reference field="4294967294" count="1" selected="0">
            <x v="0"/>
          </reference>
          <reference field="0" count="1" selected="0">
            <x v="3"/>
          </reference>
        </references>
      </pivotArea>
    </chartFormat>
  </chartFormats>
  <pivotHierarchies count="53">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es %"/>
    <pivotHierarchy dragToData="1" caption="Quantity %"/>
    <pivotHierarchy dragToData="1" caption="Profit %"/>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7"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uperstore Raw Data.xlsx!Table_1">
        <x15:activeTabTopLevelEntity name="[Table_1]"/>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42F22CCD-C771-4907-A506-19D0EDC0B5F6}" sourceName="[Table_1].[Product Category]">
  <pivotTables>
    <pivotTable tabId="20" name="SalesMap_The Map"/>
    <pivotTable tabId="20" name="Sales&amp;Profit_PercentageDial"/>
    <pivotTable tabId="20" name="Sales&amp;Profit_TrendChart"/>
    <pivotTable tabId="20" name="Sales&amp;Profit_Matrix+ScatterChart+Donught"/>
    <pivotTable tabId="20" name="Sales&amp;Profit_BarChart"/>
    <pivotTable tabId="20" name="Sales&amp;Profit_SmallDonut"/>
    <pivotTable tabId="20" name="SalesMap_RegionalBars+Matrix"/>
    <pivotTable tabId="20" name="Sales&amp;Profit_VBAhover"/>
  </pivotTables>
  <data>
    <olap pivotCacheId="1056932175">
      <levels count="2">
        <level uniqueName="[Table_1].[Product Category].[(All)]" sourceCaption="(All)" count="0"/>
        <level uniqueName="[Table_1].[Product Category].[Product Category]" sourceCaption="Product Category" count="3">
          <ranges>
            <range startItem="0">
              <i n="[Table_1].[Product Category].&amp;[Furniture]" c="Furniture"/>
              <i n="[Table_1].[Product Category].&amp;[Office Supplies]" c="Office Supplies"/>
              <i n="[Table_1].[Product Category].&amp;[Technology]" c="Technology"/>
            </range>
          </ranges>
        </level>
      </levels>
      <selections count="1">
        <selection n="[Table_1].[Product Categor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__Month" xr10:uid="{116F933C-F3A6-4EBD-8CD6-92371C26F378}" sourceName="[Table_1].[Order Date (Month)]">
  <pivotTables>
    <pivotTable tabId="20" name="Sales&amp;Profit_PercentageDial"/>
    <pivotTable tabId="20" name="Sales&amp;Profit_SmallDonut"/>
    <pivotTable tabId="20" name="Sales&amp;Profit_Matrix+ScatterChart+Donught"/>
    <pivotTable tabId="20" name="Sales&amp;Profit_BarChart"/>
    <pivotTable tabId="20" name="Sales&amp;Profit_TrendChart"/>
    <pivotTable tabId="20" name="Sales&amp;Profit_VBAhover"/>
  </pivotTables>
  <data>
    <olap pivotCacheId="1056932175">
      <levels count="2">
        <level uniqueName="[Table_1].[Order Date (Month)].[(All)]" sourceCaption="(All)" count="0"/>
        <level uniqueName="[Table_1].[Order Date (Month)].[Order Date (Month)]" sourceCaption="Order Date (Month)" count="6">
          <ranges>
            <range startItem="0">
              <i n="[Table_1].[Order Date (Month)].&amp;[Jan]" c="Jan"/>
              <i n="[Table_1].[Order Date (Month)].&amp;[Feb]" c="Feb"/>
              <i n="[Table_1].[Order Date (Month)].&amp;[Mar]" c="Mar"/>
              <i n="[Table_1].[Order Date (Month)].&amp;[Apr]" c="Apr"/>
              <i n="[Table_1].[Order Date (Month)].&amp;[May]" c="May"/>
              <i n="[Table_1].[Order Date (Month)].&amp;[Jun]" c="Jun"/>
            </range>
          </ranges>
        </level>
      </levels>
      <selections count="1">
        <selection n="[Table_1].[Order Date (Month)].[All]"/>
      </selections>
    </olap>
  </data>
  <extLst>
    <x:ext xmlns:x15="http://schemas.microsoft.com/office/spreadsheetml/2010/11/main" uri="{470722E0-AACD-4C17-9CDC-17EF765DBC7E}">
      <x15:slicerCacheHideItemsWithNoData count="1">
        <x15:slicerCacheOlapLevelName uniqueName="[Table_1].[Order Date (Month)].[Order Date (Month)]" count="0"/>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Segment" xr10:uid="{242162D8-0B1B-4B06-9CEF-DE0D40582C2D}" sourceName="[Table_1].[Customer Segment]">
  <pivotTables>
    <pivotTable tabId="20" name="Trends_LineChart+Matrix"/>
    <pivotTable tabId="20" name="Trends_Bars"/>
    <pivotTable tabId="20" name="Trends_Matrix"/>
  </pivotTables>
  <data>
    <olap pivotCacheId="1028005513">
      <levels count="2">
        <level uniqueName="[Table_1].[Customer Segment].[(All)]" sourceCaption="(All)" count="0"/>
        <level uniqueName="[Table_1].[Customer Segment].[Customer Segment]" sourceCaption="Customer Segment" count="4">
          <ranges>
            <range startItem="0">
              <i n="[Table_1].[Customer Segment].&amp;[Consumer]" c="Consumer"/>
              <i n="[Table_1].[Customer Segment].&amp;[Corporate]" c="Corporate"/>
              <i n="[Table_1].[Customer Segment].&amp;[Home Office]" c="Home Office"/>
              <i n="[Table_1].[Customer Segment].&amp;[Small Business]" c="Small Business"/>
            </range>
          </ranges>
        </level>
      </levels>
      <selections count="1">
        <selection n="[Table_1].[Customer Segment].[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nager" xr10:uid="{44BB75D1-895C-4F10-80A0-7A0F495529AD}" sourceName="[Table_1].[Manager]">
  <pivotTables>
    <pivotTable tabId="20" name="Trends_LineChart+Matrix"/>
    <pivotTable tabId="20" name="Trends_Bars"/>
    <pivotTable tabId="20" name="Trends_Matrix"/>
  </pivotTables>
  <data>
    <olap pivotCacheId="1028005513">
      <levels count="2">
        <level uniqueName="[Table_1].[Manager].[(All)]" sourceCaption="(All)" count="0"/>
        <level uniqueName="[Table_1].[Manager].[Manager]" sourceCaption="Manager" count="4">
          <ranges>
            <range startItem="0">
              <i n="[Table_1].[Manager].&amp;[Chris]" c="Chris"/>
              <i n="[Table_1].[Manager].&amp;[Erin]" c="Erin"/>
              <i n="[Table_1].[Manager].&amp;[Sam]" c="Sam"/>
              <i n="[Table_1].[Manager].&amp;[William]" c="William"/>
            </range>
          </ranges>
        </level>
      </levels>
      <selections count="1">
        <selection n="[Table_1].[Manager].[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__Month1" xr10:uid="{A3115CAD-02F4-4896-BA09-2CD777A851A0}" sourceName="[Table_1].[Order Date (Month)]">
  <pivotTables>
    <pivotTable tabId="20" name="Trends_LineChart+Matrix"/>
    <pivotTable tabId="20" name="Trends_Bars"/>
    <pivotTable tabId="20" name="Trends_Matrix"/>
  </pivotTables>
  <data>
    <olap pivotCacheId="1028005513">
      <levels count="2">
        <level uniqueName="[Table_1].[Order Date (Month)].[(All)]" sourceCaption="(All)" count="0"/>
        <level uniqueName="[Table_1].[Order Date (Month)].[Order Date (Month)]" sourceCaption="Order Date (Month)" count="6">
          <ranges>
            <range startItem="0">
              <i n="[Table_1].[Order Date (Month)].&amp;[Jan]" c="Jan"/>
              <i n="[Table_1].[Order Date (Month)].&amp;[Feb]" c="Feb"/>
              <i n="[Table_1].[Order Date (Month)].&amp;[Mar]" c="Mar"/>
              <i n="[Table_1].[Order Date (Month)].&amp;[Apr]" c="Apr"/>
              <i n="[Table_1].[Order Date (Month)].&amp;[May]" c="May"/>
              <i n="[Table_1].[Order Date (Month)].&amp;[Jun]" c="Jun"/>
            </range>
          </ranges>
        </level>
      </levels>
      <selections count="1">
        <selection n="[Table_1].[Order Date (Month)].[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Segment1" xr10:uid="{36DC0AF2-F750-4418-9C32-08D04CA0E770}" sourceName="[Table_1].[Customer Segment]">
  <pivotTables>
    <pivotTable tabId="20" name="Didtribution_OrderPriority"/>
    <pivotTable tabId="20" name="Distribution_LeastProfitCities"/>
    <pivotTable tabId="20" name="Distribution_LeastSellingCities"/>
    <pivotTable tabId="20" name="Distribution_LeastSellingProducts"/>
    <pivotTable tabId="20" name="Distribution_TopLossProducts"/>
    <pivotTable tabId="20" name="Distribution_TopProfitCities"/>
    <pivotTable tabId="20" name="Distribution_TopProfitProducts"/>
    <pivotTable tabId="20" name="Distribution_TopSellingCities"/>
    <pivotTable tabId="20" name="Distribution_TopSellingProducts"/>
  </pivotTables>
  <data>
    <olap pivotCacheId="1183887746">
      <levels count="2">
        <level uniqueName="[Table_1].[Customer Segment].[(All)]" sourceCaption="(All)" count="0"/>
        <level uniqueName="[Table_1].[Customer Segment].[Customer Segment]" sourceCaption="Customer Segment" count="4">
          <ranges>
            <range startItem="0">
              <i n="[Table_1].[Customer Segment].&amp;[Consumer]" c="Consumer"/>
              <i n="[Table_1].[Customer Segment].&amp;[Corporate]" c="Corporate"/>
              <i n="[Table_1].[Customer Segment].&amp;[Home Office]" c="Home Office"/>
              <i n="[Table_1].[Customer Segment].&amp;[Small Business]" c="Small Business"/>
            </range>
          </ranges>
        </level>
      </levels>
      <selections count="1">
        <selection n="[Table_1].[Customer Segment].[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Priority" xr10:uid="{379D673A-5E62-4AB4-A8D2-5F727DAABCF1}" sourceName="[Table_1].[Order Priority]">
  <pivotTables>
    <pivotTable tabId="20" name="Didtribution_Cust.Segment"/>
    <pivotTable tabId="20" name="Distribution_LeastProfitCities"/>
    <pivotTable tabId="20" name="Distribution_LeastSellingCities"/>
    <pivotTable tabId="20" name="Distribution_LeastSellingProducts"/>
    <pivotTable tabId="20" name="Distribution_TopLossProducts"/>
    <pivotTable tabId="20" name="Distribution_TopProfitCities"/>
    <pivotTable tabId="20" name="Distribution_TopProfitProducts"/>
    <pivotTable tabId="20" name="Distribution_TopSellingCities"/>
    <pivotTable tabId="20" name="Distribution_TopSellingProducts"/>
  </pivotTables>
  <data>
    <olap pivotCacheId="384521452">
      <levels count="2">
        <level uniqueName="[Table_1].[Order Priority].[(All)]" sourceCaption="(All)" count="0"/>
        <level uniqueName="[Table_1].[Order Priority].[Order Priority]" sourceCaption="Order Priority" count="5">
          <ranges>
            <range startItem="0">
              <i n="[Table_1].[Order Priority].&amp;[Critical]" c="Critical"/>
              <i n="[Table_1].[Order Priority].&amp;[High]" c="High"/>
              <i n="[Table_1].[Order Priority].&amp;[Low]" c="Low"/>
              <i n="[Table_1].[Order Priority].&amp;[Medium]" c="Medium"/>
              <i n="[Table_1].[Order Priority].&amp;[N/A]" c="N/A"/>
            </range>
          </ranges>
        </level>
      </levels>
      <selections count="1">
        <selection n="[Table_1].[Order Priority].[All]"/>
      </selections>
    </olap>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Sub_Category" xr10:uid="{2C296ED4-6259-4FCF-BBFF-0F2DC387FDCE}" sourceName="[Table_1].[Product Sub-Category]">
  <pivotTables>
    <pivotTable tabId="20" name="Didtribution_OrderPriority"/>
    <pivotTable tabId="20" name="Didtribution_Cust.Segment"/>
    <pivotTable tabId="20" name="Distribution_TopProfitProducts"/>
    <pivotTable tabId="20" name="Distribution_TopSellingProducts"/>
    <pivotTable tabId="20" name="Distribution_LeastProfitCities"/>
    <pivotTable tabId="20" name="Distribution_LeastSellingCities"/>
    <pivotTable tabId="20" name="Distribution_LeastSellingProducts"/>
    <pivotTable tabId="20" name="Distribution_TopLossProducts"/>
    <pivotTable tabId="20" name="Distribution_TopProfitCities"/>
    <pivotTable tabId="20" name="Distribution_TopSellingCities"/>
  </pivotTables>
  <data>
    <olap pivotCacheId="1183887746">
      <levels count="2">
        <level uniqueName="[Table_1].[Product Sub-Category].[(All)]" sourceCaption="(All)" count="0"/>
        <level uniqueName="[Table_1].[Product Sub-Category].[Product Sub-Category]" sourceCaption="Product Sub-Category" count="17">
          <ranges>
            <range startItem="0">
              <i n="[Table_1].[Product Sub-Category].&amp;[Appliances]" c="Appliances"/>
              <i n="[Table_1].[Product Sub-Category].&amp;[Binders and Binder Accessories]" c="Binders and Binder Accessories"/>
              <i n="[Table_1].[Product Sub-Category].&amp;[Bookcases]" c="Bookcases"/>
              <i n="[Table_1].[Product Sub-Category].&amp;[Chairs &amp; Chairmats]" c="Chairs &amp; Chairmats"/>
              <i n="[Table_1].[Product Sub-Category].&amp;[Computer Peripherals]" c="Computer Peripherals"/>
              <i n="[Table_1].[Product Sub-Category].&amp;[Copiers and Fax]" c="Copiers and Fax"/>
              <i n="[Table_1].[Product Sub-Category].&amp;[Envelopes]" c="Envelopes"/>
              <i n="[Table_1].[Product Sub-Category].&amp;[Labels]" c="Labels"/>
              <i n="[Table_1].[Product Sub-Category].&amp;[Office Furnishings]" c="Office Furnishings"/>
              <i n="[Table_1].[Product Sub-Category].&amp;[Office Machines]" c="Office Machines"/>
              <i n="[Table_1].[Product Sub-Category].&amp;[Paper]" c="Paper"/>
              <i n="[Table_1].[Product Sub-Category].&amp;[Pens &amp; Art Supplies]" c="Pens &amp; Art Supplies"/>
              <i n="[Table_1].[Product Sub-Category].&amp;[Rubber Bands]" c="Rubber Bands"/>
              <i n="[Table_1].[Product Sub-Category].&amp;[Scissors, Rulers and Trimmers]" c="Scissors, Rulers and Trimmers"/>
              <i n="[Table_1].[Product Sub-Category].&amp;[Storage &amp; Organization]" c="Storage &amp; Organization"/>
              <i n="[Table_1].[Product Sub-Category].&amp;[Tables]" c="Tables"/>
              <i n="[Table_1].[Product Sub-Category].&amp;[Telephones and Communication]" c="Telephones and Communication"/>
            </range>
          </ranges>
        </level>
      </levels>
      <selections count="1">
        <selection n="[Table_1].[Product Sub-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Category" xr10:uid="{F1568B4E-6A26-4691-81C2-45FE450ACC59}" cache="Slicer_Product_Category" columnCount="3" level="1" style="Slicer Style 1" lockedPosition="1" rowHeight="324000"/>
  <slicer name="Order Date (Month)" xr10:uid="{56AED562-A469-4DBA-895F-C4B3A3CCA94F}" cache="Slicer_Order_Date__Month" columnCount="6" level="1" style="Slicer Style 1" lockedPosition="1" rowHeight="22542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 Segment" xr10:uid="{CD519504-2850-44AF-8A52-96AE62A059EA}" cache="Slicer_Customer_Segment" caption="Consumer Segment" columnCount="4" level="1" style="Slicer Style 1 2" lockedPosition="1" rowHeight="225425"/>
  <slicer name="Manager" xr10:uid="{F6DD7321-8FE3-4149-8B57-69EA253A96B8}" cache="Slicer_Manager" caption="Regional Managers" columnCount="4" level="1" style="Slicer Style 1 2" lockedPosition="1" rowHeight="225425"/>
  <slicer name="Order Date (Month) 1" xr10:uid="{728B7233-5B48-4FB3-9BDE-1D8A0D0AA3EB}" cache="Slicer_Order_Date__Month1" caption="Monthly Fliter" columnCount="6" level="1" style="Slicer Style 1 2" lockedPosition="1" rowHeight="225425"/>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 Segment 2" xr10:uid="{A3BB5B70-9237-4889-9474-1BFD19AB2F05}" cache="Slicer_Customer_Segment1" columnCount="4" level="1" style="Slicer Style 1 2" lockedPosition="1" rowHeight="225425"/>
  <slicer name="Order Priority" xr10:uid="{CF607CAB-7CD2-420B-B314-75C37537F3B8}" cache="Slicer_Order_Priority" columnCount="5" level="1" style="Slicer Style 1 2" lockedPosition="1" rowHeight="225425"/>
  <slicer name="Product Sub-Category" xr10:uid="{E590952F-9507-4524-A524-41A15856898F}" cache="Slicer_Product_Sub_Category" columnCount="9" level="1" style="Slicer Style 1 2" lockedPosition="1" rowHeight="225425"/>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Category 2" xr10:uid="{7346601B-6DE1-4064-933D-C60CB45CFA2A}" cache="Slicer_Product_Category" level="1" style="Slicer Style 1" lockedPosition="1"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1:AD1938" totalsRowCount="1" headerRowDxfId="61" dataDxfId="60" totalsRowDxfId="59">
  <autoFilter ref="A1:AD1937" xr:uid="{00000000-000C-0000-FFFF-FFFF00000000}"/>
  <sortState xmlns:xlrd2="http://schemas.microsoft.com/office/spreadsheetml/2017/richdata2" ref="A2:AD1937">
    <sortCondition ref="S1:S1937"/>
  </sortState>
  <tableColumns count="30">
    <tableColumn id="1" xr3:uid="{00000000-0010-0000-0000-000001000000}" name="Customer ID" dataDxfId="58" totalsRowDxfId="57"/>
    <tableColumn id="2" xr3:uid="{00000000-0010-0000-0000-000002000000}" name="Customer Name" dataDxfId="56" totalsRowDxfId="55"/>
    <tableColumn id="3" xr3:uid="{00000000-0010-0000-0000-000003000000}" name="Order Priority" dataDxfId="54" totalsRowDxfId="53"/>
    <tableColumn id="4" xr3:uid="{00000000-0010-0000-0000-000004000000}" name="Discount" dataDxfId="52" totalsRowDxfId="51"/>
    <tableColumn id="5" xr3:uid="{00000000-0010-0000-0000-000005000000}" name="Unit Price" dataDxfId="50" totalsRowDxfId="49"/>
    <tableColumn id="6" xr3:uid="{00000000-0010-0000-0000-000006000000}" name="Shipping Cost" totalsRowFunction="sum" dataDxfId="48" totalsRowDxfId="47"/>
    <tableColumn id="7" xr3:uid="{00000000-0010-0000-0000-000007000000}" name="Ship Mode" dataDxfId="46" totalsRowDxfId="45"/>
    <tableColumn id="8" xr3:uid="{00000000-0010-0000-0000-000008000000}" name="Customer Segment" dataDxfId="44" totalsRowDxfId="43"/>
    <tableColumn id="9" xr3:uid="{00000000-0010-0000-0000-000009000000}" name="Product Category" dataDxfId="42" totalsRowDxfId="41"/>
    <tableColumn id="10" xr3:uid="{00000000-0010-0000-0000-00000A000000}" name="Product Sub-Category" totalsRowFunction="custom" dataDxfId="40" totalsRowDxfId="39">
      <totalsRowFormula>COUNT(DataSheet!$J$2:$J$1937)</totalsRowFormula>
    </tableColumn>
    <tableColumn id="11" xr3:uid="{00000000-0010-0000-0000-00000B000000}" name="Product Container" dataDxfId="38" totalsRowDxfId="37"/>
    <tableColumn id="12" xr3:uid="{00000000-0010-0000-0000-00000C000000}" name="Product Name" dataDxfId="36" totalsRowDxfId="35"/>
    <tableColumn id="13" xr3:uid="{00000000-0010-0000-0000-00000D000000}" name="Product Base Margin" dataDxfId="34" totalsRowDxfId="33"/>
    <tableColumn id="14" xr3:uid="{00000000-0010-0000-0000-00000E000000}" name="Country" dataDxfId="32" totalsRowDxfId="31"/>
    <tableColumn id="15" xr3:uid="{00000000-0010-0000-0000-00000F000000}" name="Region" dataDxfId="30" totalsRowDxfId="29"/>
    <tableColumn id="16" xr3:uid="{00000000-0010-0000-0000-000010000000}" name="State or Province" dataDxfId="28" totalsRowDxfId="27"/>
    <tableColumn id="17" xr3:uid="{00000000-0010-0000-0000-000011000000}" name="City" dataDxfId="26" totalsRowDxfId="25"/>
    <tableColumn id="18" xr3:uid="{00000000-0010-0000-0000-000012000000}" name="Postal Code" dataDxfId="24" totalsRowDxfId="23"/>
    <tableColumn id="19" xr3:uid="{00000000-0010-0000-0000-000013000000}" name="Order Date" dataDxfId="22" totalsRowDxfId="21"/>
    <tableColumn id="20" xr3:uid="{00000000-0010-0000-0000-000014000000}" name="Ship Date" dataDxfId="20" totalsRowDxfId="19"/>
    <tableColumn id="21" xr3:uid="{00000000-0010-0000-0000-000015000000}" name="Profit" totalsRowFunction="sum" dataDxfId="18" totalsRowDxfId="17"/>
    <tableColumn id="22" xr3:uid="{00000000-0010-0000-0000-000016000000}" name="Quantity ordered new" dataDxfId="16" totalsRowDxfId="15"/>
    <tableColumn id="23" xr3:uid="{00000000-0010-0000-0000-000017000000}" name="Sales" dataDxfId="14" totalsRowDxfId="13"/>
    <tableColumn id="24" xr3:uid="{00000000-0010-0000-0000-000018000000}" name="Order ID" totalsRowFunction="countNums" dataDxfId="12"/>
    <tableColumn id="25" xr3:uid="{00000000-0010-0000-0000-000019000000}" name="Total" dataDxfId="11" totalsRowDxfId="10"/>
    <tableColumn id="26" xr3:uid="{00000000-0010-0000-0000-00001A000000}" name="Manager" dataDxfId="9" totalsRowDxfId="8"/>
    <tableColumn id="32" xr3:uid="{4AA82A38-907F-448F-B0F2-AC0739A5A8E3}" name="Dollar Discount" dataDxfId="7" totalsRowDxfId="6"/>
    <tableColumn id="33" xr3:uid="{8598C223-A85F-421C-A3A6-6CE324975790}" name="Gross Cost" dataDxfId="5" totalsRowDxfId="4"/>
    <tableColumn id="34" xr3:uid="{C5930121-7904-4A4E-9FED-EDD928B9615E}" name="Gross Profit" dataDxfId="3" totalsRowDxfId="2"/>
    <tableColumn id="35" xr3:uid="{06A02C17-C7E9-4F7A-BD00-55989649C908}" name="Cumulative cost" totalsRowFunction="sum" dataDxfId="1" totalsRowDxfId="0"/>
  </tableColumns>
  <tableStyleInfo name="DataSheet-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image" Target="../media/image12.emf"/><Relationship Id="rId21" Type="http://schemas.openxmlformats.org/officeDocument/2006/relationships/control" Target="../activeX/activeX10.xml"/><Relationship Id="rId34" Type="http://schemas.openxmlformats.org/officeDocument/2006/relationships/image" Target="../media/image16.emf"/><Relationship Id="rId42" Type="http://schemas.openxmlformats.org/officeDocument/2006/relationships/image" Target="../media/image20.emf"/><Relationship Id="rId47" Type="http://schemas.openxmlformats.org/officeDocument/2006/relationships/control" Target="../activeX/activeX23.xml"/><Relationship Id="rId50" Type="http://schemas.openxmlformats.org/officeDocument/2006/relationships/image" Target="../media/image24.emf"/><Relationship Id="rId55" Type="http://schemas.openxmlformats.org/officeDocument/2006/relationships/control" Target="../activeX/activeX27.xml"/><Relationship Id="rId63" Type="http://schemas.openxmlformats.org/officeDocument/2006/relationships/control" Target="../activeX/activeX31.xml"/><Relationship Id="rId7" Type="http://schemas.openxmlformats.org/officeDocument/2006/relationships/control" Target="../activeX/activeX3.xml"/><Relationship Id="rId2" Type="http://schemas.openxmlformats.org/officeDocument/2006/relationships/vmlDrawing" Target="../drawings/vmlDrawing1.vml"/><Relationship Id="rId16" Type="http://schemas.openxmlformats.org/officeDocument/2006/relationships/image" Target="../media/image7.emf"/><Relationship Id="rId29" Type="http://schemas.openxmlformats.org/officeDocument/2006/relationships/control" Target="../activeX/activeX14.xml"/><Relationship Id="rId11" Type="http://schemas.openxmlformats.org/officeDocument/2006/relationships/control" Target="../activeX/activeX5.xml"/><Relationship Id="rId24" Type="http://schemas.openxmlformats.org/officeDocument/2006/relationships/image" Target="../media/image11.emf"/><Relationship Id="rId32" Type="http://schemas.openxmlformats.org/officeDocument/2006/relationships/image" Target="../media/image15.emf"/><Relationship Id="rId37" Type="http://schemas.openxmlformats.org/officeDocument/2006/relationships/control" Target="../activeX/activeX18.xml"/><Relationship Id="rId40" Type="http://schemas.openxmlformats.org/officeDocument/2006/relationships/image" Target="../media/image19.emf"/><Relationship Id="rId45" Type="http://schemas.openxmlformats.org/officeDocument/2006/relationships/control" Target="../activeX/activeX22.xml"/><Relationship Id="rId53" Type="http://schemas.openxmlformats.org/officeDocument/2006/relationships/control" Target="../activeX/activeX26.xml"/><Relationship Id="rId58" Type="http://schemas.openxmlformats.org/officeDocument/2006/relationships/image" Target="../media/image28.emf"/><Relationship Id="rId66" Type="http://schemas.openxmlformats.org/officeDocument/2006/relationships/image" Target="../media/image32.emf"/><Relationship Id="rId5" Type="http://schemas.openxmlformats.org/officeDocument/2006/relationships/control" Target="../activeX/activeX2.xml"/><Relationship Id="rId61" Type="http://schemas.openxmlformats.org/officeDocument/2006/relationships/control" Target="../activeX/activeX30.xml"/><Relationship Id="rId19" Type="http://schemas.openxmlformats.org/officeDocument/2006/relationships/control" Target="../activeX/activeX9.xml"/><Relationship Id="rId14" Type="http://schemas.openxmlformats.org/officeDocument/2006/relationships/image" Target="../media/image6.emf"/><Relationship Id="rId22" Type="http://schemas.openxmlformats.org/officeDocument/2006/relationships/image" Target="../media/image10.emf"/><Relationship Id="rId27" Type="http://schemas.openxmlformats.org/officeDocument/2006/relationships/control" Target="../activeX/activeX13.xml"/><Relationship Id="rId30" Type="http://schemas.openxmlformats.org/officeDocument/2006/relationships/image" Target="../media/image14.emf"/><Relationship Id="rId35" Type="http://schemas.openxmlformats.org/officeDocument/2006/relationships/control" Target="../activeX/activeX17.xml"/><Relationship Id="rId43" Type="http://schemas.openxmlformats.org/officeDocument/2006/relationships/control" Target="../activeX/activeX21.xml"/><Relationship Id="rId48" Type="http://schemas.openxmlformats.org/officeDocument/2006/relationships/image" Target="../media/image23.emf"/><Relationship Id="rId56" Type="http://schemas.openxmlformats.org/officeDocument/2006/relationships/image" Target="../media/image27.emf"/><Relationship Id="rId64" Type="http://schemas.openxmlformats.org/officeDocument/2006/relationships/image" Target="../media/image31.emf"/><Relationship Id="rId8" Type="http://schemas.openxmlformats.org/officeDocument/2006/relationships/image" Target="../media/image3.emf"/><Relationship Id="rId51" Type="http://schemas.openxmlformats.org/officeDocument/2006/relationships/control" Target="../activeX/activeX25.xml"/><Relationship Id="rId3" Type="http://schemas.openxmlformats.org/officeDocument/2006/relationships/control" Target="../activeX/activeX1.xml"/><Relationship Id="rId12" Type="http://schemas.openxmlformats.org/officeDocument/2006/relationships/image" Target="../media/image5.emf"/><Relationship Id="rId17" Type="http://schemas.openxmlformats.org/officeDocument/2006/relationships/control" Target="../activeX/activeX8.xml"/><Relationship Id="rId25" Type="http://schemas.openxmlformats.org/officeDocument/2006/relationships/control" Target="../activeX/activeX12.xml"/><Relationship Id="rId33" Type="http://schemas.openxmlformats.org/officeDocument/2006/relationships/control" Target="../activeX/activeX16.xml"/><Relationship Id="rId38" Type="http://schemas.openxmlformats.org/officeDocument/2006/relationships/image" Target="../media/image18.emf"/><Relationship Id="rId46" Type="http://schemas.openxmlformats.org/officeDocument/2006/relationships/image" Target="../media/image22.emf"/><Relationship Id="rId59" Type="http://schemas.openxmlformats.org/officeDocument/2006/relationships/control" Target="../activeX/activeX29.xml"/><Relationship Id="rId67" Type="http://schemas.microsoft.com/office/2007/relationships/slicer" Target="../slicers/slicer1.xml"/><Relationship Id="rId20" Type="http://schemas.openxmlformats.org/officeDocument/2006/relationships/image" Target="../media/image9.emf"/><Relationship Id="rId41" Type="http://schemas.openxmlformats.org/officeDocument/2006/relationships/control" Target="../activeX/activeX20.xml"/><Relationship Id="rId54" Type="http://schemas.openxmlformats.org/officeDocument/2006/relationships/image" Target="../media/image26.emf"/><Relationship Id="rId62" Type="http://schemas.openxmlformats.org/officeDocument/2006/relationships/image" Target="../media/image30.emf"/><Relationship Id="rId1" Type="http://schemas.openxmlformats.org/officeDocument/2006/relationships/drawing" Target="../drawings/drawing1.xml"/><Relationship Id="rId6" Type="http://schemas.openxmlformats.org/officeDocument/2006/relationships/image" Target="../media/image2.emf"/><Relationship Id="rId15" Type="http://schemas.openxmlformats.org/officeDocument/2006/relationships/control" Target="../activeX/activeX7.xml"/><Relationship Id="rId23" Type="http://schemas.openxmlformats.org/officeDocument/2006/relationships/control" Target="../activeX/activeX11.xml"/><Relationship Id="rId28" Type="http://schemas.openxmlformats.org/officeDocument/2006/relationships/image" Target="../media/image13.emf"/><Relationship Id="rId36" Type="http://schemas.openxmlformats.org/officeDocument/2006/relationships/image" Target="../media/image17.emf"/><Relationship Id="rId49" Type="http://schemas.openxmlformats.org/officeDocument/2006/relationships/control" Target="../activeX/activeX24.xml"/><Relationship Id="rId57" Type="http://schemas.openxmlformats.org/officeDocument/2006/relationships/control" Target="../activeX/activeX28.xml"/><Relationship Id="rId10" Type="http://schemas.openxmlformats.org/officeDocument/2006/relationships/image" Target="../media/image4.emf"/><Relationship Id="rId31" Type="http://schemas.openxmlformats.org/officeDocument/2006/relationships/control" Target="../activeX/activeX15.xml"/><Relationship Id="rId44" Type="http://schemas.openxmlformats.org/officeDocument/2006/relationships/image" Target="../media/image21.emf"/><Relationship Id="rId52" Type="http://schemas.openxmlformats.org/officeDocument/2006/relationships/image" Target="../media/image25.emf"/><Relationship Id="rId60" Type="http://schemas.openxmlformats.org/officeDocument/2006/relationships/image" Target="../media/image29.emf"/><Relationship Id="rId65" Type="http://schemas.openxmlformats.org/officeDocument/2006/relationships/control" Target="../activeX/activeX32.xml"/><Relationship Id="rId4" Type="http://schemas.openxmlformats.org/officeDocument/2006/relationships/image" Target="../media/image1.emf"/><Relationship Id="rId9" Type="http://schemas.openxmlformats.org/officeDocument/2006/relationships/control" Target="../activeX/activeX4.xml"/><Relationship Id="rId13" Type="http://schemas.openxmlformats.org/officeDocument/2006/relationships/control" Target="../activeX/activeX6.xml"/><Relationship Id="rId18" Type="http://schemas.openxmlformats.org/officeDocument/2006/relationships/image" Target="../media/image8.emf"/><Relationship Id="rId39" Type="http://schemas.openxmlformats.org/officeDocument/2006/relationships/control" Target="../activeX/activeX1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4.xml"/><Relationship Id="rId11" Type="http://schemas.microsoft.com/office/2007/relationships/slicer" Target="../slicers/slicer2.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4.xml"/><Relationship Id="rId13" Type="http://schemas.openxmlformats.org/officeDocument/2006/relationships/ctrlProp" Target="../ctrlProps/ctrlProp19.xml"/><Relationship Id="rId18" Type="http://schemas.openxmlformats.org/officeDocument/2006/relationships/ctrlProp" Target="../ctrlProps/ctrlProp24.xml"/><Relationship Id="rId3" Type="http://schemas.openxmlformats.org/officeDocument/2006/relationships/ctrlProp" Target="../ctrlProps/ctrlProp9.xml"/><Relationship Id="rId21" Type="http://schemas.microsoft.com/office/2007/relationships/slicer" Target="../slicers/slicer3.xml"/><Relationship Id="rId7" Type="http://schemas.openxmlformats.org/officeDocument/2006/relationships/ctrlProp" Target="../ctrlProps/ctrlProp13.xml"/><Relationship Id="rId12" Type="http://schemas.openxmlformats.org/officeDocument/2006/relationships/ctrlProp" Target="../ctrlProps/ctrlProp18.xml"/><Relationship Id="rId17" Type="http://schemas.openxmlformats.org/officeDocument/2006/relationships/ctrlProp" Target="../ctrlProps/ctrlProp23.xml"/><Relationship Id="rId2" Type="http://schemas.openxmlformats.org/officeDocument/2006/relationships/vmlDrawing" Target="../drawings/vmlDrawing3.vml"/><Relationship Id="rId16" Type="http://schemas.openxmlformats.org/officeDocument/2006/relationships/ctrlProp" Target="../ctrlProps/ctrlProp22.xml"/><Relationship Id="rId20" Type="http://schemas.openxmlformats.org/officeDocument/2006/relationships/ctrlProp" Target="../ctrlProps/ctrlProp26.xml"/><Relationship Id="rId1" Type="http://schemas.openxmlformats.org/officeDocument/2006/relationships/drawing" Target="../drawings/drawing3.xml"/><Relationship Id="rId6" Type="http://schemas.openxmlformats.org/officeDocument/2006/relationships/ctrlProp" Target="../ctrlProps/ctrlProp12.xml"/><Relationship Id="rId11" Type="http://schemas.openxmlformats.org/officeDocument/2006/relationships/ctrlProp" Target="../ctrlProps/ctrlProp17.xml"/><Relationship Id="rId5" Type="http://schemas.openxmlformats.org/officeDocument/2006/relationships/ctrlProp" Target="../ctrlProps/ctrlProp11.xml"/><Relationship Id="rId15" Type="http://schemas.openxmlformats.org/officeDocument/2006/relationships/ctrlProp" Target="../ctrlProps/ctrlProp21.xml"/><Relationship Id="rId10" Type="http://schemas.openxmlformats.org/officeDocument/2006/relationships/ctrlProp" Target="../ctrlProps/ctrlProp16.xml"/><Relationship Id="rId19" Type="http://schemas.openxmlformats.org/officeDocument/2006/relationships/ctrlProp" Target="../ctrlProps/ctrlProp25.xml"/><Relationship Id="rId4" Type="http://schemas.openxmlformats.org/officeDocument/2006/relationships/ctrlProp" Target="../ctrlProps/ctrlProp10.xml"/><Relationship Id="rId9" Type="http://schemas.openxmlformats.org/officeDocument/2006/relationships/ctrlProp" Target="../ctrlProps/ctrlProp15.xml"/><Relationship Id="rId14" Type="http://schemas.openxmlformats.org/officeDocument/2006/relationships/ctrlProp" Target="../ctrlProps/ctrlProp20.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2.xml"/><Relationship Id="rId13" Type="http://schemas.microsoft.com/office/2007/relationships/slicer" Target="../slicers/slicer4.xml"/><Relationship Id="rId3" Type="http://schemas.openxmlformats.org/officeDocument/2006/relationships/ctrlProp" Target="../ctrlProps/ctrlProp27.xml"/><Relationship Id="rId7" Type="http://schemas.openxmlformats.org/officeDocument/2006/relationships/ctrlProp" Target="../ctrlProps/ctrlProp31.xml"/><Relationship Id="rId12" Type="http://schemas.openxmlformats.org/officeDocument/2006/relationships/ctrlProp" Target="../ctrlProps/ctrlProp36.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30.xml"/><Relationship Id="rId11" Type="http://schemas.openxmlformats.org/officeDocument/2006/relationships/ctrlProp" Target="../ctrlProps/ctrlProp35.xml"/><Relationship Id="rId5" Type="http://schemas.openxmlformats.org/officeDocument/2006/relationships/ctrlProp" Target="../ctrlProps/ctrlProp29.xml"/><Relationship Id="rId10" Type="http://schemas.openxmlformats.org/officeDocument/2006/relationships/ctrlProp" Target="../ctrlProps/ctrlProp34.xml"/><Relationship Id="rId4" Type="http://schemas.openxmlformats.org/officeDocument/2006/relationships/ctrlProp" Target="../ctrlProps/ctrlProp28.xml"/><Relationship Id="rId9" Type="http://schemas.openxmlformats.org/officeDocument/2006/relationships/ctrlProp" Target="../ctrlProps/ctrlProp33.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openxmlformats.org/officeDocument/2006/relationships/pivotTable" Target="../pivotTables/pivotTable2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98845-DBAB-4F79-98BB-F25AE3B661E7}">
  <sheetPr codeName="Sheet1">
    <tabColor theme="1"/>
  </sheetPr>
  <dimension ref="A1:AF36"/>
  <sheetViews>
    <sheetView showGridLines="0" showRowColHeaders="0" tabSelected="1" workbookViewId="0"/>
  </sheetViews>
  <sheetFormatPr defaultRowHeight="12.75" x14ac:dyDescent="0.2"/>
  <cols>
    <col min="1" max="16384" width="9.140625" style="2"/>
  </cols>
  <sheetData>
    <row r="1" spans="1:2" x14ac:dyDescent="0.2">
      <c r="A1" s="10"/>
    </row>
    <row r="2" spans="1:2" ht="12.75" customHeight="1" x14ac:dyDescent="0.2"/>
    <row r="3" spans="1:2" ht="12.75" customHeight="1" x14ac:dyDescent="0.2"/>
    <row r="4" spans="1:2" ht="12.75" customHeight="1" x14ac:dyDescent="0.2"/>
    <row r="5" spans="1:2" ht="12.75" customHeight="1" x14ac:dyDescent="0.2"/>
    <row r="6" spans="1:2" ht="12.75" customHeight="1" x14ac:dyDescent="0.25">
      <c r="B6" s="6"/>
    </row>
    <row r="7" spans="1:2" ht="12.75" customHeight="1" x14ac:dyDescent="0.25">
      <c r="B7" s="5"/>
    </row>
    <row r="8" spans="1:2" ht="12.75" customHeight="1" x14ac:dyDescent="0.25">
      <c r="B8" s="5"/>
    </row>
    <row r="9" spans="1:2" ht="12.75" customHeight="1" x14ac:dyDescent="0.2">
      <c r="B9" s="3"/>
    </row>
    <row r="10" spans="1:2" ht="12.75" customHeight="1" x14ac:dyDescent="0.2"/>
    <row r="11" spans="1:2" ht="12.75" customHeight="1" x14ac:dyDescent="0.2"/>
    <row r="12" spans="1:2" ht="12.75" customHeight="1" x14ac:dyDescent="0.2"/>
    <row r="13" spans="1:2" ht="12.75" customHeight="1" x14ac:dyDescent="0.2"/>
    <row r="14" spans="1:2" ht="12.75" customHeight="1" x14ac:dyDescent="0.2"/>
    <row r="15" spans="1:2" ht="12.75" customHeight="1" x14ac:dyDescent="0.2"/>
    <row r="16" spans="1:2" ht="12.75" customHeight="1" x14ac:dyDescent="0.2"/>
    <row r="17" spans="32:32" ht="12.75" customHeight="1" x14ac:dyDescent="0.2"/>
    <row r="18" spans="32:32" ht="12.75" customHeight="1" x14ac:dyDescent="0.2"/>
    <row r="19" spans="32:32" ht="12.75" customHeight="1" x14ac:dyDescent="0.2"/>
    <row r="20" spans="32:32" ht="12.75" customHeight="1" x14ac:dyDescent="0.2">
      <c r="AF20" s="7" t="s">
        <v>50</v>
      </c>
    </row>
    <row r="21" spans="32:32" ht="12.75" customHeight="1" x14ac:dyDescent="0.2"/>
    <row r="22" spans="32:32" ht="12.75" customHeight="1" x14ac:dyDescent="0.2"/>
    <row r="23" spans="32:32" ht="12.75" customHeight="1" x14ac:dyDescent="0.2"/>
    <row r="36" spans="6:6" x14ac:dyDescent="0.2">
      <c r="F36" s="4"/>
    </row>
  </sheetData>
  <sheetProtection algorithmName="SHA-512" hashValue="2vbonF9obUDQnrt+XLFJCIZNzBaLACvAhuCaMN84Vbyf2p6CfC4dYuUarGHYlYvGdg2p6UpScXLm08120o6R0w==" saltValue="UqKbeSKpYjz6HvubFyha1A==" spinCount="100000" sheet="1" objects="1" scenarios="1" selectLockedCells="1" selectUnlockedCells="1"/>
  <pageMargins left="0.7" right="0.7" top="0.75" bottom="0.75" header="0.3" footer="0.3"/>
  <drawing r:id="rId1"/>
  <legacyDrawing r:id="rId2"/>
  <controls>
    <mc:AlternateContent xmlns:mc="http://schemas.openxmlformats.org/markup-compatibility/2006">
      <mc:Choice Requires="x14">
        <control shapeId="1304" r:id="rId3" name="Binders">
          <controlPr locked="0" defaultSize="0" autoLine="0" autoPict="0" r:id="rId4">
            <anchor moveWithCells="1">
              <from>
                <xdr:col>13</xdr:col>
                <xdr:colOff>381000</xdr:colOff>
                <xdr:row>43</xdr:row>
                <xdr:rowOff>0</xdr:rowOff>
              </from>
              <to>
                <xdr:col>15</xdr:col>
                <xdr:colOff>85725</xdr:colOff>
                <xdr:row>48</xdr:row>
                <xdr:rowOff>104775</xdr:rowOff>
              </to>
            </anchor>
          </controlPr>
        </control>
      </mc:Choice>
      <mc:Fallback>
        <control shapeId="1304" r:id="rId3" name="Binders"/>
      </mc:Fallback>
    </mc:AlternateContent>
    <mc:AlternateContent xmlns:mc="http://schemas.openxmlformats.org/markup-compatibility/2006">
      <mc:Choice Requires="x14">
        <control shapeId="1303" r:id="rId5" name="Chairs">
          <controlPr locked="0" defaultSize="0" autoLine="0" autoPict="0" r:id="rId6">
            <anchor moveWithCells="1">
              <from>
                <xdr:col>16</xdr:col>
                <xdr:colOff>419100</xdr:colOff>
                <xdr:row>42</xdr:row>
                <xdr:rowOff>114300</xdr:rowOff>
              </from>
              <to>
                <xdr:col>18</xdr:col>
                <xdr:colOff>276225</xdr:colOff>
                <xdr:row>49</xdr:row>
                <xdr:rowOff>0</xdr:rowOff>
              </to>
            </anchor>
          </controlPr>
        </control>
      </mc:Choice>
      <mc:Fallback>
        <control shapeId="1303" r:id="rId5" name="Chairs"/>
      </mc:Fallback>
    </mc:AlternateContent>
    <mc:AlternateContent xmlns:mc="http://schemas.openxmlformats.org/markup-compatibility/2006">
      <mc:Choice Requires="x14">
        <control shapeId="1302" r:id="rId7" name="Computer">
          <controlPr locked="0" defaultSize="0" autoLine="0" autoPict="0" r:id="rId8">
            <anchor moveWithCells="1">
              <from>
                <xdr:col>19</xdr:col>
                <xdr:colOff>438150</xdr:colOff>
                <xdr:row>45</xdr:row>
                <xdr:rowOff>104775</xdr:rowOff>
              </from>
              <to>
                <xdr:col>20</xdr:col>
                <xdr:colOff>542925</xdr:colOff>
                <xdr:row>49</xdr:row>
                <xdr:rowOff>114300</xdr:rowOff>
              </to>
            </anchor>
          </controlPr>
        </control>
      </mc:Choice>
      <mc:Fallback>
        <control shapeId="1302" r:id="rId7" name="Computer"/>
      </mc:Fallback>
    </mc:AlternateContent>
    <mc:AlternateContent xmlns:mc="http://schemas.openxmlformats.org/markup-compatibility/2006">
      <mc:Choice Requires="x14">
        <control shapeId="1301" r:id="rId9" name="Copiers">
          <controlPr locked="0" defaultSize="0" autoLine="0" autoPict="0" r:id="rId10">
            <anchor moveWithCells="1">
              <from>
                <xdr:col>20</xdr:col>
                <xdr:colOff>104775</xdr:colOff>
                <xdr:row>38</xdr:row>
                <xdr:rowOff>19050</xdr:rowOff>
              </from>
              <to>
                <xdr:col>21</xdr:col>
                <xdr:colOff>209550</xdr:colOff>
                <xdr:row>42</xdr:row>
                <xdr:rowOff>66675</xdr:rowOff>
              </to>
            </anchor>
          </controlPr>
        </control>
      </mc:Choice>
      <mc:Fallback>
        <control shapeId="1301" r:id="rId9" name="Copiers"/>
      </mc:Fallback>
    </mc:AlternateContent>
    <mc:AlternateContent xmlns:mc="http://schemas.openxmlformats.org/markup-compatibility/2006">
      <mc:Choice Requires="x14">
        <control shapeId="1300" r:id="rId11" name="Storage">
          <controlPr locked="0" defaultSize="0" autoLine="0" autoPict="0" r:id="rId12">
            <anchor moveWithCells="1">
              <from>
                <xdr:col>10</xdr:col>
                <xdr:colOff>523875</xdr:colOff>
                <xdr:row>26</xdr:row>
                <xdr:rowOff>66675</xdr:rowOff>
              </from>
              <to>
                <xdr:col>12</xdr:col>
                <xdr:colOff>209550</xdr:colOff>
                <xdr:row>31</xdr:row>
                <xdr:rowOff>114300</xdr:rowOff>
              </to>
            </anchor>
          </controlPr>
        </control>
      </mc:Choice>
      <mc:Fallback>
        <control shapeId="1300" r:id="rId11" name="Storage"/>
      </mc:Fallback>
    </mc:AlternateContent>
    <mc:AlternateContent xmlns:mc="http://schemas.openxmlformats.org/markup-compatibility/2006">
      <mc:Choice Requires="x14">
        <control shapeId="1299" r:id="rId13" name="Envelope">
          <controlPr locked="0" defaultSize="0" autoLine="0" autoPict="0" r:id="rId14">
            <anchor moveWithCells="1">
              <from>
                <xdr:col>22</xdr:col>
                <xdr:colOff>419100</xdr:colOff>
                <xdr:row>31</xdr:row>
                <xdr:rowOff>95250</xdr:rowOff>
              </from>
              <to>
                <xdr:col>23</xdr:col>
                <xdr:colOff>276225</xdr:colOff>
                <xdr:row>34</xdr:row>
                <xdr:rowOff>66675</xdr:rowOff>
              </to>
            </anchor>
          </controlPr>
        </control>
      </mc:Choice>
      <mc:Fallback>
        <control shapeId="1299" r:id="rId13" name="Envelope"/>
      </mc:Fallback>
    </mc:AlternateContent>
    <mc:AlternateContent xmlns:mc="http://schemas.openxmlformats.org/markup-compatibility/2006">
      <mc:Choice Requires="x14">
        <control shapeId="1298" r:id="rId15" name="LabelsProducts">
          <controlPr locked="0" defaultSize="0" autoLine="0" r:id="rId16">
            <anchor moveWithCells="1">
              <from>
                <xdr:col>20</xdr:col>
                <xdr:colOff>314325</xdr:colOff>
                <xdr:row>26</xdr:row>
                <xdr:rowOff>85725</xdr:rowOff>
              </from>
              <to>
                <xdr:col>21</xdr:col>
                <xdr:colOff>9525</xdr:colOff>
                <xdr:row>28</xdr:row>
                <xdr:rowOff>28575</xdr:rowOff>
              </to>
            </anchor>
          </controlPr>
        </control>
      </mc:Choice>
      <mc:Fallback>
        <control shapeId="1298" r:id="rId15" name="LabelsProducts"/>
      </mc:Fallback>
    </mc:AlternateContent>
    <mc:AlternateContent xmlns:mc="http://schemas.openxmlformats.org/markup-compatibility/2006">
      <mc:Choice Requires="x14">
        <control shapeId="1297" r:id="rId17" name="Scissors">
          <controlPr locked="0" defaultSize="0" autoLine="0" r:id="rId18">
            <anchor moveWithCells="1">
              <from>
                <xdr:col>12</xdr:col>
                <xdr:colOff>161925</xdr:colOff>
                <xdr:row>22</xdr:row>
                <xdr:rowOff>95250</xdr:rowOff>
              </from>
              <to>
                <xdr:col>12</xdr:col>
                <xdr:colOff>466725</xdr:colOff>
                <xdr:row>24</xdr:row>
                <xdr:rowOff>76200</xdr:rowOff>
              </to>
            </anchor>
          </controlPr>
        </control>
      </mc:Choice>
      <mc:Fallback>
        <control shapeId="1297" r:id="rId17" name="Scissors"/>
      </mc:Fallback>
    </mc:AlternateContent>
    <mc:AlternateContent xmlns:mc="http://schemas.openxmlformats.org/markup-compatibility/2006">
      <mc:Choice Requires="x14">
        <control shapeId="1296" r:id="rId19" name="RubberBand">
          <controlPr locked="0" defaultSize="0" autoLine="0" autoPict="0" r:id="rId20">
            <anchor moveWithCells="1">
              <from>
                <xdr:col>13</xdr:col>
                <xdr:colOff>133350</xdr:colOff>
                <xdr:row>17</xdr:row>
                <xdr:rowOff>9525</xdr:rowOff>
              </from>
              <to>
                <xdr:col>13</xdr:col>
                <xdr:colOff>381000</xdr:colOff>
                <xdr:row>18</xdr:row>
                <xdr:rowOff>152400</xdr:rowOff>
              </to>
            </anchor>
          </controlPr>
        </control>
      </mc:Choice>
      <mc:Fallback>
        <control shapeId="1296" r:id="rId19" name="RubberBand"/>
      </mc:Fallback>
    </mc:AlternateContent>
    <mc:AlternateContent xmlns:mc="http://schemas.openxmlformats.org/markup-compatibility/2006">
      <mc:Choice Requires="x14">
        <control shapeId="1295" r:id="rId21" name="Pens">
          <controlPr locked="0" defaultSize="0" autoLine="0" autoPict="0" r:id="rId22">
            <anchor moveWithCells="1">
              <from>
                <xdr:col>14</xdr:col>
                <xdr:colOff>523875</xdr:colOff>
                <xdr:row>20</xdr:row>
                <xdr:rowOff>85725</xdr:rowOff>
              </from>
              <to>
                <xdr:col>15</xdr:col>
                <xdr:colOff>400050</xdr:colOff>
                <xdr:row>22</xdr:row>
                <xdr:rowOff>152400</xdr:rowOff>
              </to>
            </anchor>
          </controlPr>
        </control>
      </mc:Choice>
      <mc:Fallback>
        <control shapeId="1295" r:id="rId21" name="Pens"/>
      </mc:Fallback>
    </mc:AlternateContent>
    <mc:AlternateContent xmlns:mc="http://schemas.openxmlformats.org/markup-compatibility/2006">
      <mc:Choice Requires="x14">
        <control shapeId="1294" r:id="rId23" name="Papers">
          <controlPr locked="0" defaultSize="0" autoLine="0" autoPict="0" r:id="rId24">
            <anchor moveWithCells="1">
              <from>
                <xdr:col>16</xdr:col>
                <xdr:colOff>123825</xdr:colOff>
                <xdr:row>16</xdr:row>
                <xdr:rowOff>66675</xdr:rowOff>
              </from>
              <to>
                <xdr:col>17</xdr:col>
                <xdr:colOff>47625</xdr:colOff>
                <xdr:row>19</xdr:row>
                <xdr:rowOff>104775</xdr:rowOff>
              </to>
            </anchor>
          </controlPr>
        </control>
      </mc:Choice>
      <mc:Fallback>
        <control shapeId="1294" r:id="rId23" name="Papers"/>
      </mc:Fallback>
    </mc:AlternateContent>
    <mc:AlternateContent xmlns:mc="http://schemas.openxmlformats.org/markup-compatibility/2006">
      <mc:Choice Requires="x14">
        <control shapeId="1293" r:id="rId25" name="Telephones">
          <controlPr locked="0" defaultSize="0" autoLine="0" autoPict="0" r:id="rId26">
            <anchor moveWithCells="1">
              <from>
                <xdr:col>22</xdr:col>
                <xdr:colOff>466725</xdr:colOff>
                <xdr:row>18</xdr:row>
                <xdr:rowOff>114300</xdr:rowOff>
              </from>
              <to>
                <xdr:col>24</xdr:col>
                <xdr:colOff>161925</xdr:colOff>
                <xdr:row>24</xdr:row>
                <xdr:rowOff>123825</xdr:rowOff>
              </to>
            </anchor>
          </controlPr>
        </control>
      </mc:Choice>
      <mc:Fallback>
        <control shapeId="1293" r:id="rId25" name="Telephones"/>
      </mc:Fallback>
    </mc:AlternateContent>
    <mc:AlternateContent xmlns:mc="http://schemas.openxmlformats.org/markup-compatibility/2006">
      <mc:Choice Requires="x14">
        <control shapeId="1292" r:id="rId27" name="OfficeFurn">
          <controlPr locked="0" defaultSize="0" autoLine="0" autoPict="0" r:id="rId28">
            <anchor moveWithCells="1">
              <from>
                <xdr:col>20</xdr:col>
                <xdr:colOff>133350</xdr:colOff>
                <xdr:row>17</xdr:row>
                <xdr:rowOff>152400</xdr:rowOff>
              </from>
              <to>
                <xdr:col>21</xdr:col>
                <xdr:colOff>238125</xdr:colOff>
                <xdr:row>22</xdr:row>
                <xdr:rowOff>9525</xdr:rowOff>
              </to>
            </anchor>
          </controlPr>
        </control>
      </mc:Choice>
      <mc:Fallback>
        <control shapeId="1292" r:id="rId27" name="OfficeFurn"/>
      </mc:Fallback>
    </mc:AlternateContent>
    <mc:AlternateContent xmlns:mc="http://schemas.openxmlformats.org/markup-compatibility/2006">
      <mc:Choice Requires="x14">
        <control shapeId="1291" r:id="rId29" name="OfficeMachine">
          <controlPr locked="0" defaultSize="0" autoLine="0" r:id="rId30">
            <anchor moveWithCells="1">
              <from>
                <xdr:col>17</xdr:col>
                <xdr:colOff>533400</xdr:colOff>
                <xdr:row>10</xdr:row>
                <xdr:rowOff>57150</xdr:rowOff>
              </from>
              <to>
                <xdr:col>19</xdr:col>
                <xdr:colOff>590550</xdr:colOff>
                <xdr:row>18</xdr:row>
                <xdr:rowOff>19050</xdr:rowOff>
              </to>
            </anchor>
          </controlPr>
        </control>
      </mc:Choice>
      <mc:Fallback>
        <control shapeId="1291" r:id="rId29" name="OfficeMachine"/>
      </mc:Fallback>
    </mc:AlternateContent>
    <mc:AlternateContent xmlns:mc="http://schemas.openxmlformats.org/markup-compatibility/2006">
      <mc:Choice Requires="x14">
        <control shapeId="1089" r:id="rId31" name="Bookcases">
          <controlPr locked="0" defaultSize="0" autoLine="0" autoPict="0" r:id="rId32">
            <anchor moveWithCells="1">
              <from>
                <xdr:col>12</xdr:col>
                <xdr:colOff>238125</xdr:colOff>
                <xdr:row>48</xdr:row>
                <xdr:rowOff>123825</xdr:rowOff>
              </from>
              <to>
                <xdr:col>13</xdr:col>
                <xdr:colOff>342900</xdr:colOff>
                <xdr:row>53</xdr:row>
                <xdr:rowOff>0</xdr:rowOff>
              </to>
            </anchor>
          </controlPr>
        </control>
      </mc:Choice>
      <mc:Fallback>
        <control shapeId="1089" r:id="rId31" name="Bookcases"/>
      </mc:Fallback>
    </mc:AlternateContent>
    <mc:AlternateContent xmlns:mc="http://schemas.openxmlformats.org/markup-compatibility/2006">
      <mc:Choice Requires="x14">
        <control shapeId="1088" r:id="rId33" name="Appliances">
          <controlPr locked="0" defaultSize="0" autoLine="0" autoPict="0" r:id="rId34">
            <anchor moveWithCells="1">
              <from>
                <xdr:col>11</xdr:col>
                <xdr:colOff>66675</xdr:colOff>
                <xdr:row>44</xdr:row>
                <xdr:rowOff>0</xdr:rowOff>
              </from>
              <to>
                <xdr:col>12</xdr:col>
                <xdr:colOff>104775</xdr:colOff>
                <xdr:row>47</xdr:row>
                <xdr:rowOff>114300</xdr:rowOff>
              </to>
            </anchor>
          </controlPr>
        </control>
      </mc:Choice>
      <mc:Fallback>
        <control shapeId="1088" r:id="rId33" name="Appliances"/>
      </mc:Fallback>
    </mc:AlternateContent>
    <mc:AlternateContent xmlns:mc="http://schemas.openxmlformats.org/markup-compatibility/2006">
      <mc:Choice Requires="x14">
        <control shapeId="1087" r:id="rId35" name="BindersandBinderAccessories">
          <controlPr locked="0" defaultSize="0" autoLine="0" r:id="rId36">
            <anchor moveWithCells="1">
              <from>
                <xdr:col>13</xdr:col>
                <xdr:colOff>342900</xdr:colOff>
                <xdr:row>42</xdr:row>
                <xdr:rowOff>104775</xdr:rowOff>
              </from>
              <to>
                <xdr:col>15</xdr:col>
                <xdr:colOff>66675</xdr:colOff>
                <xdr:row>48</xdr:row>
                <xdr:rowOff>66675</xdr:rowOff>
              </to>
            </anchor>
          </controlPr>
        </control>
      </mc:Choice>
      <mc:Fallback>
        <control shapeId="1087" r:id="rId35" name="BindersandBinderAccessories"/>
      </mc:Fallback>
    </mc:AlternateContent>
    <mc:AlternateContent xmlns:mc="http://schemas.openxmlformats.org/markup-compatibility/2006">
      <mc:Choice Requires="x14">
        <control shapeId="1086" r:id="rId37" name="ChairsandChairmats">
          <controlPr locked="0" defaultSize="0" autoLine="0" r:id="rId38">
            <anchor moveWithCells="1">
              <from>
                <xdr:col>16</xdr:col>
                <xdr:colOff>381000</xdr:colOff>
                <xdr:row>42</xdr:row>
                <xdr:rowOff>38100</xdr:rowOff>
              </from>
              <to>
                <xdr:col>18</xdr:col>
                <xdr:colOff>247650</xdr:colOff>
                <xdr:row>49</xdr:row>
                <xdr:rowOff>19050</xdr:rowOff>
              </to>
            </anchor>
          </controlPr>
        </control>
      </mc:Choice>
      <mc:Fallback>
        <control shapeId="1086" r:id="rId37" name="ChairsandChairmats"/>
      </mc:Fallback>
    </mc:AlternateContent>
    <mc:AlternateContent xmlns:mc="http://schemas.openxmlformats.org/markup-compatibility/2006">
      <mc:Choice Requires="x14">
        <control shapeId="1085" r:id="rId39" name="ComputerPeripherals">
          <controlPr locked="0" defaultSize="0" autoLine="0" r:id="rId40">
            <anchor moveWithCells="1">
              <from>
                <xdr:col>19</xdr:col>
                <xdr:colOff>457200</xdr:colOff>
                <xdr:row>45</xdr:row>
                <xdr:rowOff>47625</xdr:rowOff>
              </from>
              <to>
                <xdr:col>20</xdr:col>
                <xdr:colOff>533400</xdr:colOff>
                <xdr:row>49</xdr:row>
                <xdr:rowOff>133350</xdr:rowOff>
              </to>
            </anchor>
          </controlPr>
        </control>
      </mc:Choice>
      <mc:Fallback>
        <control shapeId="1085" r:id="rId39" name="ComputerPeripherals"/>
      </mc:Fallback>
    </mc:AlternateContent>
    <mc:AlternateContent xmlns:mc="http://schemas.openxmlformats.org/markup-compatibility/2006">
      <mc:Choice Requires="x14">
        <control shapeId="1084" r:id="rId41" name="CopiersandFax">
          <controlPr locked="0" defaultSize="0" autoLine="0" r:id="rId42">
            <anchor moveWithCells="1">
              <from>
                <xdr:col>20</xdr:col>
                <xdr:colOff>123825</xdr:colOff>
                <xdr:row>36</xdr:row>
                <xdr:rowOff>95250</xdr:rowOff>
              </from>
              <to>
                <xdr:col>21</xdr:col>
                <xdr:colOff>200025</xdr:colOff>
                <xdr:row>42</xdr:row>
                <xdr:rowOff>85725</xdr:rowOff>
              </to>
            </anchor>
          </controlPr>
        </control>
      </mc:Choice>
      <mc:Fallback>
        <control shapeId="1084" r:id="rId41" name="CopiersandFax"/>
      </mc:Fallback>
    </mc:AlternateContent>
    <mc:AlternateContent xmlns:mc="http://schemas.openxmlformats.org/markup-compatibility/2006">
      <mc:Choice Requires="x14">
        <control shapeId="1083" r:id="rId43" name="Tables">
          <controlPr locked="0" defaultSize="0" autoLine="0" autoPict="0" r:id="rId44">
            <anchor moveWithCells="1">
              <from>
                <xdr:col>12</xdr:col>
                <xdr:colOff>114300</xdr:colOff>
                <xdr:row>32</xdr:row>
                <xdr:rowOff>0</xdr:rowOff>
              </from>
              <to>
                <xdr:col>13</xdr:col>
                <xdr:colOff>476250</xdr:colOff>
                <xdr:row>38</xdr:row>
                <xdr:rowOff>9525</xdr:rowOff>
              </to>
            </anchor>
          </controlPr>
        </control>
      </mc:Choice>
      <mc:Fallback>
        <control shapeId="1083" r:id="rId43" name="Tables"/>
      </mc:Fallback>
    </mc:AlternateContent>
    <mc:AlternateContent xmlns:mc="http://schemas.openxmlformats.org/markup-compatibility/2006">
      <mc:Choice Requires="x14">
        <control shapeId="1082" r:id="rId45" name="StorageandOrganization">
          <controlPr locked="0" defaultSize="0" autoLine="0" r:id="rId46">
            <anchor moveWithCells="1">
              <from>
                <xdr:col>10</xdr:col>
                <xdr:colOff>476250</xdr:colOff>
                <xdr:row>25</xdr:row>
                <xdr:rowOff>142875</xdr:rowOff>
              </from>
              <to>
                <xdr:col>12</xdr:col>
                <xdr:colOff>190500</xdr:colOff>
                <xdr:row>31</xdr:row>
                <xdr:rowOff>133350</xdr:rowOff>
              </to>
            </anchor>
          </controlPr>
        </control>
      </mc:Choice>
      <mc:Fallback>
        <control shapeId="1082" r:id="rId45" name="StorageandOrganization"/>
      </mc:Fallback>
    </mc:AlternateContent>
    <mc:AlternateContent xmlns:mc="http://schemas.openxmlformats.org/markup-compatibility/2006">
      <mc:Choice Requires="x14">
        <control shapeId="1081" r:id="rId47" name="Envelopes">
          <controlPr locked="0" defaultSize="0" autoLine="0" r:id="rId48">
            <anchor moveWithCells="1">
              <from>
                <xdr:col>22</xdr:col>
                <xdr:colOff>438150</xdr:colOff>
                <xdr:row>31</xdr:row>
                <xdr:rowOff>0</xdr:rowOff>
              </from>
              <to>
                <xdr:col>23</xdr:col>
                <xdr:colOff>180975</xdr:colOff>
                <xdr:row>34</xdr:row>
                <xdr:rowOff>95250</xdr:rowOff>
              </to>
            </anchor>
          </controlPr>
        </control>
      </mc:Choice>
      <mc:Fallback>
        <control shapeId="1081" r:id="rId47" name="Envelopes"/>
      </mc:Fallback>
    </mc:AlternateContent>
    <mc:AlternateContent xmlns:mc="http://schemas.openxmlformats.org/markup-compatibility/2006">
      <mc:Choice Requires="x14">
        <control shapeId="1080" r:id="rId49" name="LabelsProduct">
          <controlPr locked="0" defaultSize="0" autoLine="0" r:id="rId50">
            <anchor moveWithCells="1">
              <from>
                <xdr:col>20</xdr:col>
                <xdr:colOff>257175</xdr:colOff>
                <xdr:row>24</xdr:row>
                <xdr:rowOff>114300</xdr:rowOff>
              </from>
              <to>
                <xdr:col>21</xdr:col>
                <xdr:colOff>9525</xdr:colOff>
                <xdr:row>28</xdr:row>
                <xdr:rowOff>57150</xdr:rowOff>
              </to>
            </anchor>
          </controlPr>
        </control>
      </mc:Choice>
      <mc:Fallback>
        <control shapeId="1080" r:id="rId49" name="LabelsProduct"/>
      </mc:Fallback>
    </mc:AlternateContent>
    <mc:AlternateContent xmlns:mc="http://schemas.openxmlformats.org/markup-compatibility/2006">
      <mc:Choice Requires="x14">
        <control shapeId="1079" r:id="rId51" name="ScissorsRulersandTrimmers">
          <controlPr locked="0" defaultSize="0" autoLine="0" r:id="rId52">
            <anchor moveWithCells="1">
              <from>
                <xdr:col>12</xdr:col>
                <xdr:colOff>142875</xdr:colOff>
                <xdr:row>21</xdr:row>
                <xdr:rowOff>152400</xdr:rowOff>
              </from>
              <to>
                <xdr:col>12</xdr:col>
                <xdr:colOff>438150</xdr:colOff>
                <xdr:row>24</xdr:row>
                <xdr:rowOff>95250</xdr:rowOff>
              </to>
            </anchor>
          </controlPr>
        </control>
      </mc:Choice>
      <mc:Fallback>
        <control shapeId="1079" r:id="rId51" name="ScissorsRulersandTrimmers"/>
      </mc:Fallback>
    </mc:AlternateContent>
    <mc:AlternateContent xmlns:mc="http://schemas.openxmlformats.org/markup-compatibility/2006">
      <mc:Choice Requires="x14">
        <control shapeId="1078" r:id="rId53" name="RubberBands">
          <controlPr locked="0" defaultSize="0" autoLine="0" r:id="rId54">
            <anchor moveWithCells="1">
              <from>
                <xdr:col>13</xdr:col>
                <xdr:colOff>85725</xdr:colOff>
                <xdr:row>16</xdr:row>
                <xdr:rowOff>133350</xdr:rowOff>
              </from>
              <to>
                <xdr:col>13</xdr:col>
                <xdr:colOff>390525</xdr:colOff>
                <xdr:row>19</xdr:row>
                <xdr:rowOff>19050</xdr:rowOff>
              </to>
            </anchor>
          </controlPr>
        </control>
      </mc:Choice>
      <mc:Fallback>
        <control shapeId="1078" r:id="rId53" name="RubberBands"/>
      </mc:Fallback>
    </mc:AlternateContent>
    <mc:AlternateContent xmlns:mc="http://schemas.openxmlformats.org/markup-compatibility/2006">
      <mc:Choice Requires="x14">
        <control shapeId="1077" r:id="rId55" name="PensAndArtSupplies">
          <controlPr locked="0" defaultSize="0" autoLine="0" r:id="rId56">
            <anchor moveWithCells="1">
              <from>
                <xdr:col>14</xdr:col>
                <xdr:colOff>542925</xdr:colOff>
                <xdr:row>19</xdr:row>
                <xdr:rowOff>85725</xdr:rowOff>
              </from>
              <to>
                <xdr:col>15</xdr:col>
                <xdr:colOff>333375</xdr:colOff>
                <xdr:row>23</xdr:row>
                <xdr:rowOff>19050</xdr:rowOff>
              </to>
            </anchor>
          </controlPr>
        </control>
      </mc:Choice>
      <mc:Fallback>
        <control shapeId="1077" r:id="rId55" name="PensAndArtSupplies"/>
      </mc:Fallback>
    </mc:AlternateContent>
    <mc:AlternateContent xmlns:mc="http://schemas.openxmlformats.org/markup-compatibility/2006">
      <mc:Choice Requires="x14">
        <control shapeId="1076" r:id="rId57" name="Paper">
          <controlPr locked="0" defaultSize="0" autoLine="0" r:id="rId58">
            <anchor moveWithCells="1">
              <from>
                <xdr:col>16</xdr:col>
                <xdr:colOff>85725</xdr:colOff>
                <xdr:row>15</xdr:row>
                <xdr:rowOff>9525</xdr:rowOff>
              </from>
              <to>
                <xdr:col>17</xdr:col>
                <xdr:colOff>47625</xdr:colOff>
                <xdr:row>19</xdr:row>
                <xdr:rowOff>123825</xdr:rowOff>
              </to>
            </anchor>
          </controlPr>
        </control>
      </mc:Choice>
      <mc:Fallback>
        <control shapeId="1076" r:id="rId57" name="Paper"/>
      </mc:Fallback>
    </mc:AlternateContent>
    <mc:AlternateContent xmlns:mc="http://schemas.openxmlformats.org/markup-compatibility/2006">
      <mc:Choice Requires="x14">
        <control shapeId="1068" r:id="rId59" name="TelephonesAndCommunication">
          <controlPr locked="0" defaultSize="0" autoLine="0" r:id="rId60">
            <anchor moveWithCells="1">
              <from>
                <xdr:col>22</xdr:col>
                <xdr:colOff>400050</xdr:colOff>
                <xdr:row>18</xdr:row>
                <xdr:rowOff>114300</xdr:rowOff>
              </from>
              <to>
                <xdr:col>24</xdr:col>
                <xdr:colOff>142875</xdr:colOff>
                <xdr:row>24</xdr:row>
                <xdr:rowOff>104775</xdr:rowOff>
              </to>
            </anchor>
          </controlPr>
        </control>
      </mc:Choice>
      <mc:Fallback>
        <control shapeId="1068" r:id="rId59" name="TelephonesAndCommunication"/>
      </mc:Fallback>
    </mc:AlternateContent>
    <mc:AlternateContent xmlns:mc="http://schemas.openxmlformats.org/markup-compatibility/2006">
      <mc:Choice Requires="x14">
        <control shapeId="1064" r:id="rId61" name="OfficeFurnishings">
          <controlPr locked="0" defaultSize="0" autoLine="0" r:id="rId62">
            <anchor moveWithCells="1">
              <from>
                <xdr:col>20</xdr:col>
                <xdr:colOff>114300</xdr:colOff>
                <xdr:row>17</xdr:row>
                <xdr:rowOff>114300</xdr:rowOff>
              </from>
              <to>
                <xdr:col>21</xdr:col>
                <xdr:colOff>142875</xdr:colOff>
                <xdr:row>22</xdr:row>
                <xdr:rowOff>28575</xdr:rowOff>
              </to>
            </anchor>
          </controlPr>
        </control>
      </mc:Choice>
      <mc:Fallback>
        <control shapeId="1064" r:id="rId61" name="OfficeFurnishings"/>
      </mc:Fallback>
    </mc:AlternateContent>
    <mc:AlternateContent xmlns:mc="http://schemas.openxmlformats.org/markup-compatibility/2006">
      <mc:Choice Requires="x14">
        <control shapeId="1059" r:id="rId63" name="Hide">
          <controlPr locked="0" defaultSize="0" autoLine="0" autoPict="0" r:id="rId64">
            <anchor moveWithCells="1">
              <from>
                <xdr:col>8</xdr:col>
                <xdr:colOff>295275</xdr:colOff>
                <xdr:row>3</xdr:row>
                <xdr:rowOff>47625</xdr:rowOff>
              </from>
              <to>
                <xdr:col>26</xdr:col>
                <xdr:colOff>133350</xdr:colOff>
                <xdr:row>56</xdr:row>
                <xdr:rowOff>19050</xdr:rowOff>
              </to>
            </anchor>
          </controlPr>
        </control>
      </mc:Choice>
      <mc:Fallback>
        <control shapeId="1059" r:id="rId63" name="Hide"/>
      </mc:Fallback>
    </mc:AlternateContent>
    <mc:AlternateContent xmlns:mc="http://schemas.openxmlformats.org/markup-compatibility/2006">
      <mc:Choice Requires="x14">
        <control shapeId="1033" r:id="rId65" name="OfficeMachines">
          <controlPr locked="0" defaultSize="0" autoLine="0" r:id="rId66">
            <anchor moveWithCells="1">
              <from>
                <xdr:col>17</xdr:col>
                <xdr:colOff>523875</xdr:colOff>
                <xdr:row>10</xdr:row>
                <xdr:rowOff>85725</xdr:rowOff>
              </from>
              <to>
                <xdr:col>19</xdr:col>
                <xdr:colOff>533400</xdr:colOff>
                <xdr:row>18</xdr:row>
                <xdr:rowOff>19050</xdr:rowOff>
              </to>
            </anchor>
          </controlPr>
        </control>
      </mc:Choice>
      <mc:Fallback>
        <control shapeId="1033" r:id="rId65" name="OfficeMachines"/>
      </mc:Fallback>
    </mc:AlternateContent>
  </controls>
  <extLst>
    <ext xmlns:x14="http://schemas.microsoft.com/office/spreadsheetml/2009/9/main" uri="{A8765BA9-456A-4dab-B4F3-ACF838C121DE}">
      <x14:slicerList>
        <x14:slicer r:id="rId67"/>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896A70-7373-4AED-BBBF-A5F1197F43CF}">
  <sheetPr codeName="Sheet2">
    <tabColor theme="3"/>
  </sheetPr>
  <dimension ref="A1:AI181"/>
  <sheetViews>
    <sheetView showGridLines="0" showRowColHeaders="0" workbookViewId="0"/>
  </sheetViews>
  <sheetFormatPr defaultRowHeight="12.75" x14ac:dyDescent="0.2"/>
  <cols>
    <col min="1" max="16384" width="9.140625" style="2"/>
  </cols>
  <sheetData>
    <row r="1" spans="1:35" x14ac:dyDescent="0.2">
      <c r="A1" s="10"/>
    </row>
    <row r="5" spans="1:35" x14ac:dyDescent="0.2">
      <c r="AD5" s="17">
        <v>1</v>
      </c>
    </row>
    <row r="6" spans="1:35" x14ac:dyDescent="0.2">
      <c r="I6" s="7"/>
    </row>
    <row r="9" spans="1:35" x14ac:dyDescent="0.2">
      <c r="AI9" s="11"/>
    </row>
    <row r="10" spans="1:35" x14ac:dyDescent="0.2">
      <c r="AI10" s="11"/>
    </row>
    <row r="11" spans="1:35" x14ac:dyDescent="0.2">
      <c r="AI11" s="11"/>
    </row>
    <row r="12" spans="1:35" x14ac:dyDescent="0.2">
      <c r="AI12" s="11"/>
    </row>
    <row r="13" spans="1:35" x14ac:dyDescent="0.2">
      <c r="AI13" s="11"/>
    </row>
    <row r="14" spans="1:35" x14ac:dyDescent="0.2">
      <c r="AI14" s="11"/>
    </row>
    <row r="15" spans="1:35" x14ac:dyDescent="0.2">
      <c r="AI15" s="11"/>
    </row>
    <row r="16" spans="1:35" x14ac:dyDescent="0.2">
      <c r="AI16" s="11"/>
    </row>
    <row r="17" spans="35:35" x14ac:dyDescent="0.2">
      <c r="AI17" s="11"/>
    </row>
    <row r="18" spans="35:35" x14ac:dyDescent="0.2">
      <c r="AI18" s="11"/>
    </row>
    <row r="19" spans="35:35" x14ac:dyDescent="0.2">
      <c r="AI19" s="11"/>
    </row>
    <row r="20" spans="35:35" x14ac:dyDescent="0.2">
      <c r="AI20" s="11"/>
    </row>
    <row r="21" spans="35:35" x14ac:dyDescent="0.2">
      <c r="AI21" s="11"/>
    </row>
    <row r="22" spans="35:35" x14ac:dyDescent="0.2">
      <c r="AI22" s="11"/>
    </row>
    <row r="23" spans="35:35" x14ac:dyDescent="0.2">
      <c r="AI23" s="11"/>
    </row>
    <row r="24" spans="35:35" x14ac:dyDescent="0.2">
      <c r="AI24" s="11"/>
    </row>
    <row r="34" spans="2:29" ht="15" x14ac:dyDescent="0.2">
      <c r="B34" s="12"/>
      <c r="C34" s="12"/>
      <c r="D34" s="12"/>
      <c r="E34" s="12"/>
      <c r="F34" s="13"/>
      <c r="G34" s="13"/>
      <c r="H34" s="12"/>
      <c r="I34" s="12"/>
      <c r="J34" s="12"/>
      <c r="K34" s="12"/>
      <c r="L34" s="12"/>
      <c r="M34" s="13"/>
      <c r="N34" s="13"/>
      <c r="O34" s="12"/>
      <c r="P34" s="12"/>
      <c r="Q34" s="12"/>
      <c r="R34" s="12"/>
      <c r="S34" s="12"/>
      <c r="T34" s="12"/>
      <c r="U34" s="13"/>
      <c r="V34" s="13"/>
      <c r="W34" s="12"/>
      <c r="X34" s="12"/>
      <c r="Y34" s="12"/>
      <c r="Z34" s="12"/>
      <c r="AA34" s="12"/>
      <c r="AB34" s="12"/>
      <c r="AC34" s="18">
        <v>2</v>
      </c>
    </row>
    <row r="35" spans="2:29" ht="15" x14ac:dyDescent="0.2">
      <c r="B35" s="12"/>
      <c r="C35" s="12"/>
      <c r="D35" s="12"/>
      <c r="E35" s="12"/>
      <c r="F35" s="13"/>
      <c r="G35" s="13"/>
      <c r="H35" s="12"/>
      <c r="L35" s="12"/>
      <c r="M35" s="12"/>
      <c r="N35" s="12"/>
      <c r="O35" s="12"/>
      <c r="P35" s="12"/>
      <c r="Q35" s="12"/>
      <c r="R35" s="12"/>
      <c r="S35" s="12"/>
      <c r="T35" s="12"/>
      <c r="U35" s="13"/>
      <c r="V35" s="13"/>
      <c r="W35" s="12"/>
      <c r="X35" s="12"/>
      <c r="Y35" s="12"/>
      <c r="Z35" s="12"/>
      <c r="AA35" s="12"/>
      <c r="AB35" s="12"/>
      <c r="AC35" s="12"/>
    </row>
    <row r="36" spans="2:29" ht="15" x14ac:dyDescent="0.2">
      <c r="B36" s="12"/>
      <c r="C36" s="12"/>
      <c r="D36" s="12"/>
      <c r="E36" s="12"/>
      <c r="F36" s="13"/>
      <c r="G36" s="13"/>
      <c r="H36" s="12"/>
      <c r="L36" s="12"/>
      <c r="M36" s="12"/>
      <c r="N36" s="12"/>
      <c r="O36" s="12"/>
      <c r="P36" s="12"/>
      <c r="Q36" s="12"/>
      <c r="R36" s="12"/>
      <c r="S36" s="12"/>
      <c r="T36" s="12"/>
      <c r="U36" s="13"/>
      <c r="V36" s="13"/>
      <c r="W36" s="12"/>
      <c r="X36" s="12"/>
      <c r="Y36" s="12"/>
      <c r="Z36" s="12"/>
      <c r="AA36" s="12"/>
      <c r="AB36" s="12"/>
      <c r="AC36" s="12"/>
    </row>
    <row r="37" spans="2:29" ht="15" x14ac:dyDescent="0.2">
      <c r="B37" s="12"/>
      <c r="C37" s="12"/>
      <c r="D37" s="12"/>
      <c r="E37" s="12"/>
      <c r="F37" s="13"/>
      <c r="G37" s="13"/>
      <c r="H37" s="12"/>
      <c r="L37" s="12"/>
      <c r="M37" s="12"/>
      <c r="N37" s="12"/>
      <c r="O37" s="12"/>
      <c r="P37" s="12"/>
      <c r="Q37" s="12"/>
      <c r="R37" s="12"/>
      <c r="S37" s="12"/>
      <c r="T37" s="12"/>
      <c r="U37" s="13"/>
      <c r="V37" s="13"/>
      <c r="W37" s="12"/>
      <c r="X37" s="12"/>
      <c r="Y37" s="12"/>
      <c r="Z37" s="12"/>
      <c r="AA37" s="12"/>
      <c r="AB37" s="12"/>
      <c r="AC37" s="12"/>
    </row>
    <row r="38" spans="2:29" ht="15" x14ac:dyDescent="0.2">
      <c r="B38" s="12"/>
      <c r="C38" s="12"/>
      <c r="D38" s="12"/>
      <c r="E38" s="12"/>
      <c r="F38" s="13"/>
      <c r="G38" s="13"/>
      <c r="H38" s="12"/>
      <c r="L38" s="12"/>
      <c r="M38" s="12"/>
      <c r="N38" s="12"/>
      <c r="O38" s="12"/>
      <c r="P38" s="12"/>
      <c r="Q38" s="12"/>
      <c r="R38" s="12"/>
      <c r="S38" s="12"/>
      <c r="T38" s="12"/>
      <c r="U38" s="13"/>
      <c r="V38" s="13"/>
      <c r="W38" s="12"/>
      <c r="X38" s="12"/>
      <c r="Y38" s="12"/>
      <c r="Z38" s="12"/>
      <c r="AA38" s="12"/>
      <c r="AB38" s="12"/>
      <c r="AC38" s="12"/>
    </row>
    <row r="39" spans="2:29" ht="15" x14ac:dyDescent="0.2">
      <c r="B39" s="12"/>
      <c r="C39" s="12"/>
      <c r="D39" s="12"/>
      <c r="E39" s="12"/>
      <c r="F39" s="13"/>
      <c r="G39" s="13"/>
      <c r="H39" s="12"/>
      <c r="L39" s="12"/>
      <c r="M39" s="12"/>
      <c r="N39" s="12"/>
      <c r="O39" s="12"/>
      <c r="P39" s="12"/>
      <c r="Q39" s="12"/>
      <c r="R39" s="12"/>
      <c r="S39" s="12"/>
      <c r="T39" s="12"/>
      <c r="U39" s="13"/>
      <c r="V39" s="13"/>
      <c r="W39" s="12"/>
      <c r="X39" s="12"/>
      <c r="Y39" s="12"/>
      <c r="Z39" s="12"/>
      <c r="AA39" s="12"/>
      <c r="AB39" s="12"/>
      <c r="AC39" s="12"/>
    </row>
    <row r="40" spans="2:29" ht="15" x14ac:dyDescent="0.2">
      <c r="B40" s="12"/>
      <c r="C40" s="12"/>
      <c r="D40" s="12"/>
      <c r="E40" s="12"/>
      <c r="F40" s="13"/>
      <c r="G40" s="13"/>
      <c r="H40" s="12"/>
      <c r="L40" s="12"/>
      <c r="M40" s="12"/>
      <c r="N40" s="12"/>
      <c r="O40" s="12"/>
      <c r="P40" s="12"/>
      <c r="Q40" s="12"/>
      <c r="R40" s="12"/>
      <c r="S40" s="12"/>
      <c r="T40" s="12"/>
      <c r="U40" s="13"/>
      <c r="V40" s="13"/>
      <c r="W40" s="12"/>
      <c r="X40" s="12"/>
      <c r="Y40" s="12"/>
      <c r="Z40" s="12"/>
      <c r="AA40" s="12"/>
      <c r="AB40" s="12"/>
      <c r="AC40" s="12"/>
    </row>
    <row r="41" spans="2:29" ht="15" x14ac:dyDescent="0.2">
      <c r="B41" s="12"/>
      <c r="C41" s="12"/>
      <c r="D41" s="12"/>
      <c r="E41" s="12"/>
      <c r="F41" s="13"/>
      <c r="G41" s="13"/>
      <c r="H41" s="12"/>
      <c r="L41" s="12"/>
      <c r="M41" s="12"/>
      <c r="N41" s="12"/>
      <c r="O41" s="12"/>
      <c r="P41" s="12"/>
      <c r="Q41" s="12"/>
      <c r="R41" s="12"/>
      <c r="S41" s="12"/>
      <c r="T41" s="12"/>
      <c r="U41" s="13"/>
      <c r="V41" s="13"/>
      <c r="W41" s="12"/>
      <c r="X41" s="12"/>
      <c r="Y41" s="12"/>
      <c r="Z41" s="12"/>
      <c r="AA41" s="12"/>
      <c r="AB41" s="12"/>
      <c r="AC41" s="12"/>
    </row>
    <row r="42" spans="2:29" ht="15" x14ac:dyDescent="0.2">
      <c r="B42" s="12"/>
      <c r="C42" s="12"/>
      <c r="D42" s="12"/>
      <c r="E42" s="12"/>
      <c r="F42" s="13"/>
      <c r="G42" s="13"/>
      <c r="H42" s="12"/>
      <c r="L42" s="12"/>
      <c r="M42" s="12"/>
      <c r="N42" s="12"/>
      <c r="O42" s="12"/>
      <c r="P42" s="12"/>
      <c r="Q42" s="12"/>
      <c r="R42" s="12"/>
      <c r="S42" s="12"/>
      <c r="T42" s="12"/>
      <c r="U42" s="13"/>
      <c r="V42" s="13"/>
      <c r="W42" s="12"/>
      <c r="X42" s="12"/>
      <c r="Y42" s="12"/>
      <c r="Z42" s="12"/>
      <c r="AA42" s="12"/>
      <c r="AB42" s="12"/>
      <c r="AC42" s="12"/>
    </row>
    <row r="43" spans="2:29" ht="15" x14ac:dyDescent="0.2">
      <c r="B43" s="12"/>
      <c r="C43" s="12"/>
      <c r="D43" s="12"/>
      <c r="E43" s="12"/>
      <c r="F43" s="13"/>
      <c r="G43" s="13"/>
      <c r="H43" s="12"/>
      <c r="L43" s="12"/>
      <c r="M43" s="12"/>
      <c r="N43" s="12"/>
      <c r="O43" s="12"/>
      <c r="P43" s="12"/>
      <c r="Q43" s="12"/>
      <c r="R43" s="12"/>
      <c r="S43" s="12"/>
      <c r="T43" s="12"/>
      <c r="U43" s="13"/>
      <c r="V43" s="13"/>
      <c r="W43" s="12"/>
      <c r="X43" s="12"/>
      <c r="Y43" s="12"/>
      <c r="Z43" s="12"/>
      <c r="AA43" s="12"/>
      <c r="AB43" s="12"/>
      <c r="AC43" s="12"/>
    </row>
    <row r="44" spans="2:29" ht="15" x14ac:dyDescent="0.2">
      <c r="B44" s="12"/>
      <c r="C44" s="12"/>
      <c r="D44" s="12"/>
      <c r="E44" s="12"/>
      <c r="F44" s="13"/>
      <c r="G44" s="13"/>
      <c r="H44" s="12"/>
      <c r="L44" s="12"/>
      <c r="M44" s="12"/>
      <c r="N44" s="12"/>
      <c r="O44" s="12"/>
      <c r="P44" s="12"/>
      <c r="Q44" s="12"/>
      <c r="R44" s="12"/>
      <c r="S44" s="12"/>
      <c r="T44" s="12"/>
      <c r="U44" s="13"/>
      <c r="V44" s="13"/>
      <c r="W44" s="12"/>
      <c r="X44" s="12"/>
      <c r="Y44" s="12"/>
      <c r="Z44" s="12"/>
      <c r="AA44" s="12"/>
      <c r="AB44" s="12"/>
      <c r="AC44" s="12"/>
    </row>
    <row r="45" spans="2:29" ht="15" x14ac:dyDescent="0.2">
      <c r="B45" s="12"/>
      <c r="C45" s="12"/>
      <c r="D45" s="12"/>
      <c r="E45" s="12"/>
      <c r="F45" s="13"/>
      <c r="G45" s="13"/>
      <c r="H45" s="12"/>
      <c r="L45" s="12"/>
      <c r="M45" s="12"/>
      <c r="N45" s="12"/>
      <c r="O45" s="12"/>
      <c r="P45" s="12"/>
      <c r="Q45" s="12"/>
      <c r="R45" s="12"/>
      <c r="S45" s="12"/>
      <c r="T45" s="12"/>
      <c r="U45" s="13"/>
      <c r="V45" s="13"/>
      <c r="W45" s="12"/>
      <c r="X45" s="12"/>
      <c r="Y45" s="12"/>
      <c r="Z45" s="12"/>
      <c r="AA45" s="12"/>
      <c r="AB45" s="12"/>
      <c r="AC45" s="12"/>
    </row>
    <row r="46" spans="2:29" ht="15" x14ac:dyDescent="0.2">
      <c r="B46" s="12"/>
      <c r="C46" s="12"/>
      <c r="D46" s="12"/>
      <c r="E46" s="12"/>
      <c r="F46" s="13"/>
      <c r="G46" s="13"/>
      <c r="H46" s="12"/>
      <c r="L46" s="12"/>
      <c r="M46" s="12"/>
      <c r="N46" s="12"/>
      <c r="O46" s="12"/>
      <c r="P46" s="12"/>
      <c r="Q46" s="12"/>
      <c r="R46" s="12"/>
      <c r="S46" s="12"/>
      <c r="T46" s="12"/>
      <c r="U46" s="13"/>
      <c r="V46" s="13"/>
      <c r="W46" s="12"/>
      <c r="X46" s="12"/>
      <c r="Y46" s="12"/>
      <c r="Z46" s="12"/>
      <c r="AA46" s="12"/>
      <c r="AB46" s="12"/>
      <c r="AC46" s="12"/>
    </row>
    <row r="47" spans="2:29" ht="15" x14ac:dyDescent="0.2">
      <c r="B47" s="12"/>
      <c r="C47" s="12"/>
      <c r="D47" s="12"/>
      <c r="E47" s="12"/>
      <c r="F47" s="13"/>
      <c r="G47" s="13"/>
      <c r="H47" s="12"/>
      <c r="L47" s="12"/>
      <c r="M47" s="12"/>
      <c r="N47" s="12"/>
      <c r="O47" s="12"/>
      <c r="P47" s="12"/>
      <c r="Q47" s="12"/>
      <c r="R47" s="12"/>
      <c r="S47" s="12"/>
      <c r="T47" s="12"/>
      <c r="U47" s="13"/>
      <c r="V47" s="13"/>
      <c r="W47" s="12"/>
      <c r="X47" s="12"/>
      <c r="Y47" s="12"/>
      <c r="Z47" s="12"/>
      <c r="AA47" s="12"/>
      <c r="AB47" s="12"/>
      <c r="AC47" s="12"/>
    </row>
    <row r="48" spans="2:29" ht="15" x14ac:dyDescent="0.2">
      <c r="B48" s="12"/>
      <c r="C48" s="12"/>
      <c r="D48" s="12"/>
      <c r="E48" s="12"/>
      <c r="F48" s="13"/>
      <c r="G48" s="13"/>
      <c r="H48" s="12"/>
      <c r="L48" s="12"/>
      <c r="M48" s="12"/>
      <c r="N48" s="12"/>
      <c r="O48" s="12"/>
      <c r="P48" s="12"/>
      <c r="Q48" s="12"/>
      <c r="R48" s="12"/>
      <c r="S48" s="12"/>
      <c r="T48" s="12"/>
      <c r="U48" s="13"/>
      <c r="V48" s="13"/>
      <c r="W48" s="12"/>
      <c r="X48" s="12"/>
      <c r="Y48" s="12"/>
      <c r="Z48" s="12"/>
      <c r="AA48" s="12"/>
      <c r="AB48" s="12"/>
      <c r="AC48" s="12"/>
    </row>
    <row r="49" spans="2:29" ht="15" x14ac:dyDescent="0.2">
      <c r="B49" s="12"/>
      <c r="C49" s="12"/>
      <c r="D49" s="12"/>
      <c r="E49" s="12"/>
      <c r="F49" s="13"/>
      <c r="G49" s="13"/>
      <c r="H49" s="12"/>
      <c r="L49" s="12"/>
      <c r="M49" s="12"/>
      <c r="N49" s="12"/>
      <c r="O49" s="12"/>
      <c r="P49" s="12"/>
      <c r="Q49" s="12"/>
      <c r="R49" s="12"/>
      <c r="S49" s="12"/>
      <c r="T49" s="12"/>
      <c r="U49" s="13"/>
      <c r="V49" s="13"/>
      <c r="W49" s="12"/>
      <c r="X49" s="12"/>
      <c r="Y49" s="12"/>
      <c r="Z49" s="12"/>
      <c r="AA49" s="12"/>
      <c r="AB49" s="12"/>
      <c r="AC49" s="12"/>
    </row>
    <row r="50" spans="2:29" ht="15" x14ac:dyDescent="0.2">
      <c r="B50" s="12"/>
      <c r="C50" s="12"/>
      <c r="D50" s="12"/>
      <c r="E50" s="12"/>
      <c r="F50" s="13"/>
      <c r="G50" s="13"/>
      <c r="H50" s="12"/>
      <c r="I50" s="12"/>
      <c r="J50" s="12"/>
      <c r="K50" s="12"/>
      <c r="L50" s="12"/>
      <c r="M50" s="13"/>
      <c r="N50" s="13"/>
      <c r="O50" s="12"/>
      <c r="P50" s="12"/>
      <c r="Q50" s="12"/>
      <c r="R50" s="12"/>
      <c r="S50" s="12"/>
      <c r="T50" s="12"/>
      <c r="U50" s="13"/>
      <c r="V50" s="13"/>
      <c r="W50" s="12"/>
      <c r="X50" s="12"/>
      <c r="Y50" s="12"/>
      <c r="Z50" s="12"/>
      <c r="AA50" s="12"/>
      <c r="AB50" s="12"/>
      <c r="AC50" s="12"/>
    </row>
    <row r="51" spans="2:29" ht="15" x14ac:dyDescent="0.25">
      <c r="B51" s="6"/>
      <c r="C51" s="6"/>
      <c r="D51" s="6"/>
      <c r="E51" s="6"/>
      <c r="F51" s="14"/>
      <c r="G51" s="14"/>
      <c r="H51" s="6"/>
      <c r="I51" s="6"/>
      <c r="J51" s="6"/>
      <c r="K51" s="6"/>
      <c r="L51" s="6"/>
      <c r="M51" s="14"/>
      <c r="N51" s="14"/>
      <c r="O51" s="6"/>
      <c r="P51" s="6"/>
      <c r="Q51" s="6"/>
      <c r="R51" s="6"/>
      <c r="S51" s="6"/>
      <c r="T51" s="6"/>
      <c r="U51" s="14"/>
      <c r="V51" s="14"/>
      <c r="W51" s="6"/>
      <c r="X51" s="6"/>
      <c r="Y51" s="6"/>
      <c r="Z51" s="6"/>
      <c r="AA51" s="6"/>
      <c r="AB51" s="6"/>
      <c r="AC51" s="6"/>
    </row>
    <row r="52" spans="2:29" ht="15" x14ac:dyDescent="0.25">
      <c r="B52" s="6"/>
      <c r="C52" s="6"/>
      <c r="D52" s="6"/>
      <c r="E52" s="6"/>
      <c r="F52" s="14"/>
      <c r="G52" s="14"/>
      <c r="H52" s="6"/>
      <c r="I52" s="6"/>
      <c r="J52" s="6"/>
      <c r="K52" s="6"/>
      <c r="L52" s="6"/>
      <c r="M52" s="14"/>
      <c r="N52" s="14"/>
      <c r="O52" s="6"/>
      <c r="P52" s="6"/>
      <c r="Q52" s="6"/>
      <c r="R52" s="6"/>
      <c r="S52" s="6"/>
      <c r="T52" s="6"/>
      <c r="U52" s="14"/>
      <c r="V52" s="14"/>
      <c r="W52" s="6"/>
      <c r="X52" s="6"/>
      <c r="Y52" s="6"/>
      <c r="Z52" s="6"/>
      <c r="AA52" s="6"/>
      <c r="AB52" s="6"/>
      <c r="AC52" s="6"/>
    </row>
    <row r="53" spans="2:29" ht="15" x14ac:dyDescent="0.25">
      <c r="B53" s="6"/>
      <c r="C53" s="6"/>
      <c r="D53" s="6"/>
      <c r="E53" s="6"/>
      <c r="F53" s="6"/>
      <c r="G53" s="6"/>
      <c r="H53" s="6"/>
      <c r="I53" s="6"/>
      <c r="J53" s="6"/>
      <c r="K53" s="6"/>
      <c r="L53" s="6"/>
      <c r="M53" s="6"/>
      <c r="N53" s="6"/>
      <c r="O53" s="6"/>
      <c r="P53" s="6"/>
      <c r="Q53" s="6"/>
      <c r="R53" s="6"/>
      <c r="S53" s="6"/>
      <c r="T53" s="6"/>
      <c r="U53" s="6"/>
      <c r="V53" s="6"/>
      <c r="W53" s="6"/>
      <c r="X53" s="6"/>
      <c r="Y53" s="6"/>
      <c r="Z53" s="6"/>
      <c r="AA53" s="6"/>
      <c r="AB53" s="6"/>
      <c r="AC53" s="6"/>
    </row>
    <row r="54" spans="2:29" ht="15" x14ac:dyDescent="0.25">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row>
    <row r="55" spans="2:29" ht="15" x14ac:dyDescent="0.25">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row>
    <row r="56" spans="2:29" ht="15" x14ac:dyDescent="0.25">
      <c r="B56" s="6"/>
      <c r="C56" s="6"/>
      <c r="D56" s="6"/>
      <c r="E56" s="6"/>
      <c r="F56" s="6"/>
      <c r="G56" s="6"/>
      <c r="H56" s="6"/>
      <c r="I56" s="6"/>
      <c r="J56" s="6"/>
      <c r="K56" s="6"/>
      <c r="L56" s="6"/>
      <c r="M56" s="6"/>
      <c r="N56" s="6"/>
      <c r="O56" s="6"/>
      <c r="P56" s="6"/>
      <c r="Q56" s="6"/>
      <c r="R56" s="6"/>
      <c r="S56" s="6"/>
      <c r="T56" s="6"/>
      <c r="U56" s="6"/>
      <c r="V56" s="6"/>
      <c r="W56" s="6"/>
      <c r="X56" s="6"/>
      <c r="Y56" s="6"/>
      <c r="Z56" s="6"/>
      <c r="AA56" s="6"/>
      <c r="AB56" s="6"/>
      <c r="AC56" s="6"/>
    </row>
    <row r="57" spans="2:29" ht="15" x14ac:dyDescent="0.25">
      <c r="B57" s="6"/>
      <c r="C57" s="6"/>
      <c r="D57" s="6"/>
      <c r="E57" s="6"/>
      <c r="F57" s="6"/>
      <c r="G57" s="6"/>
      <c r="H57" s="6"/>
      <c r="I57" s="6"/>
      <c r="J57" s="6"/>
      <c r="K57" s="6"/>
      <c r="L57" s="6"/>
      <c r="M57" s="6"/>
      <c r="N57" s="6"/>
      <c r="O57" s="6"/>
      <c r="P57" s="6"/>
      <c r="Q57" s="6"/>
      <c r="R57" s="6"/>
      <c r="S57" s="6"/>
      <c r="T57" s="6"/>
      <c r="U57" s="6"/>
      <c r="V57" s="6"/>
      <c r="W57" s="6"/>
      <c r="X57" s="6"/>
      <c r="Y57" s="6"/>
      <c r="Z57" s="6"/>
      <c r="AA57" s="6"/>
      <c r="AB57" s="6"/>
      <c r="AC57" s="6"/>
    </row>
    <row r="58" spans="2:29" ht="15" x14ac:dyDescent="0.25">
      <c r="B58" s="6"/>
      <c r="C58" s="6"/>
      <c r="D58" s="6"/>
      <c r="E58" s="6"/>
      <c r="F58" s="6"/>
      <c r="G58" s="6"/>
      <c r="H58" s="6"/>
      <c r="I58" s="6"/>
      <c r="J58" s="6"/>
      <c r="K58" s="6"/>
      <c r="L58" s="6"/>
      <c r="M58" s="6"/>
      <c r="N58" s="6"/>
      <c r="O58" s="6"/>
      <c r="P58" s="6"/>
      <c r="Q58" s="6"/>
      <c r="R58" s="6"/>
      <c r="S58" s="6"/>
      <c r="T58" s="6"/>
      <c r="U58" s="6"/>
      <c r="V58" s="6"/>
      <c r="W58" s="6"/>
      <c r="X58" s="6"/>
      <c r="Y58" s="6"/>
      <c r="Z58" s="6"/>
      <c r="AA58" s="6"/>
      <c r="AB58" s="6"/>
      <c r="AC58" s="6"/>
    </row>
    <row r="59" spans="2:29" ht="15" x14ac:dyDescent="0.25">
      <c r="B59" s="6"/>
      <c r="C59" s="6"/>
      <c r="D59" s="6"/>
      <c r="E59" s="6"/>
      <c r="F59" s="6"/>
      <c r="G59" s="6"/>
      <c r="H59" s="6"/>
      <c r="I59" s="6"/>
      <c r="J59" s="6"/>
      <c r="K59" s="6"/>
      <c r="L59" s="6"/>
      <c r="M59" s="6"/>
      <c r="N59" s="6"/>
      <c r="O59" s="6"/>
      <c r="P59" s="6"/>
      <c r="Q59" s="6"/>
      <c r="R59" s="6"/>
      <c r="S59" s="6"/>
      <c r="T59" s="6"/>
      <c r="U59" s="6"/>
      <c r="V59" s="6"/>
      <c r="W59" s="6"/>
      <c r="X59" s="6"/>
      <c r="Y59" s="6"/>
      <c r="Z59" s="6"/>
      <c r="AA59" s="6"/>
      <c r="AB59" s="6"/>
      <c r="AC59" s="6"/>
    </row>
    <row r="60" spans="2:29" ht="15" x14ac:dyDescent="0.25">
      <c r="B60" s="6"/>
      <c r="C60" s="6"/>
      <c r="D60" s="6"/>
      <c r="E60" s="6"/>
      <c r="F60" s="6"/>
      <c r="G60" s="6"/>
      <c r="H60" s="6"/>
      <c r="I60" s="6"/>
      <c r="J60" s="6"/>
      <c r="K60" s="6"/>
      <c r="L60" s="6"/>
      <c r="M60" s="6"/>
      <c r="N60" s="6"/>
      <c r="O60" s="6"/>
      <c r="P60" s="6"/>
      <c r="Q60" s="6"/>
      <c r="R60" s="6"/>
      <c r="S60" s="6"/>
      <c r="T60" s="6"/>
      <c r="U60" s="6"/>
      <c r="V60" s="6"/>
      <c r="W60" s="6"/>
      <c r="X60" s="6"/>
      <c r="Y60" s="6"/>
      <c r="Z60" s="6"/>
      <c r="AA60" s="6"/>
      <c r="AB60" s="6"/>
      <c r="AC60" s="6"/>
    </row>
    <row r="61" spans="2:29" ht="15" x14ac:dyDescent="0.25">
      <c r="B61" s="6"/>
      <c r="C61" s="6"/>
      <c r="D61" s="6"/>
      <c r="E61" s="6"/>
      <c r="F61" s="6"/>
      <c r="G61" s="6"/>
      <c r="H61" s="6"/>
      <c r="I61" s="6"/>
      <c r="J61" s="6"/>
      <c r="K61" s="6"/>
      <c r="L61" s="6"/>
      <c r="M61" s="6"/>
      <c r="N61" s="6"/>
      <c r="O61" s="6"/>
      <c r="P61" s="6"/>
      <c r="Q61" s="6"/>
      <c r="R61" s="6"/>
      <c r="S61" s="6"/>
      <c r="T61" s="6"/>
      <c r="U61" s="6"/>
      <c r="V61" s="6"/>
      <c r="W61" s="6"/>
      <c r="X61" s="6"/>
      <c r="Y61" s="6"/>
      <c r="Z61" s="6"/>
      <c r="AA61" s="6"/>
      <c r="AB61" s="6"/>
      <c r="AC61" s="6"/>
    </row>
    <row r="62" spans="2:29" ht="15" x14ac:dyDescent="0.25">
      <c r="B62" s="6"/>
      <c r="C62" s="6"/>
      <c r="D62" s="6"/>
      <c r="E62" s="6"/>
      <c r="F62" s="6"/>
      <c r="G62" s="6"/>
      <c r="H62" s="6"/>
      <c r="I62" s="6"/>
      <c r="J62" s="6"/>
      <c r="K62" s="6"/>
      <c r="L62" s="6"/>
      <c r="M62" s="6"/>
      <c r="N62" s="6"/>
      <c r="O62" s="6"/>
      <c r="P62" s="6"/>
      <c r="Q62" s="6"/>
      <c r="R62" s="6"/>
      <c r="S62" s="6"/>
      <c r="T62" s="6"/>
      <c r="U62" s="6"/>
      <c r="V62" s="6"/>
      <c r="W62" s="6"/>
      <c r="X62" s="6"/>
      <c r="Y62" s="6"/>
      <c r="Z62" s="6"/>
      <c r="AA62" s="6"/>
      <c r="AB62" s="6"/>
      <c r="AC62" s="6"/>
    </row>
    <row r="63" spans="2:29" ht="15" x14ac:dyDescent="0.25">
      <c r="B63" s="6"/>
      <c r="C63" s="6"/>
      <c r="D63" s="6"/>
      <c r="E63" s="6"/>
      <c r="F63" s="6"/>
      <c r="G63" s="6"/>
      <c r="H63" s="6"/>
      <c r="I63" s="6"/>
      <c r="J63" s="6"/>
      <c r="K63" s="6"/>
      <c r="L63" s="6"/>
      <c r="M63" s="6"/>
      <c r="N63" s="6"/>
      <c r="O63" s="6"/>
      <c r="P63" s="6"/>
      <c r="Q63" s="6"/>
      <c r="R63" s="6"/>
      <c r="S63" s="6"/>
      <c r="T63" s="6"/>
      <c r="U63" s="6"/>
      <c r="V63" s="6"/>
      <c r="W63" s="6"/>
      <c r="X63" s="6"/>
      <c r="Y63" s="6"/>
      <c r="Z63" s="6"/>
      <c r="AA63" s="6"/>
      <c r="AB63" s="6"/>
      <c r="AC63" s="6"/>
    </row>
    <row r="64" spans="2:29" ht="15" x14ac:dyDescent="0.25">
      <c r="B64" s="6"/>
      <c r="C64" s="6"/>
      <c r="D64" s="6"/>
      <c r="E64" s="6"/>
      <c r="F64" s="6"/>
      <c r="G64" s="6"/>
      <c r="H64" s="6"/>
      <c r="I64" s="6"/>
      <c r="J64" s="6"/>
      <c r="K64" s="6"/>
      <c r="L64" s="6"/>
      <c r="M64" s="6"/>
      <c r="N64" s="6"/>
      <c r="O64" s="6"/>
      <c r="P64" s="6"/>
      <c r="Q64" s="6"/>
      <c r="R64" s="6"/>
      <c r="S64" s="6"/>
      <c r="T64" s="6"/>
      <c r="U64" s="6"/>
      <c r="V64" s="6"/>
      <c r="W64" s="6"/>
      <c r="X64" s="6"/>
      <c r="Y64" s="6"/>
      <c r="Z64" s="6"/>
      <c r="AA64" s="6"/>
      <c r="AB64" s="6"/>
      <c r="AC64" s="6"/>
    </row>
    <row r="65" spans="2:29" ht="15" x14ac:dyDescent="0.25">
      <c r="B65" s="6"/>
      <c r="C65" s="6"/>
      <c r="D65" s="6"/>
      <c r="E65" s="6"/>
      <c r="F65" s="6"/>
      <c r="G65" s="6"/>
      <c r="H65" s="6"/>
      <c r="I65" s="6"/>
      <c r="J65" s="6"/>
      <c r="K65" s="6"/>
      <c r="L65" s="6"/>
      <c r="M65" s="6"/>
      <c r="N65" s="6"/>
      <c r="O65" s="6"/>
      <c r="P65" s="6"/>
      <c r="Q65" s="6"/>
      <c r="R65" s="6"/>
      <c r="S65" s="6"/>
      <c r="T65" s="6"/>
      <c r="U65" s="6"/>
      <c r="V65" s="6"/>
      <c r="W65" s="6"/>
      <c r="X65" s="6"/>
      <c r="Y65" s="6"/>
      <c r="Z65" s="6"/>
      <c r="AA65" s="6"/>
      <c r="AB65" s="6"/>
      <c r="AC65" s="6"/>
    </row>
    <row r="66" spans="2:29" ht="15" x14ac:dyDescent="0.25">
      <c r="B66" s="6"/>
      <c r="C66" s="6"/>
      <c r="D66" s="6"/>
      <c r="E66" s="6"/>
      <c r="F66" s="6"/>
      <c r="G66" s="6"/>
      <c r="H66" s="6"/>
      <c r="I66" s="6"/>
      <c r="J66" s="6"/>
      <c r="K66" s="6"/>
      <c r="L66" s="6"/>
      <c r="M66" s="6"/>
      <c r="N66" s="6"/>
      <c r="O66" s="6"/>
      <c r="P66" s="6"/>
      <c r="Q66" s="6"/>
      <c r="R66" s="6"/>
      <c r="S66" s="6"/>
      <c r="T66" s="6"/>
      <c r="U66" s="6"/>
      <c r="V66" s="6"/>
      <c r="W66" s="6"/>
      <c r="X66" s="6"/>
      <c r="Y66" s="6"/>
      <c r="Z66" s="6"/>
      <c r="AA66" s="6"/>
      <c r="AB66" s="6"/>
      <c r="AC66" s="6"/>
    </row>
    <row r="67" spans="2:29" ht="15" x14ac:dyDescent="0.25">
      <c r="B67" s="6"/>
      <c r="C67" s="6"/>
      <c r="D67" s="6"/>
      <c r="E67" s="6"/>
      <c r="F67" s="6"/>
      <c r="G67" s="6"/>
      <c r="H67" s="6"/>
      <c r="I67" s="6"/>
      <c r="J67" s="6"/>
      <c r="K67" s="6"/>
      <c r="L67" s="6"/>
      <c r="M67" s="6"/>
      <c r="N67" s="6"/>
      <c r="O67" s="6"/>
      <c r="P67" s="6"/>
      <c r="Q67" s="6"/>
      <c r="R67" s="6"/>
      <c r="S67" s="6"/>
      <c r="T67" s="6"/>
      <c r="U67" s="6"/>
      <c r="V67" s="6"/>
      <c r="W67" s="6"/>
      <c r="X67" s="6"/>
      <c r="Y67" s="6"/>
      <c r="Z67" s="6"/>
      <c r="AA67" s="6"/>
      <c r="AB67" s="6"/>
      <c r="AC67" s="6"/>
    </row>
    <row r="68" spans="2:29" ht="15" x14ac:dyDescent="0.25">
      <c r="B68" s="6"/>
      <c r="C68" s="6"/>
      <c r="D68" s="6"/>
      <c r="E68" s="6"/>
      <c r="F68" s="6"/>
      <c r="G68" s="6"/>
      <c r="H68" s="6"/>
      <c r="I68" s="6"/>
      <c r="J68" s="6"/>
      <c r="K68" s="6"/>
      <c r="L68" s="6"/>
      <c r="M68" s="6"/>
      <c r="N68" s="6"/>
      <c r="O68" s="6"/>
      <c r="P68" s="6"/>
      <c r="Q68" s="6"/>
      <c r="R68" s="6"/>
      <c r="S68" s="6"/>
      <c r="T68" s="6"/>
      <c r="U68" s="6"/>
      <c r="V68" s="6"/>
      <c r="W68" s="6"/>
      <c r="X68" s="6"/>
      <c r="Y68" s="6"/>
      <c r="Z68" s="6"/>
      <c r="AA68" s="6"/>
      <c r="AB68" s="6"/>
      <c r="AC68" s="6"/>
    </row>
    <row r="69" spans="2:29" ht="15" x14ac:dyDescent="0.25">
      <c r="B69" s="6"/>
      <c r="C69" s="6"/>
      <c r="D69" s="6"/>
      <c r="E69" s="6"/>
      <c r="F69" s="6"/>
      <c r="G69" s="6"/>
      <c r="H69" s="6"/>
      <c r="I69" s="6"/>
      <c r="J69" s="6"/>
      <c r="K69" s="6"/>
      <c r="L69" s="6"/>
      <c r="M69" s="6"/>
      <c r="N69" s="6"/>
      <c r="O69" s="6"/>
      <c r="P69" s="6"/>
      <c r="Q69" s="6"/>
      <c r="R69" s="6"/>
      <c r="S69" s="6"/>
      <c r="T69" s="6"/>
      <c r="U69" s="6"/>
      <c r="V69" s="6"/>
      <c r="W69" s="6"/>
      <c r="X69" s="6"/>
      <c r="Y69" s="6"/>
      <c r="Z69" s="6"/>
      <c r="AA69" s="6"/>
      <c r="AB69" s="6"/>
      <c r="AC69" s="6"/>
    </row>
    <row r="70" spans="2:29" ht="15" x14ac:dyDescent="0.25">
      <c r="B70" s="6"/>
      <c r="C70" s="6"/>
      <c r="D70" s="6"/>
      <c r="E70" s="6"/>
      <c r="F70" s="6"/>
      <c r="G70" s="6"/>
      <c r="H70" s="6"/>
      <c r="I70" s="6"/>
      <c r="J70" s="6"/>
      <c r="K70" s="6"/>
      <c r="L70" s="6"/>
      <c r="M70" s="6"/>
      <c r="N70" s="6"/>
      <c r="O70" s="6"/>
      <c r="P70" s="6"/>
      <c r="Q70" s="6"/>
      <c r="R70" s="6"/>
      <c r="S70" s="6"/>
      <c r="T70" s="6"/>
      <c r="U70" s="6"/>
      <c r="V70" s="6"/>
      <c r="W70" s="6"/>
      <c r="X70" s="6"/>
      <c r="Y70" s="6"/>
      <c r="Z70" s="6"/>
      <c r="AA70" s="6"/>
      <c r="AB70" s="6"/>
      <c r="AC70" s="6"/>
    </row>
    <row r="71" spans="2:29" ht="15" x14ac:dyDescent="0.25">
      <c r="B71" s="6"/>
      <c r="C71" s="6"/>
      <c r="D71" s="6"/>
      <c r="E71" s="6"/>
      <c r="F71" s="6"/>
      <c r="G71" s="6"/>
      <c r="H71" s="6"/>
      <c r="I71" s="6"/>
      <c r="J71" s="6"/>
      <c r="K71" s="6"/>
      <c r="L71" s="6"/>
      <c r="M71" s="6"/>
      <c r="N71" s="6"/>
      <c r="O71" s="6"/>
      <c r="P71" s="6"/>
      <c r="Q71" s="6"/>
      <c r="R71" s="6"/>
      <c r="S71" s="6"/>
      <c r="T71" s="6"/>
      <c r="U71" s="6"/>
      <c r="V71" s="6"/>
      <c r="W71" s="6"/>
      <c r="X71" s="6"/>
      <c r="Y71" s="6"/>
      <c r="Z71" s="6"/>
      <c r="AA71" s="6"/>
      <c r="AB71" s="6"/>
      <c r="AC71" s="6"/>
    </row>
    <row r="72" spans="2:29" ht="15" x14ac:dyDescent="0.25">
      <c r="B72" s="6"/>
      <c r="C72" s="6"/>
      <c r="D72" s="6"/>
      <c r="E72" s="6"/>
      <c r="F72" s="6"/>
      <c r="G72" s="6"/>
      <c r="H72" s="6"/>
      <c r="I72" s="6"/>
      <c r="J72" s="6"/>
      <c r="K72" s="6"/>
      <c r="L72" s="6"/>
      <c r="M72" s="6"/>
      <c r="N72" s="6"/>
      <c r="O72" s="6"/>
      <c r="P72" s="6"/>
      <c r="Q72" s="6"/>
      <c r="R72" s="6"/>
      <c r="S72" s="6"/>
      <c r="T72" s="6"/>
      <c r="U72" s="6"/>
      <c r="V72" s="6"/>
      <c r="W72" s="6"/>
      <c r="X72" s="6"/>
      <c r="Y72" s="6"/>
      <c r="Z72" s="6"/>
      <c r="AA72" s="6"/>
      <c r="AB72" s="6"/>
      <c r="AC72" s="6"/>
    </row>
    <row r="73" spans="2:29" ht="15" x14ac:dyDescent="0.25">
      <c r="B73" s="6"/>
      <c r="C73" s="6"/>
      <c r="D73" s="6"/>
      <c r="E73" s="6"/>
      <c r="F73" s="6"/>
      <c r="G73" s="6"/>
      <c r="H73" s="6"/>
      <c r="I73" s="6"/>
      <c r="J73" s="6"/>
      <c r="K73" s="6"/>
      <c r="L73" s="6"/>
      <c r="M73" s="6"/>
      <c r="N73" s="6"/>
      <c r="O73" s="6"/>
      <c r="P73" s="6"/>
      <c r="Q73" s="6"/>
      <c r="R73" s="6"/>
      <c r="S73" s="6"/>
      <c r="T73" s="6"/>
      <c r="U73" s="6"/>
      <c r="V73" s="6"/>
      <c r="W73" s="6"/>
      <c r="X73" s="6"/>
      <c r="Y73" s="6"/>
      <c r="Z73" s="6"/>
      <c r="AA73" s="6"/>
      <c r="AB73" s="6"/>
      <c r="AC73" s="6"/>
    </row>
    <row r="74" spans="2:29" ht="15" x14ac:dyDescent="0.25">
      <c r="B74" s="6"/>
      <c r="C74" s="6"/>
      <c r="D74" s="6"/>
      <c r="E74" s="6"/>
      <c r="F74" s="6"/>
      <c r="G74" s="6"/>
      <c r="H74" s="6"/>
      <c r="I74" s="6"/>
      <c r="J74" s="6"/>
      <c r="K74" s="6"/>
      <c r="L74" s="6"/>
      <c r="M74" s="6"/>
      <c r="N74" s="6"/>
      <c r="O74" s="6"/>
      <c r="P74" s="6"/>
      <c r="Q74" s="6"/>
      <c r="R74" s="6"/>
      <c r="S74" s="6"/>
      <c r="T74" s="6"/>
      <c r="U74" s="6"/>
      <c r="V74" s="6"/>
      <c r="W74" s="6"/>
      <c r="X74" s="6"/>
      <c r="Y74" s="6"/>
      <c r="Z74" s="6"/>
      <c r="AA74" s="6"/>
      <c r="AB74" s="6"/>
      <c r="AC74" s="6"/>
    </row>
    <row r="75" spans="2:29" ht="15" x14ac:dyDescent="0.25">
      <c r="B75" s="6"/>
      <c r="C75" s="6"/>
      <c r="D75" s="6"/>
      <c r="E75" s="6"/>
      <c r="F75" s="6"/>
      <c r="G75" s="6"/>
      <c r="H75" s="6"/>
      <c r="I75" s="6"/>
      <c r="J75" s="6"/>
      <c r="K75" s="6"/>
      <c r="L75" s="6"/>
      <c r="M75" s="6"/>
      <c r="N75" s="6"/>
      <c r="O75" s="6"/>
      <c r="P75" s="6"/>
      <c r="Q75" s="6"/>
      <c r="R75" s="6"/>
      <c r="S75" s="6"/>
      <c r="T75" s="6"/>
      <c r="U75" s="6"/>
      <c r="V75" s="6"/>
      <c r="W75" s="6"/>
      <c r="X75" s="6"/>
      <c r="Y75" s="6"/>
      <c r="Z75" s="6"/>
      <c r="AA75" s="6"/>
      <c r="AB75" s="6"/>
      <c r="AC75" s="6"/>
    </row>
    <row r="76" spans="2:29" ht="15" x14ac:dyDescent="0.25">
      <c r="B76" s="6"/>
      <c r="C76" s="6"/>
      <c r="D76" s="6"/>
      <c r="E76" s="6"/>
      <c r="F76" s="6"/>
      <c r="G76" s="6"/>
      <c r="H76" s="6"/>
      <c r="I76" s="6"/>
      <c r="J76" s="6"/>
      <c r="K76" s="6"/>
      <c r="L76" s="6"/>
      <c r="M76" s="6"/>
      <c r="N76" s="6"/>
      <c r="O76" s="6"/>
      <c r="P76" s="6"/>
      <c r="Q76" s="6"/>
      <c r="R76" s="6"/>
      <c r="S76" s="6"/>
      <c r="T76" s="6"/>
      <c r="U76" s="6"/>
      <c r="V76" s="6"/>
      <c r="W76" s="6"/>
      <c r="X76" s="6"/>
      <c r="Y76" s="6"/>
      <c r="Z76" s="6"/>
      <c r="AA76" s="6"/>
      <c r="AB76" s="6"/>
      <c r="AC76" s="6"/>
    </row>
    <row r="77" spans="2:29" ht="15" x14ac:dyDescent="0.25">
      <c r="B77" s="6"/>
      <c r="C77" s="6"/>
      <c r="D77" s="6"/>
      <c r="E77" s="6"/>
      <c r="F77" s="6"/>
      <c r="G77" s="6"/>
      <c r="H77" s="6"/>
      <c r="I77" s="6"/>
      <c r="J77" s="6"/>
      <c r="K77" s="6"/>
      <c r="L77" s="6"/>
      <c r="M77" s="6"/>
      <c r="N77" s="6"/>
      <c r="O77" s="6"/>
      <c r="P77" s="6"/>
      <c r="Q77" s="6"/>
      <c r="R77" s="6"/>
      <c r="S77" s="6"/>
      <c r="T77" s="6"/>
      <c r="U77" s="6"/>
      <c r="V77" s="6"/>
      <c r="W77" s="6"/>
      <c r="X77" s="6"/>
      <c r="Y77" s="6"/>
      <c r="Z77" s="6"/>
      <c r="AA77" s="6"/>
      <c r="AB77" s="6"/>
      <c r="AC77" s="6"/>
    </row>
    <row r="78" spans="2:29" ht="15" x14ac:dyDescent="0.25">
      <c r="B78" s="6"/>
      <c r="C78" s="6"/>
      <c r="D78" s="6"/>
      <c r="E78" s="6"/>
      <c r="F78" s="6"/>
      <c r="G78" s="6"/>
      <c r="H78" s="6"/>
      <c r="I78" s="6"/>
      <c r="J78" s="6"/>
      <c r="K78" s="6"/>
      <c r="L78" s="6"/>
      <c r="M78" s="6"/>
      <c r="N78" s="6"/>
      <c r="O78" s="6"/>
      <c r="P78" s="6"/>
      <c r="Q78" s="6"/>
      <c r="R78" s="6"/>
      <c r="S78" s="6"/>
      <c r="T78" s="6"/>
      <c r="U78" s="6"/>
      <c r="V78" s="6"/>
      <c r="W78" s="6"/>
      <c r="X78" s="6"/>
      <c r="Y78" s="6"/>
      <c r="Z78" s="6"/>
      <c r="AA78" s="6"/>
      <c r="AB78" s="6"/>
      <c r="AC78" s="6"/>
    </row>
    <row r="79" spans="2:29" ht="15" x14ac:dyDescent="0.25">
      <c r="B79" s="6"/>
      <c r="C79" s="6"/>
      <c r="D79" s="6"/>
      <c r="E79" s="6"/>
      <c r="F79" s="6"/>
      <c r="G79" s="6"/>
      <c r="H79" s="6"/>
      <c r="I79" s="6"/>
      <c r="J79" s="6"/>
      <c r="K79" s="6"/>
      <c r="L79" s="6"/>
      <c r="M79" s="6"/>
      <c r="N79" s="6"/>
      <c r="O79" s="6"/>
      <c r="P79" s="6"/>
      <c r="Q79" s="6"/>
      <c r="R79" s="6"/>
      <c r="S79" s="6"/>
      <c r="T79" s="6"/>
      <c r="U79" s="6"/>
      <c r="V79" s="6"/>
      <c r="W79" s="6"/>
      <c r="X79" s="6"/>
      <c r="Y79" s="6"/>
      <c r="Z79" s="6"/>
      <c r="AA79" s="6"/>
      <c r="AB79" s="6"/>
      <c r="AC79" s="6"/>
    </row>
    <row r="80" spans="2:29" ht="15" x14ac:dyDescent="0.25">
      <c r="B80" s="6"/>
      <c r="C80" s="6"/>
      <c r="D80" s="6"/>
      <c r="E80" s="6"/>
      <c r="F80" s="6"/>
      <c r="G80" s="6"/>
      <c r="H80" s="6"/>
      <c r="I80" s="6"/>
      <c r="J80" s="6"/>
      <c r="K80" s="6"/>
      <c r="L80" s="6"/>
      <c r="M80" s="6"/>
      <c r="N80" s="6"/>
      <c r="O80" s="6"/>
      <c r="P80" s="6"/>
      <c r="Q80" s="6"/>
      <c r="R80" s="6"/>
      <c r="S80" s="6"/>
      <c r="T80" s="6"/>
      <c r="U80" s="6"/>
      <c r="V80" s="6"/>
      <c r="W80" s="6"/>
      <c r="X80" s="6"/>
      <c r="Y80" s="6"/>
      <c r="Z80" s="6"/>
      <c r="AA80" s="6"/>
      <c r="AB80" s="6"/>
      <c r="AC80" s="6"/>
    </row>
    <row r="81" spans="2:29" ht="15" x14ac:dyDescent="0.25">
      <c r="B81" s="6"/>
      <c r="C81" s="6"/>
      <c r="D81" s="6"/>
      <c r="E81" s="6"/>
      <c r="F81" s="6"/>
      <c r="G81" s="6"/>
      <c r="H81" s="6"/>
      <c r="I81" s="6"/>
      <c r="J81" s="6"/>
      <c r="K81" s="6"/>
      <c r="L81" s="6"/>
      <c r="M81" s="6"/>
      <c r="N81" s="6"/>
      <c r="O81" s="6"/>
      <c r="P81" s="6"/>
      <c r="Q81" s="6"/>
      <c r="R81" s="6"/>
      <c r="S81" s="6"/>
      <c r="T81" s="6"/>
      <c r="U81" s="6"/>
      <c r="V81" s="6"/>
      <c r="W81" s="6"/>
      <c r="X81" s="6"/>
      <c r="Y81" s="6"/>
      <c r="Z81" s="6"/>
      <c r="AA81" s="6"/>
      <c r="AB81" s="6"/>
      <c r="AC81" s="6"/>
    </row>
    <row r="82" spans="2:29" ht="15" x14ac:dyDescent="0.25">
      <c r="B82" s="6"/>
      <c r="C82" s="6"/>
      <c r="D82" s="6"/>
      <c r="E82" s="6"/>
      <c r="F82" s="6"/>
      <c r="G82" s="6"/>
      <c r="H82" s="6"/>
      <c r="I82" s="6"/>
      <c r="J82" s="6"/>
      <c r="K82" s="6"/>
      <c r="L82" s="6"/>
      <c r="M82" s="6"/>
      <c r="N82" s="6"/>
      <c r="O82" s="6"/>
      <c r="P82" s="6"/>
      <c r="Q82" s="6"/>
      <c r="R82" s="6"/>
      <c r="S82" s="6"/>
      <c r="T82" s="6"/>
      <c r="U82" s="6"/>
      <c r="V82" s="6"/>
      <c r="W82" s="6"/>
      <c r="X82" s="6"/>
      <c r="Y82" s="6"/>
      <c r="Z82" s="6"/>
      <c r="AA82" s="6"/>
      <c r="AB82" s="6"/>
      <c r="AC82" s="6"/>
    </row>
    <row r="83" spans="2:29" ht="15" x14ac:dyDescent="0.25">
      <c r="B83" s="6"/>
      <c r="C83" s="6"/>
      <c r="D83" s="6"/>
      <c r="E83" s="6"/>
      <c r="F83" s="6"/>
      <c r="G83" s="6"/>
      <c r="H83" s="6"/>
      <c r="I83" s="6"/>
      <c r="J83" s="6"/>
      <c r="K83" s="6"/>
      <c r="L83" s="6"/>
      <c r="M83" s="6"/>
      <c r="N83" s="6"/>
      <c r="O83" s="6"/>
      <c r="P83" s="6"/>
      <c r="Q83" s="6"/>
      <c r="R83" s="6"/>
      <c r="S83" s="6"/>
      <c r="T83" s="6"/>
      <c r="U83" s="6"/>
      <c r="V83" s="6"/>
      <c r="W83" s="6"/>
      <c r="X83" s="6"/>
      <c r="Y83" s="6"/>
      <c r="Z83" s="6"/>
      <c r="AA83" s="6"/>
      <c r="AB83" s="6"/>
      <c r="AC83" s="6"/>
    </row>
    <row r="84" spans="2:29" ht="15" x14ac:dyDescent="0.25">
      <c r="B84" s="6"/>
      <c r="C84" s="6"/>
      <c r="D84" s="6"/>
      <c r="E84" s="6"/>
      <c r="F84" s="6"/>
      <c r="G84" s="6"/>
      <c r="H84" s="6"/>
      <c r="I84" s="6"/>
      <c r="J84" s="6"/>
      <c r="K84" s="6"/>
      <c r="L84" s="6"/>
      <c r="M84" s="6"/>
      <c r="N84" s="6"/>
      <c r="O84" s="6"/>
      <c r="P84" s="6"/>
      <c r="Q84" s="6"/>
      <c r="R84" s="6"/>
      <c r="S84" s="6"/>
      <c r="T84" s="6"/>
      <c r="U84" s="6"/>
      <c r="V84" s="6"/>
      <c r="W84" s="6"/>
      <c r="X84" s="6"/>
      <c r="Y84" s="6"/>
      <c r="Z84" s="6"/>
      <c r="AA84" s="6"/>
      <c r="AB84" s="6"/>
      <c r="AC84" s="6"/>
    </row>
    <row r="85" spans="2:29" ht="15" x14ac:dyDescent="0.25">
      <c r="B85" s="6"/>
      <c r="C85" s="6"/>
      <c r="D85" s="6"/>
      <c r="E85" s="6"/>
      <c r="F85" s="6"/>
      <c r="G85" s="6"/>
      <c r="H85" s="6"/>
      <c r="I85" s="6"/>
      <c r="J85" s="6"/>
      <c r="K85" s="6"/>
      <c r="L85" s="6"/>
      <c r="M85" s="6"/>
      <c r="N85" s="6"/>
      <c r="O85" s="6"/>
      <c r="P85" s="6"/>
      <c r="Q85" s="6"/>
      <c r="R85" s="6"/>
      <c r="S85" s="6"/>
      <c r="T85" s="6"/>
      <c r="U85" s="6"/>
      <c r="V85" s="6"/>
      <c r="W85" s="6"/>
      <c r="X85" s="6"/>
      <c r="Y85" s="6"/>
      <c r="Z85" s="6"/>
      <c r="AA85" s="6"/>
      <c r="AB85" s="6"/>
      <c r="AC85" s="6"/>
    </row>
    <row r="86" spans="2:29" ht="15" x14ac:dyDescent="0.25">
      <c r="B86" s="6"/>
      <c r="C86" s="6"/>
      <c r="D86" s="6"/>
      <c r="E86" s="6"/>
      <c r="F86" s="6"/>
      <c r="G86" s="6"/>
      <c r="H86" s="6"/>
      <c r="I86" s="6"/>
      <c r="J86" s="6"/>
      <c r="K86" s="6"/>
      <c r="L86" s="6"/>
      <c r="M86" s="6"/>
      <c r="N86" s="6"/>
      <c r="O86" s="6"/>
      <c r="P86" s="6"/>
      <c r="Q86" s="6"/>
      <c r="R86" s="6"/>
      <c r="S86" s="6"/>
      <c r="T86" s="6"/>
      <c r="U86" s="6"/>
      <c r="V86" s="6"/>
      <c r="W86" s="6"/>
      <c r="X86" s="6"/>
      <c r="Y86" s="6"/>
      <c r="Z86" s="6"/>
      <c r="AA86" s="6"/>
      <c r="AB86" s="6"/>
      <c r="AC86" s="6"/>
    </row>
    <row r="87" spans="2:29" ht="15" x14ac:dyDescent="0.25">
      <c r="B87" s="6"/>
      <c r="C87" s="6"/>
      <c r="D87" s="6"/>
      <c r="E87" s="6"/>
      <c r="F87" s="6"/>
      <c r="G87" s="6"/>
      <c r="H87" s="6"/>
      <c r="I87" s="6"/>
      <c r="J87" s="6"/>
      <c r="K87" s="6"/>
      <c r="L87" s="6"/>
      <c r="M87" s="6"/>
      <c r="N87" s="6"/>
      <c r="O87" s="6"/>
      <c r="P87" s="6"/>
      <c r="Q87" s="6"/>
      <c r="R87" s="6"/>
      <c r="S87" s="6"/>
      <c r="T87" s="6"/>
      <c r="U87" s="6"/>
      <c r="V87" s="6"/>
      <c r="W87" s="6"/>
      <c r="X87" s="6"/>
      <c r="Y87" s="6"/>
      <c r="Z87" s="6"/>
      <c r="AA87" s="6"/>
      <c r="AB87" s="6"/>
      <c r="AC87" s="6"/>
    </row>
    <row r="88" spans="2:29" ht="15" x14ac:dyDescent="0.25">
      <c r="B88" s="6"/>
      <c r="C88" s="6"/>
      <c r="D88" s="6"/>
      <c r="E88" s="6"/>
      <c r="F88" s="6"/>
      <c r="G88" s="6"/>
      <c r="H88" s="6"/>
      <c r="I88" s="6"/>
      <c r="J88" s="6"/>
      <c r="K88" s="6"/>
      <c r="L88" s="6"/>
      <c r="M88" s="6"/>
      <c r="N88" s="6"/>
      <c r="O88" s="6"/>
      <c r="P88" s="6"/>
      <c r="Q88" s="6"/>
      <c r="R88" s="6"/>
      <c r="S88" s="6"/>
      <c r="T88" s="6"/>
      <c r="U88" s="6"/>
      <c r="V88" s="6"/>
      <c r="W88" s="6"/>
      <c r="X88" s="6"/>
      <c r="Y88" s="6"/>
      <c r="Z88" s="6"/>
      <c r="AA88" s="6"/>
      <c r="AB88" s="6"/>
      <c r="AC88" s="6"/>
    </row>
    <row r="89" spans="2:29" ht="15" x14ac:dyDescent="0.25">
      <c r="B89" s="6"/>
      <c r="C89" s="6"/>
      <c r="D89" s="6"/>
      <c r="E89" s="6"/>
      <c r="F89" s="6"/>
      <c r="G89" s="6"/>
      <c r="H89" s="6"/>
      <c r="I89" s="6"/>
      <c r="J89" s="6"/>
      <c r="K89" s="6"/>
      <c r="L89" s="6"/>
      <c r="M89" s="6"/>
      <c r="N89" s="6"/>
      <c r="O89" s="6"/>
      <c r="P89" s="6"/>
      <c r="Q89" s="6"/>
      <c r="R89" s="6"/>
      <c r="S89" s="6"/>
      <c r="T89" s="6"/>
      <c r="U89" s="6"/>
      <c r="V89" s="6"/>
      <c r="W89" s="6"/>
      <c r="X89" s="6"/>
      <c r="Y89" s="6"/>
      <c r="Z89" s="6"/>
      <c r="AA89" s="6"/>
      <c r="AB89" s="6"/>
      <c r="AC89" s="6"/>
    </row>
    <row r="90" spans="2:29" ht="15" x14ac:dyDescent="0.25">
      <c r="B90" s="6"/>
      <c r="C90" s="6"/>
      <c r="D90" s="6"/>
      <c r="E90" s="6"/>
      <c r="F90" s="6"/>
      <c r="G90" s="6"/>
      <c r="H90" s="6"/>
      <c r="I90" s="6"/>
      <c r="J90" s="6"/>
      <c r="K90" s="6"/>
      <c r="L90" s="6"/>
      <c r="M90" s="6"/>
      <c r="N90" s="6"/>
      <c r="O90" s="6"/>
      <c r="P90" s="6"/>
      <c r="Q90" s="6"/>
      <c r="R90" s="6"/>
      <c r="S90" s="6"/>
      <c r="T90" s="6"/>
      <c r="U90" s="6"/>
      <c r="V90" s="6"/>
      <c r="W90" s="6"/>
      <c r="X90" s="6"/>
      <c r="Y90" s="6"/>
      <c r="Z90" s="6"/>
      <c r="AA90" s="6"/>
      <c r="AB90" s="6"/>
      <c r="AC90" s="6"/>
    </row>
    <row r="91" spans="2:29" ht="15" x14ac:dyDescent="0.25">
      <c r="B91" s="6"/>
      <c r="C91" s="6"/>
      <c r="D91" s="6"/>
      <c r="E91" s="6"/>
      <c r="F91" s="6"/>
      <c r="G91" s="6"/>
      <c r="H91" s="6"/>
      <c r="I91" s="6"/>
      <c r="J91" s="6"/>
      <c r="K91" s="6"/>
      <c r="L91" s="6"/>
      <c r="M91" s="6"/>
      <c r="N91" s="6"/>
      <c r="O91" s="6"/>
      <c r="P91" s="6"/>
      <c r="Q91" s="6"/>
      <c r="R91" s="6"/>
      <c r="S91" s="6"/>
      <c r="T91" s="6"/>
      <c r="U91" s="6"/>
      <c r="V91" s="6"/>
      <c r="W91" s="6"/>
      <c r="X91" s="6"/>
      <c r="Y91" s="6"/>
      <c r="Z91" s="6"/>
      <c r="AA91" s="6"/>
      <c r="AB91" s="6"/>
      <c r="AC91" s="6"/>
    </row>
    <row r="92" spans="2:29" ht="15" x14ac:dyDescent="0.25">
      <c r="B92" s="6"/>
      <c r="C92" s="6"/>
      <c r="D92" s="6"/>
      <c r="E92" s="6"/>
      <c r="F92" s="6"/>
      <c r="G92" s="6"/>
      <c r="H92" s="6"/>
      <c r="I92" s="6"/>
      <c r="J92" s="6"/>
      <c r="K92" s="6"/>
      <c r="L92" s="6"/>
      <c r="M92" s="6"/>
      <c r="N92" s="6"/>
      <c r="O92" s="6"/>
      <c r="P92" s="6"/>
      <c r="Q92" s="6"/>
      <c r="R92" s="6"/>
      <c r="S92" s="6"/>
      <c r="T92" s="6"/>
      <c r="U92" s="6"/>
      <c r="V92" s="6"/>
      <c r="W92" s="6"/>
      <c r="X92" s="6"/>
      <c r="Y92" s="6"/>
      <c r="Z92" s="6"/>
      <c r="AA92" s="6"/>
      <c r="AB92" s="6"/>
      <c r="AC92" s="6"/>
    </row>
    <row r="93" spans="2:29" ht="15" x14ac:dyDescent="0.25">
      <c r="B93" s="6"/>
      <c r="C93" s="6"/>
      <c r="D93" s="6"/>
      <c r="E93" s="6"/>
      <c r="F93" s="6"/>
      <c r="G93" s="6"/>
      <c r="H93" s="6"/>
      <c r="I93" s="6"/>
      <c r="J93" s="6"/>
      <c r="K93" s="6"/>
      <c r="L93" s="6"/>
      <c r="M93" s="6"/>
      <c r="N93" s="6"/>
      <c r="O93" s="6"/>
      <c r="P93" s="6"/>
      <c r="Q93" s="6"/>
      <c r="R93" s="6"/>
      <c r="S93" s="6"/>
      <c r="T93" s="6"/>
      <c r="U93" s="6"/>
      <c r="V93" s="6"/>
      <c r="W93" s="6"/>
      <c r="X93" s="6"/>
      <c r="Y93" s="6"/>
      <c r="Z93" s="6"/>
      <c r="AA93" s="6"/>
      <c r="AB93" s="6"/>
      <c r="AC93" s="6"/>
    </row>
    <row r="94" spans="2:29" ht="15" x14ac:dyDescent="0.25">
      <c r="B94" s="6"/>
      <c r="C94" s="6"/>
      <c r="D94" s="6"/>
      <c r="E94" s="6"/>
      <c r="F94" s="6"/>
      <c r="G94" s="6"/>
      <c r="H94" s="6"/>
      <c r="I94" s="6"/>
      <c r="J94" s="6"/>
      <c r="K94" s="6"/>
      <c r="L94" s="6"/>
      <c r="M94" s="6"/>
      <c r="N94" s="6"/>
      <c r="O94" s="6"/>
      <c r="P94" s="6"/>
      <c r="Q94" s="6"/>
      <c r="R94" s="6"/>
      <c r="S94" s="6"/>
      <c r="T94" s="6"/>
      <c r="U94" s="6"/>
      <c r="V94" s="6"/>
      <c r="W94" s="6"/>
      <c r="X94" s="6"/>
      <c r="Y94" s="6"/>
      <c r="Z94" s="6"/>
      <c r="AA94" s="6"/>
      <c r="AB94" s="6"/>
      <c r="AC94" s="6"/>
    </row>
    <row r="95" spans="2:29" ht="15" x14ac:dyDescent="0.25">
      <c r="B95" s="6"/>
      <c r="C95" s="6"/>
      <c r="D95" s="6"/>
      <c r="E95" s="6"/>
      <c r="F95" s="6"/>
      <c r="G95" s="6"/>
      <c r="H95" s="6"/>
      <c r="I95" s="6"/>
      <c r="J95" s="6"/>
      <c r="K95" s="6"/>
      <c r="L95" s="6"/>
      <c r="M95" s="6"/>
      <c r="N95" s="6"/>
      <c r="O95" s="6"/>
      <c r="P95" s="6"/>
      <c r="Q95" s="6"/>
      <c r="R95" s="6"/>
      <c r="S95" s="6"/>
      <c r="T95" s="6"/>
      <c r="U95" s="6"/>
      <c r="V95" s="6"/>
      <c r="W95" s="6"/>
      <c r="X95" s="6"/>
      <c r="Y95" s="6"/>
      <c r="Z95" s="6"/>
      <c r="AA95" s="6"/>
      <c r="AB95" s="6"/>
      <c r="AC95" s="6"/>
    </row>
    <row r="96" spans="2:29" ht="15" x14ac:dyDescent="0.25">
      <c r="B96" s="6"/>
      <c r="C96" s="6"/>
      <c r="D96" s="6"/>
      <c r="E96" s="6"/>
      <c r="F96" s="6"/>
      <c r="G96" s="6"/>
      <c r="H96" s="6"/>
      <c r="I96" s="6"/>
      <c r="J96" s="6"/>
      <c r="K96" s="6"/>
      <c r="L96" s="6"/>
      <c r="M96" s="6"/>
      <c r="N96" s="6"/>
      <c r="O96" s="6"/>
      <c r="P96" s="6"/>
      <c r="Q96" s="6"/>
      <c r="R96" s="6"/>
      <c r="S96" s="6"/>
      <c r="T96" s="6"/>
      <c r="U96" s="6"/>
      <c r="V96" s="6"/>
      <c r="W96" s="6"/>
      <c r="X96" s="6"/>
      <c r="Y96" s="6"/>
      <c r="Z96" s="6"/>
      <c r="AA96" s="6"/>
      <c r="AB96" s="6"/>
      <c r="AC96" s="6"/>
    </row>
    <row r="97" spans="2:29" ht="15" x14ac:dyDescent="0.25">
      <c r="B97" s="6"/>
      <c r="C97" s="6"/>
      <c r="D97" s="6"/>
      <c r="E97" s="6"/>
      <c r="F97" s="6"/>
      <c r="G97" s="6"/>
      <c r="H97" s="6"/>
      <c r="I97" s="6"/>
      <c r="J97" s="6"/>
      <c r="K97" s="6"/>
      <c r="L97" s="6"/>
      <c r="M97" s="6"/>
      <c r="N97" s="6"/>
      <c r="O97" s="6"/>
      <c r="P97" s="6"/>
      <c r="Q97" s="6"/>
      <c r="R97" s="6"/>
      <c r="S97" s="6"/>
      <c r="T97" s="6"/>
      <c r="U97" s="6"/>
      <c r="V97" s="6"/>
      <c r="W97" s="6"/>
      <c r="X97" s="6"/>
      <c r="Y97" s="6"/>
      <c r="Z97" s="6"/>
      <c r="AA97" s="6"/>
      <c r="AB97" s="6"/>
      <c r="AC97" s="6"/>
    </row>
    <row r="98" spans="2:29" ht="15" x14ac:dyDescent="0.25">
      <c r="B98" s="6"/>
      <c r="C98" s="6"/>
      <c r="D98" s="6"/>
      <c r="E98" s="6"/>
      <c r="F98" s="6"/>
      <c r="G98" s="6"/>
      <c r="H98" s="6"/>
      <c r="I98" s="6"/>
      <c r="J98" s="6"/>
      <c r="K98" s="6"/>
      <c r="L98" s="6"/>
      <c r="M98" s="6"/>
      <c r="N98" s="6"/>
      <c r="O98" s="6"/>
      <c r="P98" s="6"/>
      <c r="Q98" s="6"/>
      <c r="R98" s="6"/>
      <c r="S98" s="6"/>
      <c r="T98" s="6"/>
      <c r="U98" s="6"/>
      <c r="V98" s="6"/>
      <c r="W98" s="6"/>
      <c r="X98" s="6"/>
      <c r="Y98" s="6"/>
      <c r="Z98" s="6"/>
      <c r="AA98" s="6"/>
      <c r="AB98" s="6"/>
      <c r="AC98" s="6"/>
    </row>
    <row r="99" spans="2:29" ht="15" x14ac:dyDescent="0.25">
      <c r="B99" s="6"/>
      <c r="C99" s="6"/>
      <c r="D99" s="6"/>
      <c r="E99" s="6"/>
      <c r="F99" s="6"/>
      <c r="G99" s="6"/>
      <c r="H99" s="6"/>
      <c r="I99" s="6"/>
      <c r="J99" s="6"/>
      <c r="K99" s="6"/>
      <c r="L99" s="6"/>
      <c r="M99" s="6"/>
      <c r="N99" s="6"/>
      <c r="O99" s="6"/>
      <c r="P99" s="6"/>
      <c r="Q99" s="6"/>
      <c r="R99" s="6"/>
      <c r="S99" s="6"/>
      <c r="T99" s="6"/>
      <c r="U99" s="6"/>
      <c r="V99" s="6"/>
      <c r="W99" s="6"/>
      <c r="X99" s="6"/>
      <c r="Y99" s="6"/>
      <c r="Z99" s="6"/>
      <c r="AA99" s="6"/>
      <c r="AB99" s="6"/>
      <c r="AC99" s="6"/>
    </row>
    <row r="100" spans="2:29" ht="15" x14ac:dyDescent="0.25">
      <c r="B100" s="6"/>
      <c r="C100" s="6"/>
      <c r="D100" s="6"/>
      <c r="E100" s="6"/>
      <c r="F100" s="6"/>
      <c r="G100" s="6"/>
      <c r="H100" s="6"/>
      <c r="I100" s="6"/>
      <c r="J100" s="6"/>
      <c r="K100" s="6"/>
      <c r="L100" s="6"/>
      <c r="M100" s="6"/>
      <c r="N100" s="6"/>
      <c r="O100" s="6"/>
      <c r="P100" s="6"/>
      <c r="Q100" s="6"/>
      <c r="R100" s="6"/>
      <c r="S100" s="6"/>
      <c r="T100" s="6"/>
      <c r="U100" s="6"/>
      <c r="V100" s="6"/>
      <c r="W100" s="6"/>
      <c r="X100" s="6"/>
      <c r="Y100" s="6"/>
      <c r="Z100" s="6"/>
      <c r="AA100" s="6"/>
      <c r="AB100" s="6"/>
      <c r="AC100" s="6"/>
    </row>
    <row r="101" spans="2:29" ht="15" x14ac:dyDescent="0.25">
      <c r="B101" s="6"/>
      <c r="C101" s="6"/>
      <c r="D101" s="6"/>
      <c r="E101" s="6"/>
      <c r="F101" s="6"/>
      <c r="G101" s="6"/>
      <c r="H101" s="6"/>
      <c r="I101" s="6"/>
      <c r="J101" s="6"/>
      <c r="K101" s="6"/>
      <c r="L101" s="6"/>
      <c r="M101" s="6"/>
      <c r="N101" s="6"/>
      <c r="O101" s="6"/>
      <c r="P101" s="6"/>
      <c r="Q101" s="6"/>
      <c r="R101" s="6"/>
      <c r="S101" s="6"/>
      <c r="T101" s="6"/>
      <c r="U101" s="6"/>
      <c r="V101" s="6"/>
      <c r="W101" s="6"/>
      <c r="X101" s="6"/>
      <c r="Y101" s="6"/>
      <c r="Z101" s="6"/>
      <c r="AA101" s="6"/>
      <c r="AB101" s="6"/>
      <c r="AC101" s="6"/>
    </row>
    <row r="102" spans="2:29" ht="15" x14ac:dyDescent="0.25">
      <c r="B102" s="6"/>
      <c r="C102" s="6"/>
      <c r="D102" s="6"/>
      <c r="E102" s="6"/>
      <c r="F102" s="6"/>
      <c r="G102" s="6"/>
      <c r="H102" s="6"/>
      <c r="I102" s="6"/>
      <c r="J102" s="6"/>
      <c r="K102" s="6"/>
      <c r="L102" s="6"/>
      <c r="M102" s="6"/>
      <c r="N102" s="6"/>
      <c r="O102" s="6"/>
      <c r="P102" s="6"/>
      <c r="Q102" s="6"/>
      <c r="R102" s="6"/>
      <c r="S102" s="6"/>
      <c r="T102" s="6"/>
      <c r="U102" s="6"/>
      <c r="V102" s="6"/>
      <c r="W102" s="6"/>
      <c r="X102" s="6"/>
      <c r="Y102" s="6"/>
      <c r="Z102" s="6"/>
      <c r="AA102" s="6"/>
      <c r="AB102" s="6"/>
      <c r="AC102" s="6"/>
    </row>
    <row r="103" spans="2:29" ht="15" x14ac:dyDescent="0.25">
      <c r="B103" s="6"/>
      <c r="C103" s="6"/>
      <c r="D103" s="6"/>
      <c r="E103" s="6"/>
      <c r="F103" s="6"/>
      <c r="G103" s="6"/>
      <c r="H103" s="6"/>
      <c r="I103" s="6"/>
      <c r="J103" s="6"/>
      <c r="K103" s="6"/>
      <c r="L103" s="6"/>
      <c r="M103" s="6"/>
      <c r="N103" s="6"/>
      <c r="O103" s="6"/>
      <c r="P103" s="6"/>
      <c r="Q103" s="6"/>
      <c r="R103" s="6"/>
      <c r="S103" s="6"/>
      <c r="T103" s="6"/>
      <c r="U103" s="6"/>
      <c r="V103" s="6"/>
      <c r="W103" s="6"/>
      <c r="X103" s="6"/>
      <c r="Y103" s="6"/>
      <c r="Z103" s="6"/>
      <c r="AA103" s="6"/>
      <c r="AB103" s="6"/>
      <c r="AC103" s="6"/>
    </row>
    <row r="104" spans="2:29" ht="15" x14ac:dyDescent="0.25">
      <c r="B104" s="6"/>
      <c r="C104" s="6"/>
      <c r="D104" s="6"/>
      <c r="E104" s="6"/>
      <c r="F104" s="6"/>
      <c r="G104" s="6"/>
      <c r="H104" s="6"/>
      <c r="I104" s="6"/>
      <c r="J104" s="6"/>
      <c r="K104" s="6"/>
      <c r="L104" s="6"/>
      <c r="M104" s="6"/>
      <c r="N104" s="6"/>
      <c r="O104" s="6"/>
      <c r="P104" s="6"/>
      <c r="Q104" s="6"/>
      <c r="R104" s="6"/>
      <c r="S104" s="6"/>
      <c r="T104" s="6"/>
      <c r="U104" s="6"/>
      <c r="V104" s="6"/>
      <c r="W104" s="6"/>
      <c r="X104" s="6"/>
      <c r="Y104" s="6"/>
      <c r="Z104" s="6"/>
      <c r="AA104" s="6"/>
      <c r="AB104" s="6"/>
      <c r="AC104" s="6"/>
    </row>
    <row r="105" spans="2:29" ht="15" x14ac:dyDescent="0.25">
      <c r="B105" s="6"/>
      <c r="C105" s="6"/>
      <c r="D105" s="6"/>
      <c r="E105" s="6"/>
      <c r="F105" s="6"/>
      <c r="G105" s="6"/>
      <c r="H105" s="6"/>
      <c r="I105" s="6"/>
      <c r="J105" s="6"/>
      <c r="K105" s="6"/>
      <c r="L105" s="6"/>
      <c r="M105" s="6"/>
      <c r="N105" s="6"/>
      <c r="O105" s="6"/>
      <c r="P105" s="6"/>
      <c r="Q105" s="6"/>
      <c r="R105" s="6"/>
      <c r="S105" s="6"/>
      <c r="T105" s="6"/>
      <c r="U105" s="6"/>
      <c r="V105" s="6"/>
      <c r="W105" s="6"/>
      <c r="X105" s="6"/>
      <c r="Y105" s="6"/>
      <c r="Z105" s="6"/>
      <c r="AA105" s="6"/>
      <c r="AB105" s="6"/>
      <c r="AC105" s="6"/>
    </row>
    <row r="106" spans="2:29" ht="15" x14ac:dyDescent="0.25">
      <c r="B106" s="6"/>
      <c r="C106" s="6"/>
      <c r="D106" s="6"/>
      <c r="E106" s="6"/>
      <c r="F106" s="6"/>
      <c r="G106" s="6"/>
      <c r="H106" s="6"/>
      <c r="I106" s="6"/>
      <c r="J106" s="6"/>
      <c r="K106" s="6"/>
      <c r="L106" s="6"/>
      <c r="M106" s="6"/>
      <c r="N106" s="6"/>
      <c r="O106" s="6"/>
      <c r="P106" s="6"/>
      <c r="Q106" s="6"/>
      <c r="R106" s="6"/>
      <c r="S106" s="6"/>
      <c r="T106" s="6"/>
      <c r="U106" s="6"/>
      <c r="V106" s="6"/>
      <c r="W106" s="6"/>
      <c r="X106" s="6"/>
      <c r="Y106" s="6"/>
      <c r="Z106" s="6"/>
      <c r="AA106" s="6"/>
      <c r="AB106" s="6"/>
      <c r="AC106" s="6"/>
    </row>
    <row r="107" spans="2:29" ht="15" x14ac:dyDescent="0.25">
      <c r="B107" s="6"/>
      <c r="C107" s="6"/>
      <c r="D107" s="6"/>
      <c r="E107" s="6"/>
      <c r="F107" s="6"/>
      <c r="G107" s="6"/>
      <c r="H107" s="6"/>
      <c r="I107" s="6"/>
      <c r="J107" s="6"/>
      <c r="K107" s="6"/>
      <c r="L107" s="6"/>
      <c r="M107" s="6"/>
      <c r="N107" s="6"/>
      <c r="O107" s="6"/>
      <c r="P107" s="6"/>
      <c r="Q107" s="6"/>
      <c r="R107" s="6"/>
      <c r="S107" s="6"/>
      <c r="T107" s="6"/>
      <c r="U107" s="6"/>
      <c r="V107" s="6"/>
      <c r="W107" s="6"/>
      <c r="X107" s="6"/>
      <c r="Y107" s="6"/>
      <c r="Z107" s="6"/>
      <c r="AA107" s="6"/>
      <c r="AB107" s="6"/>
      <c r="AC107" s="6"/>
    </row>
    <row r="108" spans="2:29" ht="15" x14ac:dyDescent="0.25">
      <c r="B108" s="6"/>
      <c r="C108" s="6"/>
      <c r="D108" s="6"/>
      <c r="E108" s="6"/>
      <c r="F108" s="6"/>
      <c r="G108" s="6"/>
      <c r="H108" s="6"/>
      <c r="I108" s="6"/>
      <c r="J108" s="6"/>
      <c r="K108" s="6"/>
      <c r="L108" s="6"/>
      <c r="M108" s="6"/>
      <c r="N108" s="6"/>
      <c r="O108" s="6"/>
      <c r="P108" s="6"/>
      <c r="Q108" s="6"/>
      <c r="R108" s="6"/>
      <c r="S108" s="6"/>
      <c r="T108" s="6"/>
      <c r="U108" s="6"/>
      <c r="V108" s="6"/>
      <c r="W108" s="6"/>
      <c r="X108" s="6"/>
      <c r="Y108" s="6"/>
      <c r="Z108" s="6"/>
      <c r="AA108" s="6"/>
      <c r="AB108" s="6"/>
      <c r="AC108" s="6"/>
    </row>
    <row r="109" spans="2:29" ht="15" x14ac:dyDescent="0.25">
      <c r="B109" s="6"/>
      <c r="C109" s="6"/>
      <c r="D109" s="6"/>
      <c r="E109" s="6"/>
      <c r="F109" s="6"/>
      <c r="G109" s="6"/>
      <c r="H109" s="6"/>
      <c r="I109" s="6"/>
      <c r="J109" s="6"/>
      <c r="K109" s="6"/>
      <c r="L109" s="6"/>
      <c r="M109" s="6"/>
      <c r="N109" s="6"/>
      <c r="O109" s="6"/>
      <c r="P109" s="6"/>
      <c r="Q109" s="6"/>
      <c r="R109" s="6"/>
      <c r="S109" s="6"/>
      <c r="T109" s="6"/>
      <c r="U109" s="6"/>
      <c r="V109" s="6"/>
      <c r="W109" s="6"/>
      <c r="X109" s="6"/>
      <c r="Y109" s="6"/>
      <c r="Z109" s="6"/>
      <c r="AA109" s="6"/>
      <c r="AB109" s="6"/>
      <c r="AC109" s="6"/>
    </row>
    <row r="110" spans="2:29" ht="15" x14ac:dyDescent="0.25">
      <c r="B110" s="6"/>
      <c r="C110" s="6"/>
      <c r="D110" s="6"/>
      <c r="E110" s="6"/>
      <c r="F110" s="6"/>
      <c r="G110" s="6"/>
      <c r="H110" s="6"/>
      <c r="I110" s="6"/>
      <c r="J110" s="6"/>
      <c r="K110" s="6"/>
      <c r="L110" s="6"/>
      <c r="M110" s="6"/>
      <c r="N110" s="6"/>
      <c r="O110" s="6"/>
      <c r="P110" s="6"/>
      <c r="Q110" s="6"/>
      <c r="R110" s="6"/>
      <c r="S110" s="6"/>
      <c r="T110" s="6"/>
      <c r="U110" s="6"/>
      <c r="V110" s="6"/>
      <c r="W110" s="6"/>
      <c r="X110" s="6"/>
      <c r="Y110" s="6"/>
      <c r="Z110" s="6"/>
      <c r="AA110" s="6"/>
      <c r="AB110" s="6"/>
      <c r="AC110" s="6"/>
    </row>
    <row r="111" spans="2:29" ht="15" x14ac:dyDescent="0.25">
      <c r="B111" s="6"/>
      <c r="C111" s="6"/>
      <c r="D111" s="6"/>
      <c r="E111" s="6"/>
      <c r="F111" s="6"/>
      <c r="G111" s="6"/>
      <c r="H111" s="6"/>
      <c r="I111" s="6"/>
      <c r="J111" s="6"/>
      <c r="K111" s="6"/>
      <c r="L111" s="6"/>
      <c r="M111" s="6"/>
      <c r="N111" s="6"/>
      <c r="O111" s="6"/>
      <c r="P111" s="6"/>
      <c r="Q111" s="6"/>
      <c r="R111" s="6"/>
      <c r="S111" s="6"/>
      <c r="T111" s="6"/>
      <c r="U111" s="6"/>
      <c r="V111" s="6"/>
      <c r="W111" s="6"/>
      <c r="X111" s="6"/>
      <c r="Y111" s="6"/>
      <c r="Z111" s="6"/>
      <c r="AA111" s="6"/>
      <c r="AB111" s="6"/>
      <c r="AC111" s="6"/>
    </row>
    <row r="112" spans="2:29" ht="15" x14ac:dyDescent="0.25">
      <c r="B112" s="6"/>
      <c r="C112" s="6"/>
      <c r="D112" s="6"/>
      <c r="E112" s="6"/>
      <c r="F112" s="6"/>
      <c r="G112" s="6"/>
      <c r="H112" s="6"/>
      <c r="I112" s="6"/>
      <c r="J112" s="6"/>
      <c r="K112" s="6"/>
      <c r="L112" s="6"/>
      <c r="M112" s="6"/>
      <c r="N112" s="6"/>
      <c r="O112" s="6"/>
      <c r="P112" s="6"/>
      <c r="Q112" s="6"/>
      <c r="R112" s="6"/>
      <c r="S112" s="6"/>
      <c r="T112" s="6"/>
      <c r="U112" s="6"/>
      <c r="V112" s="6"/>
      <c r="W112" s="6"/>
      <c r="X112" s="6"/>
      <c r="Y112" s="6"/>
      <c r="Z112" s="6"/>
      <c r="AA112" s="6"/>
      <c r="AB112" s="6"/>
      <c r="AC112" s="6"/>
    </row>
    <row r="113" spans="2:29" ht="15" x14ac:dyDescent="0.25">
      <c r="B113" s="6"/>
      <c r="C113" s="6"/>
      <c r="D113" s="6"/>
      <c r="E113" s="6"/>
      <c r="F113" s="6"/>
      <c r="G113" s="6"/>
      <c r="H113" s="6"/>
      <c r="I113" s="6"/>
      <c r="J113" s="6"/>
      <c r="K113" s="6"/>
      <c r="L113" s="6"/>
      <c r="M113" s="6"/>
      <c r="N113" s="6"/>
      <c r="O113" s="6"/>
      <c r="P113" s="6"/>
      <c r="Q113" s="6"/>
      <c r="R113" s="6"/>
      <c r="S113" s="6"/>
      <c r="T113" s="6"/>
      <c r="U113" s="6"/>
      <c r="V113" s="6"/>
      <c r="W113" s="6"/>
      <c r="X113" s="6"/>
      <c r="Y113" s="6"/>
      <c r="Z113" s="6"/>
      <c r="AA113" s="6"/>
      <c r="AB113" s="6"/>
      <c r="AC113" s="6"/>
    </row>
    <row r="114" spans="2:29" ht="15" x14ac:dyDescent="0.25">
      <c r="B114" s="6"/>
      <c r="C114" s="6"/>
      <c r="D114" s="6"/>
      <c r="E114" s="6"/>
      <c r="F114" s="6"/>
      <c r="G114" s="6"/>
      <c r="H114" s="6"/>
      <c r="I114" s="6"/>
      <c r="J114" s="6"/>
      <c r="K114" s="6"/>
      <c r="L114" s="6"/>
      <c r="M114" s="6"/>
      <c r="N114" s="6"/>
      <c r="O114" s="6"/>
      <c r="P114" s="6"/>
      <c r="Q114" s="6"/>
      <c r="R114" s="6"/>
      <c r="S114" s="6"/>
      <c r="T114" s="6"/>
      <c r="U114" s="6"/>
      <c r="V114" s="6"/>
      <c r="W114" s="6"/>
      <c r="X114" s="6"/>
      <c r="Y114" s="6"/>
      <c r="Z114" s="6"/>
      <c r="AA114" s="6"/>
      <c r="AB114" s="6"/>
      <c r="AC114" s="6"/>
    </row>
    <row r="115" spans="2:29" ht="15" x14ac:dyDescent="0.25">
      <c r="B115" s="6"/>
      <c r="C115" s="6"/>
      <c r="D115" s="6"/>
      <c r="E115" s="6"/>
      <c r="F115" s="6"/>
      <c r="G115" s="6"/>
      <c r="H115" s="6"/>
      <c r="I115" s="6"/>
      <c r="J115" s="6"/>
      <c r="K115" s="6"/>
      <c r="L115" s="6"/>
      <c r="M115" s="6"/>
      <c r="N115" s="6"/>
      <c r="O115" s="6"/>
      <c r="P115" s="6"/>
      <c r="Q115" s="6"/>
      <c r="R115" s="6"/>
      <c r="S115" s="6"/>
      <c r="T115" s="6"/>
      <c r="U115" s="6"/>
      <c r="V115" s="6"/>
      <c r="W115" s="6"/>
      <c r="X115" s="6"/>
      <c r="Y115" s="6"/>
      <c r="Z115" s="6"/>
      <c r="AA115" s="6"/>
      <c r="AB115" s="6"/>
      <c r="AC115" s="6"/>
    </row>
    <row r="116" spans="2:29" ht="15" x14ac:dyDescent="0.25">
      <c r="B116" s="6"/>
      <c r="C116" s="6"/>
      <c r="D116" s="6"/>
      <c r="E116" s="6"/>
      <c r="F116" s="6"/>
      <c r="G116" s="6"/>
      <c r="H116" s="6"/>
      <c r="I116" s="6"/>
      <c r="J116" s="6"/>
      <c r="K116" s="6"/>
      <c r="L116" s="6"/>
      <c r="M116" s="6"/>
      <c r="N116" s="6"/>
      <c r="O116" s="6"/>
      <c r="P116" s="6"/>
      <c r="Q116" s="6"/>
      <c r="R116" s="6"/>
      <c r="S116" s="6"/>
      <c r="T116" s="6"/>
      <c r="U116" s="6"/>
      <c r="V116" s="6"/>
      <c r="W116" s="6"/>
      <c r="X116" s="6"/>
      <c r="Y116" s="6"/>
      <c r="Z116" s="6"/>
      <c r="AA116" s="6"/>
      <c r="AB116" s="6"/>
      <c r="AC116" s="6"/>
    </row>
    <row r="117" spans="2:29" ht="15" x14ac:dyDescent="0.25">
      <c r="B117" s="6"/>
      <c r="C117" s="6"/>
      <c r="D117" s="6"/>
      <c r="E117" s="6"/>
      <c r="F117" s="6"/>
      <c r="G117" s="6"/>
      <c r="H117" s="6"/>
      <c r="I117" s="6"/>
      <c r="J117" s="6"/>
      <c r="K117" s="6"/>
      <c r="L117" s="6"/>
      <c r="M117" s="6"/>
      <c r="N117" s="6"/>
      <c r="O117" s="6"/>
      <c r="P117" s="6"/>
      <c r="Q117" s="6"/>
      <c r="R117" s="6"/>
      <c r="S117" s="6"/>
      <c r="T117" s="6"/>
      <c r="U117" s="6"/>
      <c r="V117" s="6"/>
      <c r="W117" s="6"/>
      <c r="X117" s="6"/>
      <c r="Y117" s="6"/>
      <c r="Z117" s="6"/>
      <c r="AA117" s="6"/>
      <c r="AB117" s="6"/>
      <c r="AC117" s="6"/>
    </row>
    <row r="118" spans="2:29" ht="15" x14ac:dyDescent="0.25">
      <c r="B118" s="6"/>
      <c r="C118" s="6"/>
      <c r="D118" s="6"/>
      <c r="E118" s="6"/>
      <c r="F118" s="6"/>
      <c r="G118" s="6"/>
      <c r="H118" s="6"/>
      <c r="I118" s="6"/>
      <c r="J118" s="6"/>
      <c r="K118" s="6"/>
      <c r="L118" s="6"/>
      <c r="M118" s="6"/>
      <c r="N118" s="6"/>
      <c r="O118" s="6"/>
      <c r="P118" s="6"/>
      <c r="Q118" s="6"/>
      <c r="R118" s="6"/>
      <c r="S118" s="6"/>
      <c r="T118" s="6"/>
      <c r="U118" s="6"/>
      <c r="V118" s="6"/>
      <c r="W118" s="6"/>
      <c r="X118" s="6"/>
      <c r="Y118" s="6"/>
      <c r="Z118" s="6"/>
      <c r="AA118" s="6"/>
      <c r="AB118" s="6"/>
      <c r="AC118" s="6"/>
    </row>
    <row r="119" spans="2:29" ht="15" x14ac:dyDescent="0.25">
      <c r="B119" s="6"/>
      <c r="C119" s="6"/>
      <c r="D119" s="6"/>
      <c r="E119" s="6"/>
      <c r="F119" s="6"/>
      <c r="G119" s="6"/>
      <c r="H119" s="6"/>
      <c r="I119" s="6"/>
      <c r="J119" s="6"/>
      <c r="K119" s="6"/>
      <c r="L119" s="6"/>
      <c r="M119" s="6"/>
      <c r="N119" s="6"/>
      <c r="O119" s="6"/>
      <c r="P119" s="6"/>
      <c r="Q119" s="6"/>
      <c r="R119" s="6"/>
      <c r="S119" s="6"/>
      <c r="T119" s="6"/>
      <c r="U119" s="6"/>
      <c r="V119" s="6"/>
      <c r="W119" s="6"/>
      <c r="X119" s="6"/>
      <c r="Y119" s="6"/>
      <c r="Z119" s="6"/>
      <c r="AA119" s="6"/>
      <c r="AB119" s="6"/>
      <c r="AC119" s="6"/>
    </row>
    <row r="120" spans="2:29" ht="15" x14ac:dyDescent="0.25">
      <c r="B120" s="6"/>
      <c r="C120" s="6"/>
      <c r="D120" s="6"/>
      <c r="E120" s="6"/>
      <c r="F120" s="6"/>
      <c r="G120" s="6"/>
      <c r="H120" s="6"/>
      <c r="I120" s="6"/>
      <c r="J120" s="6"/>
      <c r="K120" s="6"/>
      <c r="L120" s="6"/>
      <c r="M120" s="6"/>
      <c r="N120" s="6"/>
      <c r="O120" s="6"/>
      <c r="P120" s="6"/>
      <c r="Q120" s="6"/>
      <c r="R120" s="6"/>
      <c r="S120" s="6"/>
      <c r="T120" s="6"/>
      <c r="U120" s="6"/>
      <c r="V120" s="6"/>
      <c r="W120" s="6"/>
      <c r="X120" s="6"/>
      <c r="Y120" s="6"/>
      <c r="Z120" s="6"/>
      <c r="AA120" s="6"/>
      <c r="AB120" s="6"/>
      <c r="AC120" s="6"/>
    </row>
    <row r="121" spans="2:29" ht="15" x14ac:dyDescent="0.25">
      <c r="B121" s="6"/>
      <c r="C121" s="6"/>
      <c r="D121" s="6"/>
      <c r="E121" s="6"/>
      <c r="F121" s="6"/>
      <c r="G121" s="6"/>
      <c r="H121" s="6"/>
      <c r="I121" s="6"/>
      <c r="J121" s="6"/>
      <c r="K121" s="6"/>
      <c r="L121" s="6"/>
      <c r="M121" s="6"/>
      <c r="N121" s="6"/>
      <c r="O121" s="6"/>
      <c r="P121" s="6"/>
      <c r="Q121" s="6"/>
      <c r="R121" s="6"/>
      <c r="S121" s="6"/>
      <c r="T121" s="6"/>
      <c r="U121" s="6"/>
      <c r="V121" s="6"/>
      <c r="W121" s="6"/>
      <c r="X121" s="6"/>
      <c r="Y121" s="6"/>
      <c r="Z121" s="6"/>
      <c r="AA121" s="6"/>
      <c r="AB121" s="6"/>
      <c r="AC121" s="6"/>
    </row>
    <row r="122" spans="2:29" ht="15" x14ac:dyDescent="0.25">
      <c r="B122" s="6"/>
      <c r="C122" s="6"/>
      <c r="D122" s="6"/>
      <c r="E122" s="6"/>
      <c r="F122" s="6"/>
      <c r="G122" s="6"/>
      <c r="H122" s="6"/>
      <c r="I122" s="6"/>
      <c r="J122" s="6"/>
      <c r="K122" s="6"/>
      <c r="L122" s="6"/>
      <c r="M122" s="6"/>
      <c r="N122" s="6"/>
      <c r="O122" s="6"/>
      <c r="P122" s="6"/>
      <c r="Q122" s="6"/>
      <c r="R122" s="6"/>
      <c r="S122" s="6"/>
      <c r="T122" s="6"/>
      <c r="U122" s="6"/>
      <c r="V122" s="6"/>
      <c r="W122" s="6"/>
      <c r="X122" s="6"/>
      <c r="Y122" s="6"/>
      <c r="Z122" s="6"/>
      <c r="AA122" s="6"/>
      <c r="AB122" s="6"/>
      <c r="AC122" s="6"/>
    </row>
    <row r="123" spans="2:29" ht="15" x14ac:dyDescent="0.25">
      <c r="B123" s="6"/>
      <c r="C123" s="6"/>
      <c r="D123" s="6"/>
      <c r="E123" s="6"/>
      <c r="F123" s="6"/>
      <c r="G123" s="6"/>
      <c r="H123" s="6"/>
      <c r="I123" s="6"/>
      <c r="J123" s="6"/>
      <c r="K123" s="6"/>
      <c r="L123" s="6"/>
      <c r="M123" s="6"/>
      <c r="N123" s="6"/>
      <c r="O123" s="6"/>
      <c r="P123" s="6"/>
      <c r="Q123" s="6"/>
      <c r="R123" s="6"/>
      <c r="S123" s="6"/>
      <c r="T123" s="6"/>
      <c r="U123" s="6"/>
      <c r="V123" s="6"/>
      <c r="W123" s="6"/>
      <c r="X123" s="6"/>
      <c r="Y123" s="6"/>
      <c r="Z123" s="6"/>
      <c r="AA123" s="6"/>
      <c r="AB123" s="6"/>
      <c r="AC123" s="6"/>
    </row>
    <row r="124" spans="2:29" ht="15" x14ac:dyDescent="0.25">
      <c r="B124" s="6"/>
      <c r="C124" s="6"/>
      <c r="D124" s="6"/>
      <c r="E124" s="6"/>
      <c r="F124" s="6"/>
      <c r="G124" s="6"/>
      <c r="H124" s="6"/>
      <c r="I124" s="6"/>
      <c r="J124" s="6"/>
      <c r="K124" s="6"/>
      <c r="L124" s="6"/>
      <c r="M124" s="6"/>
      <c r="N124" s="6"/>
      <c r="O124" s="6"/>
      <c r="P124" s="6"/>
      <c r="Q124" s="6"/>
      <c r="R124" s="6"/>
      <c r="S124" s="6"/>
      <c r="T124" s="6"/>
      <c r="U124" s="6"/>
      <c r="V124" s="6"/>
      <c r="W124" s="6"/>
      <c r="X124" s="6"/>
      <c r="Y124" s="6"/>
      <c r="Z124" s="6"/>
      <c r="AA124" s="6"/>
      <c r="AB124" s="6"/>
      <c r="AC124" s="6"/>
    </row>
    <row r="125" spans="2:29" ht="15" x14ac:dyDescent="0.25">
      <c r="B125" s="6"/>
      <c r="C125" s="6"/>
      <c r="D125" s="6"/>
      <c r="E125" s="6"/>
      <c r="F125" s="6"/>
      <c r="G125" s="6"/>
      <c r="H125" s="6"/>
      <c r="I125" s="6"/>
      <c r="J125" s="6"/>
      <c r="K125" s="6"/>
      <c r="L125" s="6"/>
      <c r="M125" s="6"/>
      <c r="N125" s="6"/>
      <c r="O125" s="6"/>
      <c r="P125" s="6"/>
      <c r="Q125" s="6"/>
      <c r="R125" s="6"/>
      <c r="S125" s="6"/>
      <c r="T125" s="6"/>
      <c r="U125" s="6"/>
      <c r="V125" s="6"/>
      <c r="W125" s="6"/>
      <c r="X125" s="6"/>
      <c r="Y125" s="6"/>
      <c r="Z125" s="6"/>
      <c r="AA125" s="6"/>
      <c r="AB125" s="6"/>
      <c r="AC125" s="6"/>
    </row>
    <row r="126" spans="2:29" ht="15" x14ac:dyDescent="0.25">
      <c r="B126" s="6"/>
      <c r="C126" s="6"/>
      <c r="D126" s="6"/>
      <c r="E126" s="6"/>
      <c r="F126" s="6"/>
      <c r="G126" s="6"/>
      <c r="H126" s="6"/>
      <c r="I126" s="6"/>
      <c r="J126" s="6"/>
      <c r="K126" s="6"/>
      <c r="L126" s="6"/>
      <c r="M126" s="6"/>
      <c r="N126" s="6"/>
      <c r="O126" s="6"/>
      <c r="P126" s="6"/>
      <c r="Q126" s="6"/>
      <c r="R126" s="6"/>
      <c r="S126" s="6"/>
      <c r="T126" s="6"/>
      <c r="U126" s="6"/>
      <c r="V126" s="6"/>
      <c r="W126" s="6"/>
      <c r="X126" s="6"/>
      <c r="Y126" s="6"/>
      <c r="Z126" s="6"/>
      <c r="AA126" s="6"/>
      <c r="AB126" s="6"/>
      <c r="AC126" s="6"/>
    </row>
    <row r="127" spans="2:29" ht="15" x14ac:dyDescent="0.25">
      <c r="B127" s="6"/>
      <c r="C127" s="6"/>
      <c r="D127" s="6"/>
      <c r="E127" s="6"/>
      <c r="F127" s="6"/>
      <c r="G127" s="6"/>
      <c r="H127" s="6"/>
      <c r="I127" s="6"/>
      <c r="J127" s="6"/>
      <c r="K127" s="6"/>
      <c r="L127" s="6"/>
      <c r="M127" s="6"/>
      <c r="N127" s="6"/>
      <c r="O127" s="6"/>
      <c r="P127" s="6"/>
      <c r="Q127" s="6"/>
      <c r="R127" s="6"/>
      <c r="S127" s="6"/>
      <c r="T127" s="6"/>
      <c r="U127" s="6"/>
      <c r="V127" s="6"/>
      <c r="W127" s="6"/>
      <c r="X127" s="6"/>
      <c r="Y127" s="6"/>
      <c r="Z127" s="6"/>
      <c r="AA127" s="6"/>
      <c r="AB127" s="6"/>
      <c r="AC127" s="6"/>
    </row>
    <row r="128" spans="2:29" ht="15" x14ac:dyDescent="0.25">
      <c r="B128" s="6"/>
      <c r="C128" s="6"/>
      <c r="D128" s="6"/>
      <c r="E128" s="6"/>
      <c r="F128" s="6"/>
      <c r="G128" s="6"/>
      <c r="H128" s="6"/>
      <c r="I128" s="6"/>
      <c r="J128" s="6"/>
      <c r="K128" s="6"/>
      <c r="L128" s="6"/>
      <c r="M128" s="6"/>
      <c r="N128" s="6"/>
      <c r="O128" s="6"/>
      <c r="P128" s="6"/>
      <c r="Q128" s="6"/>
      <c r="R128" s="6"/>
      <c r="S128" s="6"/>
      <c r="T128" s="6"/>
      <c r="U128" s="6"/>
      <c r="V128" s="6"/>
      <c r="W128" s="6"/>
      <c r="X128" s="6"/>
      <c r="Y128" s="6"/>
      <c r="Z128" s="6"/>
      <c r="AA128" s="6"/>
      <c r="AB128" s="6"/>
      <c r="AC128" s="6"/>
    </row>
    <row r="129" spans="2:29" ht="15" x14ac:dyDescent="0.25">
      <c r="B129" s="6"/>
      <c r="C129" s="6"/>
      <c r="D129" s="6"/>
      <c r="E129" s="6"/>
      <c r="F129" s="6"/>
      <c r="G129" s="6"/>
      <c r="H129" s="6"/>
      <c r="I129" s="6"/>
      <c r="J129" s="6"/>
      <c r="K129" s="6"/>
      <c r="L129" s="6"/>
      <c r="M129" s="6"/>
      <c r="N129" s="6"/>
      <c r="O129" s="6"/>
      <c r="P129" s="6"/>
      <c r="Q129" s="6"/>
      <c r="R129" s="6"/>
      <c r="S129" s="6"/>
      <c r="T129" s="6"/>
      <c r="U129" s="6"/>
      <c r="V129" s="6"/>
      <c r="W129" s="6"/>
      <c r="X129" s="6"/>
      <c r="Y129" s="6"/>
      <c r="Z129" s="6"/>
      <c r="AA129" s="6"/>
      <c r="AB129" s="6"/>
      <c r="AC129" s="6"/>
    </row>
    <row r="130" spans="2:29" ht="15" x14ac:dyDescent="0.25">
      <c r="B130" s="6"/>
      <c r="C130" s="6"/>
      <c r="D130" s="6"/>
      <c r="E130" s="6"/>
      <c r="F130" s="6"/>
      <c r="G130" s="6"/>
      <c r="H130" s="6"/>
      <c r="I130" s="6"/>
      <c r="J130" s="6"/>
      <c r="K130" s="6"/>
      <c r="L130" s="6"/>
      <c r="M130" s="6"/>
      <c r="N130" s="6"/>
      <c r="O130" s="6"/>
      <c r="P130" s="6"/>
      <c r="Q130" s="6"/>
      <c r="R130" s="6"/>
      <c r="S130" s="6"/>
      <c r="T130" s="6"/>
      <c r="U130" s="6"/>
      <c r="V130" s="6"/>
      <c r="W130" s="6"/>
      <c r="X130" s="6"/>
      <c r="Y130" s="6"/>
      <c r="Z130" s="6"/>
      <c r="AA130" s="6"/>
      <c r="AB130" s="6"/>
      <c r="AC130" s="6"/>
    </row>
    <row r="131" spans="2:29" ht="15" x14ac:dyDescent="0.25">
      <c r="B131" s="6"/>
      <c r="C131" s="6"/>
      <c r="D131" s="6"/>
      <c r="E131" s="6"/>
      <c r="F131" s="6"/>
      <c r="G131" s="6"/>
      <c r="H131" s="6"/>
      <c r="I131" s="6"/>
      <c r="J131" s="6"/>
      <c r="K131" s="6"/>
      <c r="L131" s="6"/>
      <c r="M131" s="6"/>
      <c r="N131" s="6"/>
      <c r="O131" s="6"/>
      <c r="P131" s="6"/>
      <c r="Q131" s="6"/>
      <c r="R131" s="6"/>
      <c r="S131" s="6"/>
      <c r="T131" s="6"/>
      <c r="U131" s="6"/>
      <c r="V131" s="6"/>
      <c r="W131" s="6"/>
      <c r="X131" s="6"/>
      <c r="Y131" s="6"/>
      <c r="Z131" s="6"/>
      <c r="AA131" s="6"/>
      <c r="AB131" s="6"/>
      <c r="AC131" s="6"/>
    </row>
    <row r="132" spans="2:29" ht="15" x14ac:dyDescent="0.25">
      <c r="B132" s="6"/>
      <c r="C132" s="6"/>
      <c r="D132" s="6"/>
      <c r="E132" s="6"/>
      <c r="F132" s="6"/>
      <c r="G132" s="6"/>
      <c r="H132" s="6"/>
      <c r="I132" s="6"/>
      <c r="J132" s="6"/>
      <c r="K132" s="6"/>
      <c r="L132" s="6"/>
      <c r="M132" s="6"/>
      <c r="N132" s="6"/>
      <c r="O132" s="6"/>
      <c r="P132" s="6"/>
      <c r="Q132" s="6"/>
      <c r="R132" s="6"/>
      <c r="S132" s="6"/>
      <c r="T132" s="6"/>
      <c r="U132" s="6"/>
      <c r="V132" s="6"/>
      <c r="W132" s="6"/>
      <c r="X132" s="6"/>
      <c r="Y132" s="6"/>
      <c r="Z132" s="6"/>
      <c r="AA132" s="6"/>
      <c r="AB132" s="6"/>
      <c r="AC132" s="6"/>
    </row>
    <row r="133" spans="2:29" ht="15" x14ac:dyDescent="0.25">
      <c r="B133" s="6"/>
      <c r="C133" s="6"/>
      <c r="D133" s="6"/>
      <c r="E133" s="6"/>
      <c r="F133" s="6"/>
      <c r="G133" s="6"/>
      <c r="H133" s="6"/>
      <c r="I133" s="6"/>
      <c r="J133" s="6"/>
      <c r="K133" s="6"/>
      <c r="L133" s="6"/>
      <c r="M133" s="6"/>
      <c r="N133" s="6"/>
      <c r="O133" s="6"/>
      <c r="P133" s="6"/>
      <c r="Q133" s="6"/>
      <c r="R133" s="6"/>
      <c r="S133" s="6"/>
      <c r="T133" s="6"/>
      <c r="U133" s="6"/>
      <c r="V133" s="6"/>
      <c r="W133" s="6"/>
      <c r="X133" s="6"/>
      <c r="Y133" s="6"/>
      <c r="Z133" s="6"/>
      <c r="AA133" s="6"/>
      <c r="AB133" s="6"/>
      <c r="AC133" s="6"/>
    </row>
    <row r="134" spans="2:29" ht="15" x14ac:dyDescent="0.25">
      <c r="B134" s="6"/>
      <c r="C134" s="6"/>
      <c r="D134" s="6"/>
      <c r="E134" s="6"/>
      <c r="F134" s="6"/>
      <c r="G134" s="6"/>
      <c r="H134" s="6"/>
      <c r="I134" s="6"/>
      <c r="J134" s="6"/>
      <c r="K134" s="6"/>
      <c r="L134" s="6"/>
      <c r="M134" s="6"/>
      <c r="N134" s="6"/>
      <c r="O134" s="6"/>
      <c r="P134" s="6"/>
      <c r="Q134" s="6"/>
      <c r="R134" s="6"/>
      <c r="S134" s="6"/>
      <c r="T134" s="6"/>
      <c r="U134" s="6"/>
      <c r="V134" s="6"/>
      <c r="W134" s="6"/>
      <c r="X134" s="6"/>
      <c r="Y134" s="6"/>
      <c r="Z134" s="6"/>
      <c r="AA134" s="6"/>
      <c r="AB134" s="6"/>
      <c r="AC134" s="6"/>
    </row>
    <row r="135" spans="2:29" ht="15" x14ac:dyDescent="0.25">
      <c r="B135" s="6"/>
      <c r="C135" s="6"/>
      <c r="D135" s="6"/>
      <c r="E135" s="6"/>
      <c r="F135" s="6"/>
      <c r="G135" s="6"/>
      <c r="H135" s="6"/>
      <c r="I135" s="6"/>
      <c r="J135" s="6"/>
      <c r="K135" s="6"/>
      <c r="L135" s="6"/>
      <c r="M135" s="6"/>
      <c r="N135" s="6"/>
      <c r="O135" s="6"/>
      <c r="P135" s="6"/>
      <c r="Q135" s="6"/>
      <c r="R135" s="6"/>
      <c r="S135" s="6"/>
      <c r="T135" s="6"/>
      <c r="U135" s="6"/>
      <c r="V135" s="6"/>
      <c r="W135" s="6"/>
      <c r="X135" s="6"/>
      <c r="Y135" s="6"/>
      <c r="Z135" s="6"/>
      <c r="AA135" s="6"/>
      <c r="AB135" s="6"/>
      <c r="AC135" s="6"/>
    </row>
    <row r="136" spans="2:29" ht="15" x14ac:dyDescent="0.25">
      <c r="B136" s="6"/>
      <c r="C136" s="6"/>
      <c r="D136" s="6"/>
      <c r="E136" s="6"/>
      <c r="F136" s="6"/>
      <c r="G136" s="6"/>
      <c r="H136" s="6"/>
      <c r="I136" s="6"/>
      <c r="J136" s="6"/>
      <c r="K136" s="6"/>
      <c r="L136" s="6"/>
      <c r="M136" s="6"/>
      <c r="N136" s="6"/>
      <c r="O136" s="6"/>
      <c r="P136" s="6"/>
      <c r="Q136" s="6"/>
      <c r="R136" s="6"/>
      <c r="S136" s="6"/>
      <c r="T136" s="6"/>
      <c r="U136" s="6"/>
      <c r="V136" s="6"/>
      <c r="W136" s="6"/>
      <c r="X136" s="6"/>
      <c r="Y136" s="6"/>
      <c r="Z136" s="6"/>
      <c r="AA136" s="6"/>
      <c r="AB136" s="6"/>
      <c r="AC136" s="6"/>
    </row>
    <row r="137" spans="2:29" ht="15" x14ac:dyDescent="0.25">
      <c r="B137" s="6"/>
      <c r="C137" s="6"/>
      <c r="D137" s="6"/>
      <c r="E137" s="6"/>
      <c r="F137" s="6"/>
      <c r="G137" s="6"/>
      <c r="H137" s="6"/>
      <c r="I137" s="6"/>
      <c r="J137" s="6"/>
      <c r="K137" s="6"/>
      <c r="L137" s="6"/>
      <c r="M137" s="6"/>
      <c r="N137" s="6"/>
      <c r="O137" s="6"/>
      <c r="P137" s="6"/>
      <c r="Q137" s="6"/>
      <c r="R137" s="6"/>
      <c r="S137" s="6"/>
      <c r="T137" s="6"/>
      <c r="U137" s="6"/>
      <c r="V137" s="6"/>
      <c r="W137" s="6"/>
      <c r="X137" s="6"/>
      <c r="Y137" s="6"/>
      <c r="Z137" s="6"/>
      <c r="AA137" s="6"/>
      <c r="AB137" s="6"/>
      <c r="AC137" s="6"/>
    </row>
    <row r="138" spans="2:29" ht="15" x14ac:dyDescent="0.25">
      <c r="B138" s="6"/>
      <c r="C138" s="6"/>
      <c r="D138" s="6"/>
      <c r="E138" s="6"/>
      <c r="F138" s="6"/>
      <c r="G138" s="6"/>
      <c r="H138" s="6"/>
      <c r="I138" s="6"/>
      <c r="J138" s="6"/>
      <c r="K138" s="6"/>
      <c r="L138" s="6"/>
      <c r="M138" s="6"/>
      <c r="N138" s="6"/>
      <c r="O138" s="6"/>
      <c r="P138" s="6"/>
      <c r="Q138" s="6"/>
      <c r="R138" s="6"/>
      <c r="S138" s="6"/>
      <c r="T138" s="6"/>
      <c r="U138" s="6"/>
      <c r="V138" s="6"/>
      <c r="W138" s="6"/>
      <c r="X138" s="6"/>
      <c r="Y138" s="6"/>
      <c r="Z138" s="6"/>
      <c r="AA138" s="6"/>
      <c r="AB138" s="6"/>
      <c r="AC138" s="6"/>
    </row>
    <row r="139" spans="2:29" ht="15" x14ac:dyDescent="0.25">
      <c r="B139" s="6"/>
      <c r="C139" s="6"/>
      <c r="D139" s="6"/>
      <c r="E139" s="6"/>
      <c r="F139" s="6"/>
      <c r="G139" s="6"/>
      <c r="H139" s="6"/>
      <c r="I139" s="6"/>
      <c r="J139" s="6"/>
      <c r="K139" s="6"/>
      <c r="L139" s="6"/>
      <c r="M139" s="6"/>
      <c r="N139" s="6"/>
      <c r="O139" s="6"/>
      <c r="P139" s="6"/>
      <c r="Q139" s="6"/>
      <c r="R139" s="6"/>
      <c r="S139" s="6"/>
      <c r="T139" s="6"/>
      <c r="U139" s="6"/>
      <c r="V139" s="6"/>
      <c r="W139" s="6"/>
      <c r="X139" s="6"/>
      <c r="Y139" s="6"/>
      <c r="Z139" s="6"/>
      <c r="AA139" s="6"/>
      <c r="AB139" s="6"/>
      <c r="AC139" s="6"/>
    </row>
    <row r="140" spans="2:29" ht="15" x14ac:dyDescent="0.25">
      <c r="B140" s="6"/>
      <c r="C140" s="6"/>
      <c r="D140" s="6"/>
      <c r="E140" s="6"/>
      <c r="F140" s="6"/>
      <c r="G140" s="6"/>
      <c r="H140" s="6"/>
      <c r="I140" s="6"/>
      <c r="J140" s="6"/>
      <c r="K140" s="6"/>
      <c r="L140" s="6"/>
      <c r="M140" s="6"/>
      <c r="N140" s="6"/>
      <c r="O140" s="6"/>
      <c r="P140" s="6"/>
      <c r="Q140" s="6"/>
      <c r="R140" s="6"/>
      <c r="S140" s="6"/>
      <c r="T140" s="6"/>
      <c r="U140" s="6"/>
      <c r="V140" s="6"/>
      <c r="W140" s="6"/>
      <c r="X140" s="6"/>
      <c r="Y140" s="6"/>
      <c r="Z140" s="6"/>
      <c r="AA140" s="6"/>
      <c r="AB140" s="6"/>
      <c r="AC140" s="6"/>
    </row>
    <row r="141" spans="2:29" ht="15" x14ac:dyDescent="0.25">
      <c r="B141" s="6"/>
      <c r="C141" s="6"/>
      <c r="D141" s="6"/>
      <c r="E141" s="6"/>
      <c r="F141" s="6"/>
      <c r="G141" s="6"/>
      <c r="H141" s="6"/>
      <c r="I141" s="6"/>
      <c r="J141" s="6"/>
      <c r="K141" s="6"/>
      <c r="L141" s="6"/>
      <c r="M141" s="6"/>
      <c r="N141" s="6"/>
      <c r="O141" s="6"/>
      <c r="P141" s="6"/>
      <c r="Q141" s="6"/>
      <c r="R141" s="6"/>
      <c r="S141" s="6"/>
      <c r="T141" s="6"/>
      <c r="U141" s="6"/>
      <c r="V141" s="6"/>
      <c r="W141" s="6"/>
      <c r="X141" s="6"/>
      <c r="Y141" s="6"/>
      <c r="Z141" s="6"/>
      <c r="AA141" s="6"/>
      <c r="AB141" s="6"/>
      <c r="AC141" s="6"/>
    </row>
    <row r="142" spans="2:29" ht="15" x14ac:dyDescent="0.25">
      <c r="B142" s="6"/>
      <c r="C142" s="6"/>
      <c r="D142" s="6"/>
      <c r="E142" s="6"/>
      <c r="F142" s="6"/>
      <c r="G142" s="6"/>
      <c r="H142" s="6"/>
      <c r="I142" s="6"/>
      <c r="J142" s="6"/>
      <c r="K142" s="6"/>
      <c r="L142" s="6"/>
      <c r="M142" s="6"/>
      <c r="N142" s="6"/>
      <c r="O142" s="6"/>
      <c r="P142" s="6"/>
      <c r="Q142" s="6"/>
      <c r="R142" s="6"/>
      <c r="S142" s="6"/>
      <c r="T142" s="6"/>
      <c r="U142" s="6"/>
      <c r="V142" s="6"/>
      <c r="W142" s="6"/>
      <c r="X142" s="6"/>
      <c r="Y142" s="6"/>
      <c r="Z142" s="6"/>
      <c r="AA142" s="6"/>
      <c r="AB142" s="6"/>
      <c r="AC142" s="6"/>
    </row>
    <row r="143" spans="2:29" ht="15" x14ac:dyDescent="0.25">
      <c r="B143" s="6"/>
      <c r="C143" s="6"/>
      <c r="D143" s="6"/>
      <c r="E143" s="6"/>
      <c r="F143" s="6"/>
      <c r="G143" s="6"/>
      <c r="H143" s="6"/>
      <c r="I143" s="6"/>
      <c r="J143" s="6"/>
      <c r="K143" s="6"/>
      <c r="L143" s="6"/>
      <c r="M143" s="6"/>
      <c r="N143" s="6"/>
      <c r="O143" s="6"/>
      <c r="P143" s="6"/>
      <c r="Q143" s="6"/>
      <c r="R143" s="6"/>
      <c r="S143" s="6"/>
      <c r="T143" s="6"/>
      <c r="U143" s="6"/>
      <c r="V143" s="6"/>
      <c r="W143" s="6"/>
      <c r="X143" s="6"/>
      <c r="Y143" s="6"/>
      <c r="Z143" s="6"/>
      <c r="AA143" s="6"/>
      <c r="AB143" s="6"/>
      <c r="AC143" s="6"/>
    </row>
    <row r="144" spans="2:29" ht="15" x14ac:dyDescent="0.25">
      <c r="B144" s="6"/>
      <c r="C144" s="6"/>
      <c r="D144" s="6"/>
      <c r="E144" s="6"/>
      <c r="F144" s="6"/>
      <c r="G144" s="6"/>
      <c r="H144" s="6"/>
      <c r="I144" s="6"/>
      <c r="J144" s="6"/>
      <c r="K144" s="6"/>
      <c r="L144" s="6"/>
      <c r="M144" s="6"/>
      <c r="N144" s="6"/>
      <c r="O144" s="6"/>
      <c r="P144" s="6"/>
      <c r="Q144" s="6"/>
      <c r="R144" s="6"/>
      <c r="S144" s="6"/>
      <c r="T144" s="6"/>
      <c r="U144" s="6"/>
      <c r="V144" s="6"/>
      <c r="W144" s="6"/>
      <c r="X144" s="6"/>
      <c r="Y144" s="6"/>
      <c r="Z144" s="6"/>
      <c r="AA144" s="6"/>
      <c r="AB144" s="6"/>
      <c r="AC144" s="6"/>
    </row>
    <row r="145" spans="2:29" ht="15" x14ac:dyDescent="0.25">
      <c r="B145" s="6"/>
      <c r="C145" s="6"/>
      <c r="D145" s="6"/>
      <c r="E145" s="6"/>
      <c r="F145" s="6"/>
      <c r="G145" s="6"/>
      <c r="H145" s="6"/>
      <c r="I145" s="6"/>
      <c r="J145" s="6"/>
      <c r="K145" s="6"/>
      <c r="L145" s="6"/>
      <c r="M145" s="6"/>
      <c r="N145" s="6"/>
      <c r="O145" s="6"/>
      <c r="P145" s="6"/>
      <c r="Q145" s="6"/>
      <c r="R145" s="6"/>
      <c r="S145" s="6"/>
      <c r="T145" s="6"/>
      <c r="U145" s="6"/>
      <c r="V145" s="6"/>
      <c r="W145" s="6"/>
      <c r="X145" s="6"/>
      <c r="Y145" s="6"/>
      <c r="Z145" s="6"/>
      <c r="AA145" s="6"/>
      <c r="AB145" s="6"/>
      <c r="AC145" s="6"/>
    </row>
    <row r="146" spans="2:29" ht="15" x14ac:dyDescent="0.25">
      <c r="B146" s="6"/>
      <c r="C146" s="6"/>
      <c r="D146" s="6"/>
      <c r="E146" s="6"/>
      <c r="F146" s="6"/>
      <c r="G146" s="6"/>
      <c r="H146" s="6"/>
      <c r="I146" s="6"/>
      <c r="J146" s="6"/>
      <c r="K146" s="6"/>
      <c r="L146" s="6"/>
      <c r="M146" s="6"/>
      <c r="N146" s="6"/>
      <c r="O146" s="6"/>
      <c r="P146" s="6"/>
      <c r="Q146" s="6"/>
      <c r="R146" s="6"/>
      <c r="S146" s="6"/>
      <c r="T146" s="6"/>
      <c r="U146" s="6"/>
      <c r="V146" s="6"/>
      <c r="W146" s="6"/>
      <c r="X146" s="6"/>
      <c r="Y146" s="6"/>
      <c r="Z146" s="6"/>
      <c r="AA146" s="6"/>
      <c r="AB146" s="6"/>
      <c r="AC146" s="6"/>
    </row>
    <row r="147" spans="2:29" ht="15" x14ac:dyDescent="0.25">
      <c r="B147" s="6"/>
      <c r="C147" s="6"/>
      <c r="D147" s="6"/>
      <c r="E147" s="6"/>
      <c r="F147" s="6"/>
      <c r="G147" s="6"/>
      <c r="H147" s="6"/>
      <c r="I147" s="6"/>
      <c r="J147" s="6"/>
      <c r="K147" s="6"/>
      <c r="L147" s="6"/>
      <c r="M147" s="6"/>
      <c r="N147" s="6"/>
      <c r="O147" s="6"/>
      <c r="P147" s="6"/>
      <c r="Q147" s="6"/>
      <c r="R147" s="6"/>
      <c r="S147" s="6"/>
      <c r="T147" s="6"/>
      <c r="U147" s="6"/>
      <c r="V147" s="6"/>
      <c r="W147" s="6"/>
      <c r="X147" s="6"/>
      <c r="Y147" s="6"/>
      <c r="Z147" s="6"/>
      <c r="AA147" s="6"/>
      <c r="AB147" s="6"/>
      <c r="AC147" s="6"/>
    </row>
    <row r="148" spans="2:29" ht="15" x14ac:dyDescent="0.25">
      <c r="B148" s="6"/>
      <c r="C148" s="6"/>
      <c r="D148" s="6"/>
      <c r="E148" s="6"/>
      <c r="F148" s="6"/>
      <c r="G148" s="6"/>
      <c r="H148" s="6"/>
      <c r="I148" s="6"/>
      <c r="J148" s="6"/>
      <c r="K148" s="6"/>
      <c r="L148" s="6"/>
      <c r="M148" s="6"/>
      <c r="N148" s="6"/>
      <c r="O148" s="6"/>
      <c r="P148" s="6"/>
      <c r="Q148" s="6"/>
      <c r="R148" s="6"/>
      <c r="S148" s="6"/>
      <c r="T148" s="6"/>
      <c r="U148" s="6"/>
      <c r="V148" s="6"/>
      <c r="W148" s="6"/>
      <c r="X148" s="6"/>
      <c r="Y148" s="6"/>
      <c r="Z148" s="6"/>
      <c r="AA148" s="6"/>
      <c r="AB148" s="6"/>
      <c r="AC148" s="6"/>
    </row>
    <row r="149" spans="2:29" ht="15" x14ac:dyDescent="0.25">
      <c r="B149" s="6"/>
      <c r="C149" s="6"/>
      <c r="D149" s="6"/>
      <c r="E149" s="6"/>
      <c r="F149" s="6"/>
      <c r="G149" s="6"/>
      <c r="H149" s="6"/>
      <c r="I149" s="6"/>
      <c r="J149" s="6"/>
      <c r="K149" s="6"/>
      <c r="L149" s="6"/>
      <c r="M149" s="6"/>
      <c r="N149" s="6"/>
      <c r="O149" s="6"/>
      <c r="P149" s="6"/>
      <c r="Q149" s="6"/>
      <c r="R149" s="6"/>
      <c r="S149" s="6"/>
      <c r="T149" s="6"/>
      <c r="U149" s="6"/>
      <c r="V149" s="6"/>
      <c r="W149" s="6"/>
      <c r="X149" s="6"/>
      <c r="Y149" s="6"/>
      <c r="Z149" s="6"/>
      <c r="AA149" s="6"/>
      <c r="AB149" s="6"/>
      <c r="AC149" s="6"/>
    </row>
    <row r="150" spans="2:29" ht="15" x14ac:dyDescent="0.25">
      <c r="B150" s="6"/>
      <c r="C150" s="6"/>
      <c r="D150" s="6"/>
      <c r="E150" s="6"/>
      <c r="F150" s="6"/>
      <c r="G150" s="6"/>
      <c r="H150" s="6"/>
      <c r="I150" s="6"/>
      <c r="J150" s="6"/>
      <c r="K150" s="6"/>
      <c r="L150" s="6"/>
      <c r="M150" s="6"/>
      <c r="N150" s="6"/>
      <c r="O150" s="6"/>
      <c r="P150" s="6"/>
      <c r="Q150" s="6"/>
      <c r="R150" s="6"/>
      <c r="S150" s="6"/>
      <c r="T150" s="6"/>
      <c r="U150" s="6"/>
      <c r="V150" s="6"/>
      <c r="W150" s="6"/>
      <c r="X150" s="6"/>
      <c r="Y150" s="6"/>
      <c r="Z150" s="6"/>
      <c r="AA150" s="6"/>
      <c r="AB150" s="6"/>
      <c r="AC150" s="6"/>
    </row>
    <row r="151" spans="2:29" ht="15" x14ac:dyDescent="0.25">
      <c r="B151" s="6"/>
      <c r="C151" s="6"/>
      <c r="D151" s="6"/>
      <c r="E151" s="6"/>
      <c r="F151" s="6"/>
      <c r="G151" s="6"/>
      <c r="H151" s="6"/>
      <c r="I151" s="6"/>
      <c r="J151" s="6"/>
      <c r="K151" s="6"/>
      <c r="L151" s="6"/>
      <c r="M151" s="6"/>
      <c r="N151" s="6"/>
      <c r="O151" s="6"/>
      <c r="P151" s="6"/>
      <c r="Q151" s="6"/>
      <c r="R151" s="6"/>
      <c r="S151" s="6"/>
      <c r="T151" s="6"/>
      <c r="U151" s="6"/>
      <c r="V151" s="6"/>
      <c r="W151" s="6"/>
      <c r="X151" s="6"/>
      <c r="Y151" s="6"/>
      <c r="Z151" s="6"/>
      <c r="AA151" s="6"/>
      <c r="AB151" s="6"/>
      <c r="AC151" s="6"/>
    </row>
    <row r="152" spans="2:29" ht="15" x14ac:dyDescent="0.25">
      <c r="B152" s="6"/>
      <c r="C152" s="6"/>
      <c r="D152" s="6"/>
      <c r="E152" s="6"/>
      <c r="F152" s="6"/>
      <c r="G152" s="6"/>
      <c r="H152" s="6"/>
      <c r="I152" s="6"/>
      <c r="J152" s="6"/>
      <c r="K152" s="6"/>
      <c r="L152" s="6"/>
      <c r="M152" s="6"/>
      <c r="N152" s="6"/>
      <c r="O152" s="6"/>
      <c r="P152" s="6"/>
      <c r="Q152" s="6"/>
      <c r="R152" s="6"/>
      <c r="S152" s="6"/>
      <c r="T152" s="6"/>
      <c r="U152" s="6"/>
      <c r="V152" s="6"/>
      <c r="W152" s="6"/>
      <c r="X152" s="6"/>
      <c r="Y152" s="6"/>
      <c r="Z152" s="6"/>
      <c r="AA152" s="6"/>
      <c r="AB152" s="6"/>
      <c r="AC152" s="6"/>
    </row>
    <row r="153" spans="2:29" ht="15" x14ac:dyDescent="0.25">
      <c r="B153" s="6"/>
      <c r="C153" s="6"/>
      <c r="D153" s="6"/>
      <c r="E153" s="6"/>
      <c r="F153" s="6"/>
      <c r="G153" s="6"/>
      <c r="H153" s="6"/>
      <c r="I153" s="6"/>
      <c r="J153" s="6"/>
      <c r="K153" s="6"/>
      <c r="L153" s="6"/>
      <c r="M153" s="6"/>
      <c r="N153" s="6"/>
      <c r="O153" s="6"/>
      <c r="P153" s="6"/>
      <c r="Q153" s="6"/>
      <c r="R153" s="6"/>
      <c r="S153" s="6"/>
      <c r="T153" s="6"/>
      <c r="U153" s="6"/>
      <c r="V153" s="6"/>
      <c r="W153" s="6"/>
      <c r="X153" s="6"/>
      <c r="Y153" s="6"/>
      <c r="Z153" s="6"/>
      <c r="AA153" s="6"/>
      <c r="AB153" s="6"/>
      <c r="AC153" s="6"/>
    </row>
    <row r="154" spans="2:29" ht="15" x14ac:dyDescent="0.25">
      <c r="B154" s="6"/>
      <c r="C154" s="6"/>
      <c r="D154" s="6"/>
      <c r="E154" s="6"/>
      <c r="F154" s="6"/>
      <c r="G154" s="6"/>
      <c r="H154" s="6"/>
      <c r="I154" s="6"/>
      <c r="J154" s="6"/>
      <c r="K154" s="6"/>
      <c r="L154" s="6"/>
      <c r="M154" s="6"/>
      <c r="N154" s="6"/>
      <c r="O154" s="6"/>
      <c r="P154" s="6"/>
      <c r="Q154" s="6"/>
      <c r="R154" s="6"/>
      <c r="S154" s="6"/>
      <c r="T154" s="6"/>
      <c r="U154" s="6"/>
      <c r="V154" s="6"/>
      <c r="W154" s="6"/>
      <c r="X154" s="6"/>
      <c r="Y154" s="6"/>
      <c r="Z154" s="6"/>
      <c r="AA154" s="6"/>
      <c r="AB154" s="6"/>
      <c r="AC154" s="6"/>
    </row>
    <row r="155" spans="2:29" ht="15" x14ac:dyDescent="0.25">
      <c r="B155" s="6"/>
      <c r="C155" s="6"/>
      <c r="D155" s="6"/>
      <c r="E155" s="6"/>
      <c r="F155" s="6"/>
      <c r="G155" s="6"/>
      <c r="H155" s="6"/>
      <c r="I155" s="6"/>
      <c r="J155" s="6"/>
      <c r="K155" s="6"/>
      <c r="L155" s="6"/>
      <c r="M155" s="6"/>
      <c r="N155" s="6"/>
      <c r="O155" s="6"/>
      <c r="P155" s="6"/>
      <c r="Q155" s="6"/>
      <c r="R155" s="6"/>
      <c r="S155" s="6"/>
      <c r="T155" s="6"/>
      <c r="U155" s="6"/>
      <c r="V155" s="6"/>
      <c r="W155" s="6"/>
      <c r="X155" s="6"/>
      <c r="Y155" s="6"/>
      <c r="Z155" s="6"/>
      <c r="AA155" s="6"/>
      <c r="AB155" s="6"/>
      <c r="AC155" s="6"/>
    </row>
    <row r="156" spans="2:29" ht="15" x14ac:dyDescent="0.25">
      <c r="B156" s="6"/>
      <c r="C156" s="6"/>
      <c r="D156" s="6"/>
      <c r="E156" s="6"/>
      <c r="F156" s="6"/>
      <c r="G156" s="6"/>
      <c r="H156" s="6"/>
      <c r="I156" s="6"/>
      <c r="J156" s="6"/>
      <c r="K156" s="6"/>
      <c r="L156" s="6"/>
      <c r="M156" s="6"/>
      <c r="N156" s="6"/>
      <c r="O156" s="6"/>
      <c r="P156" s="6"/>
      <c r="Q156" s="6"/>
      <c r="R156" s="6"/>
      <c r="S156" s="6"/>
      <c r="T156" s="6"/>
      <c r="U156" s="6"/>
      <c r="V156" s="6"/>
      <c r="W156" s="6"/>
      <c r="X156" s="6"/>
      <c r="Y156" s="6"/>
      <c r="Z156" s="6"/>
      <c r="AA156" s="6"/>
      <c r="AB156" s="6"/>
      <c r="AC156" s="6"/>
    </row>
    <row r="157" spans="2:29" ht="15" x14ac:dyDescent="0.25">
      <c r="B157" s="6"/>
      <c r="C157" s="6"/>
      <c r="D157" s="6"/>
      <c r="E157" s="6"/>
      <c r="F157" s="6"/>
      <c r="G157" s="6"/>
      <c r="H157" s="6"/>
      <c r="I157" s="6"/>
      <c r="J157" s="6"/>
      <c r="K157" s="6"/>
      <c r="L157" s="6"/>
      <c r="M157" s="6"/>
      <c r="N157" s="6"/>
      <c r="O157" s="6"/>
      <c r="P157" s="6"/>
      <c r="Q157" s="6"/>
      <c r="R157" s="6"/>
      <c r="S157" s="6"/>
      <c r="T157" s="6"/>
      <c r="U157" s="6"/>
      <c r="V157" s="6"/>
      <c r="W157" s="6"/>
      <c r="X157" s="6"/>
      <c r="Y157" s="6"/>
      <c r="Z157" s="6"/>
      <c r="AA157" s="6"/>
      <c r="AB157" s="6"/>
      <c r="AC157" s="6"/>
    </row>
    <row r="158" spans="2:29" ht="15" x14ac:dyDescent="0.25">
      <c r="B158" s="6"/>
      <c r="C158" s="6"/>
      <c r="D158" s="6"/>
      <c r="E158" s="6"/>
      <c r="F158" s="6"/>
      <c r="G158" s="6"/>
      <c r="H158" s="6"/>
      <c r="I158" s="6"/>
      <c r="J158" s="6"/>
      <c r="K158" s="6"/>
      <c r="L158" s="6"/>
      <c r="M158" s="6"/>
      <c r="N158" s="6"/>
      <c r="O158" s="6"/>
      <c r="P158" s="6"/>
      <c r="Q158" s="6"/>
      <c r="R158" s="6"/>
      <c r="S158" s="6"/>
      <c r="T158" s="6"/>
      <c r="U158" s="6"/>
      <c r="V158" s="6"/>
      <c r="W158" s="6"/>
      <c r="X158" s="6"/>
      <c r="Y158" s="6"/>
      <c r="Z158" s="6"/>
      <c r="AA158" s="6"/>
      <c r="AB158" s="6"/>
      <c r="AC158" s="6"/>
    </row>
    <row r="159" spans="2:29" ht="15" x14ac:dyDescent="0.25">
      <c r="B159" s="6"/>
      <c r="C159" s="6"/>
      <c r="D159" s="6"/>
      <c r="E159" s="6"/>
      <c r="F159" s="6"/>
      <c r="G159" s="6"/>
      <c r="H159" s="6"/>
      <c r="I159" s="6"/>
      <c r="J159" s="6"/>
      <c r="K159" s="6"/>
      <c r="L159" s="6"/>
      <c r="M159" s="6"/>
      <c r="N159" s="6"/>
      <c r="O159" s="6"/>
      <c r="P159" s="6"/>
      <c r="Q159" s="6"/>
      <c r="R159" s="6"/>
      <c r="S159" s="6"/>
      <c r="T159" s="6"/>
      <c r="U159" s="6"/>
      <c r="V159" s="6"/>
      <c r="W159" s="6"/>
      <c r="X159" s="6"/>
      <c r="Y159" s="6"/>
      <c r="Z159" s="6"/>
      <c r="AA159" s="6"/>
      <c r="AB159" s="6"/>
      <c r="AC159" s="6"/>
    </row>
    <row r="160" spans="2:29" ht="15" x14ac:dyDescent="0.25">
      <c r="B160" s="6"/>
      <c r="C160" s="6"/>
      <c r="D160" s="6"/>
      <c r="E160" s="6"/>
      <c r="F160" s="6"/>
      <c r="G160" s="6"/>
      <c r="H160" s="6"/>
      <c r="I160" s="6"/>
      <c r="J160" s="6"/>
      <c r="K160" s="6"/>
      <c r="L160" s="6"/>
      <c r="M160" s="6"/>
      <c r="N160" s="6"/>
      <c r="O160" s="6"/>
      <c r="P160" s="6"/>
      <c r="Q160" s="6"/>
      <c r="R160" s="6"/>
      <c r="S160" s="6"/>
      <c r="T160" s="6"/>
      <c r="U160" s="6"/>
      <c r="V160" s="6"/>
      <c r="W160" s="6"/>
      <c r="X160" s="6"/>
      <c r="Y160" s="6"/>
      <c r="Z160" s="6"/>
      <c r="AA160" s="6"/>
      <c r="AB160" s="6"/>
      <c r="AC160" s="6"/>
    </row>
    <row r="161" spans="2:29" ht="15" x14ac:dyDescent="0.25">
      <c r="B161" s="6"/>
      <c r="C161" s="6"/>
      <c r="D161" s="6"/>
      <c r="E161" s="6"/>
      <c r="F161" s="6"/>
      <c r="G161" s="6"/>
      <c r="H161" s="6"/>
      <c r="I161" s="6"/>
      <c r="J161" s="6"/>
      <c r="K161" s="6"/>
      <c r="L161" s="6"/>
      <c r="M161" s="6"/>
      <c r="N161" s="6"/>
      <c r="O161" s="6"/>
      <c r="P161" s="6"/>
      <c r="Q161" s="6"/>
      <c r="R161" s="6"/>
      <c r="S161" s="6"/>
      <c r="T161" s="6"/>
      <c r="U161" s="6"/>
      <c r="V161" s="6"/>
      <c r="W161" s="6"/>
      <c r="X161" s="6"/>
      <c r="Y161" s="6"/>
      <c r="Z161" s="6"/>
      <c r="AA161" s="6"/>
      <c r="AB161" s="6"/>
      <c r="AC161" s="6"/>
    </row>
    <row r="162" spans="2:29" ht="15" x14ac:dyDescent="0.25">
      <c r="B162" s="6"/>
      <c r="C162" s="6"/>
      <c r="D162" s="6"/>
      <c r="E162" s="6"/>
      <c r="F162" s="6"/>
      <c r="G162" s="6"/>
      <c r="H162" s="6"/>
      <c r="I162" s="6"/>
      <c r="J162" s="6"/>
      <c r="K162" s="6"/>
      <c r="L162" s="6"/>
      <c r="M162" s="6"/>
      <c r="N162" s="6"/>
      <c r="O162" s="6"/>
      <c r="P162" s="6"/>
      <c r="Q162" s="6"/>
      <c r="R162" s="6"/>
      <c r="S162" s="6"/>
      <c r="T162" s="6"/>
      <c r="U162" s="6"/>
      <c r="V162" s="6"/>
      <c r="W162" s="6"/>
      <c r="X162" s="6"/>
      <c r="Y162" s="6"/>
      <c r="Z162" s="6"/>
      <c r="AA162" s="6"/>
      <c r="AB162" s="6"/>
      <c r="AC162" s="6"/>
    </row>
    <row r="163" spans="2:29" ht="15" x14ac:dyDescent="0.25">
      <c r="B163" s="6"/>
      <c r="C163" s="6"/>
      <c r="D163" s="6"/>
      <c r="E163" s="6"/>
      <c r="F163" s="6"/>
      <c r="G163" s="6"/>
      <c r="H163" s="6"/>
      <c r="I163" s="6"/>
      <c r="J163" s="6"/>
      <c r="K163" s="6"/>
      <c r="L163" s="6"/>
      <c r="M163" s="6"/>
      <c r="N163" s="6"/>
      <c r="O163" s="6"/>
      <c r="P163" s="6"/>
      <c r="Q163" s="6"/>
      <c r="R163" s="6"/>
      <c r="S163" s="6"/>
      <c r="T163" s="6"/>
      <c r="U163" s="6"/>
      <c r="V163" s="6"/>
      <c r="W163" s="6"/>
      <c r="X163" s="6"/>
      <c r="Y163" s="6"/>
      <c r="Z163" s="6"/>
      <c r="AA163" s="6"/>
      <c r="AB163" s="6"/>
      <c r="AC163" s="6"/>
    </row>
    <row r="164" spans="2:29" ht="15" x14ac:dyDescent="0.25">
      <c r="B164" s="6"/>
      <c r="C164" s="6"/>
      <c r="D164" s="6"/>
      <c r="E164" s="6"/>
      <c r="F164" s="6"/>
      <c r="G164" s="6"/>
      <c r="H164" s="6"/>
      <c r="I164" s="6"/>
      <c r="J164" s="6"/>
      <c r="K164" s="6"/>
      <c r="L164" s="6"/>
      <c r="M164" s="6"/>
      <c r="N164" s="6"/>
      <c r="O164" s="6"/>
      <c r="P164" s="6"/>
      <c r="Q164" s="6"/>
      <c r="R164" s="6"/>
      <c r="S164" s="6"/>
      <c r="T164" s="6"/>
      <c r="U164" s="6"/>
      <c r="V164" s="6"/>
      <c r="W164" s="6"/>
      <c r="X164" s="6"/>
      <c r="Y164" s="6"/>
      <c r="Z164" s="6"/>
      <c r="AA164" s="6"/>
      <c r="AB164" s="6"/>
      <c r="AC164" s="6"/>
    </row>
    <row r="165" spans="2:29" ht="15" x14ac:dyDescent="0.25">
      <c r="B165" s="6"/>
      <c r="C165" s="6"/>
      <c r="D165" s="6"/>
      <c r="E165" s="6"/>
      <c r="F165" s="6"/>
      <c r="G165" s="6"/>
      <c r="H165" s="6"/>
      <c r="I165" s="6"/>
      <c r="J165" s="6"/>
      <c r="K165" s="6"/>
      <c r="L165" s="6"/>
      <c r="M165" s="6"/>
      <c r="N165" s="6"/>
      <c r="O165" s="6"/>
      <c r="P165" s="6"/>
      <c r="Q165" s="6"/>
      <c r="R165" s="6"/>
      <c r="S165" s="6"/>
      <c r="T165" s="6"/>
      <c r="U165" s="6"/>
      <c r="V165" s="6"/>
      <c r="W165" s="6"/>
      <c r="X165" s="6"/>
      <c r="Y165" s="6"/>
      <c r="Z165" s="6"/>
      <c r="AA165" s="6"/>
      <c r="AB165" s="6"/>
      <c r="AC165" s="6"/>
    </row>
    <row r="166" spans="2:29" ht="15" x14ac:dyDescent="0.25">
      <c r="B166" s="6"/>
      <c r="C166" s="6"/>
      <c r="D166" s="6"/>
      <c r="E166" s="6"/>
      <c r="F166" s="6"/>
      <c r="G166" s="6"/>
      <c r="H166" s="6"/>
      <c r="I166" s="6"/>
      <c r="J166" s="6"/>
      <c r="K166" s="6"/>
      <c r="L166" s="6"/>
      <c r="M166" s="6"/>
      <c r="N166" s="6"/>
      <c r="O166" s="6"/>
      <c r="P166" s="6"/>
      <c r="Q166" s="6"/>
      <c r="R166" s="6"/>
      <c r="S166" s="6"/>
      <c r="T166" s="6"/>
      <c r="U166" s="6"/>
      <c r="V166" s="6"/>
      <c r="W166" s="6"/>
      <c r="X166" s="6"/>
      <c r="Y166" s="6"/>
      <c r="Z166" s="6"/>
      <c r="AA166" s="6"/>
      <c r="AB166" s="6"/>
      <c r="AC166" s="6"/>
    </row>
    <row r="167" spans="2:29" ht="15" x14ac:dyDescent="0.25">
      <c r="B167" s="6"/>
      <c r="C167" s="6"/>
      <c r="D167" s="6"/>
      <c r="E167" s="6"/>
      <c r="F167" s="6"/>
      <c r="G167" s="6"/>
      <c r="H167" s="6"/>
      <c r="I167" s="6"/>
      <c r="J167" s="6"/>
      <c r="K167" s="6"/>
      <c r="L167" s="6"/>
      <c r="M167" s="6"/>
      <c r="N167" s="6"/>
      <c r="O167" s="6"/>
      <c r="P167" s="6"/>
      <c r="Q167" s="6"/>
      <c r="R167" s="6"/>
      <c r="S167" s="6"/>
      <c r="T167" s="6"/>
      <c r="U167" s="6"/>
      <c r="V167" s="6"/>
      <c r="W167" s="6"/>
      <c r="X167" s="6"/>
      <c r="Y167" s="6"/>
      <c r="Z167" s="6"/>
      <c r="AA167" s="6"/>
      <c r="AB167" s="6"/>
      <c r="AC167" s="6"/>
    </row>
    <row r="168" spans="2:29" ht="15" x14ac:dyDescent="0.25">
      <c r="B168" s="6"/>
      <c r="C168" s="6"/>
      <c r="D168" s="6"/>
      <c r="E168" s="6"/>
      <c r="F168" s="6"/>
      <c r="G168" s="6"/>
      <c r="H168" s="6"/>
      <c r="I168" s="6"/>
      <c r="J168" s="6"/>
      <c r="K168" s="6"/>
      <c r="L168" s="6"/>
      <c r="M168" s="6"/>
      <c r="N168" s="6"/>
      <c r="O168" s="6"/>
      <c r="P168" s="6"/>
      <c r="Q168" s="6"/>
      <c r="R168" s="6"/>
      <c r="S168" s="6"/>
      <c r="T168" s="6"/>
      <c r="U168" s="6"/>
      <c r="V168" s="6"/>
      <c r="W168" s="6"/>
      <c r="X168" s="6"/>
      <c r="Y168" s="6"/>
      <c r="Z168" s="6"/>
      <c r="AA168" s="6"/>
      <c r="AB168" s="6"/>
      <c r="AC168" s="6"/>
    </row>
    <row r="169" spans="2:29" ht="15" x14ac:dyDescent="0.25">
      <c r="B169" s="6"/>
      <c r="C169" s="6"/>
      <c r="D169" s="6"/>
      <c r="E169" s="6"/>
      <c r="F169" s="6"/>
      <c r="G169" s="6"/>
      <c r="H169" s="6"/>
      <c r="I169" s="6"/>
      <c r="J169" s="6"/>
      <c r="K169" s="6"/>
      <c r="L169" s="6"/>
      <c r="M169" s="6"/>
      <c r="N169" s="6"/>
      <c r="O169" s="6"/>
      <c r="P169" s="6"/>
      <c r="Q169" s="6"/>
      <c r="R169" s="6"/>
      <c r="S169" s="6"/>
      <c r="T169" s="6"/>
      <c r="U169" s="6"/>
      <c r="V169" s="6"/>
      <c r="W169" s="6"/>
      <c r="X169" s="6"/>
      <c r="Y169" s="6"/>
      <c r="Z169" s="6"/>
      <c r="AA169" s="6"/>
      <c r="AB169" s="6"/>
      <c r="AC169" s="6"/>
    </row>
    <row r="170" spans="2:29" ht="15" x14ac:dyDescent="0.25">
      <c r="B170" s="6"/>
      <c r="C170" s="6"/>
      <c r="D170" s="6"/>
      <c r="E170" s="6"/>
      <c r="F170" s="6"/>
      <c r="G170" s="6"/>
      <c r="H170" s="6"/>
      <c r="I170" s="6"/>
      <c r="J170" s="6"/>
      <c r="K170" s="6"/>
      <c r="L170" s="6"/>
      <c r="M170" s="6"/>
      <c r="N170" s="6"/>
      <c r="O170" s="6"/>
      <c r="P170" s="6"/>
      <c r="Q170" s="6"/>
      <c r="R170" s="6"/>
      <c r="S170" s="6"/>
      <c r="T170" s="6"/>
      <c r="U170" s="6"/>
      <c r="V170" s="6"/>
      <c r="W170" s="6"/>
      <c r="X170" s="6"/>
      <c r="Y170" s="6"/>
      <c r="Z170" s="6"/>
      <c r="AA170" s="6"/>
      <c r="AB170" s="6"/>
      <c r="AC170" s="6"/>
    </row>
    <row r="171" spans="2:29" ht="15" x14ac:dyDescent="0.25">
      <c r="B171" s="6"/>
      <c r="C171" s="6"/>
      <c r="D171" s="6"/>
      <c r="E171" s="6"/>
      <c r="F171" s="6"/>
      <c r="G171" s="6"/>
      <c r="H171" s="6"/>
      <c r="I171" s="6"/>
      <c r="J171" s="6"/>
      <c r="K171" s="6"/>
      <c r="L171" s="6"/>
      <c r="M171" s="6"/>
      <c r="N171" s="6"/>
      <c r="O171" s="6"/>
      <c r="P171" s="6"/>
      <c r="Q171" s="6"/>
      <c r="R171" s="6"/>
      <c r="S171" s="6"/>
      <c r="T171" s="6"/>
      <c r="U171" s="6"/>
      <c r="V171" s="6"/>
      <c r="W171" s="6"/>
      <c r="X171" s="6"/>
      <c r="Y171" s="6"/>
      <c r="Z171" s="6"/>
      <c r="AA171" s="6"/>
      <c r="AB171" s="6"/>
      <c r="AC171" s="6"/>
    </row>
    <row r="172" spans="2:29" ht="15" x14ac:dyDescent="0.25">
      <c r="B172" s="6"/>
      <c r="C172" s="6"/>
      <c r="D172" s="6"/>
      <c r="E172" s="6"/>
      <c r="F172" s="6"/>
      <c r="G172" s="6"/>
      <c r="H172" s="6"/>
      <c r="I172" s="6"/>
      <c r="J172" s="6"/>
      <c r="K172" s="6"/>
      <c r="L172" s="6"/>
      <c r="M172" s="6"/>
      <c r="N172" s="6"/>
      <c r="O172" s="6"/>
      <c r="P172" s="6"/>
      <c r="Q172" s="6"/>
      <c r="R172" s="6"/>
      <c r="S172" s="6"/>
      <c r="T172" s="6"/>
      <c r="U172" s="6"/>
      <c r="V172" s="6"/>
      <c r="W172" s="6"/>
      <c r="X172" s="6"/>
      <c r="Y172" s="6"/>
      <c r="Z172" s="6"/>
      <c r="AA172" s="6"/>
      <c r="AB172" s="6"/>
      <c r="AC172" s="6"/>
    </row>
    <row r="173" spans="2:29" ht="15" x14ac:dyDescent="0.25">
      <c r="B173" s="6"/>
      <c r="C173" s="6"/>
      <c r="D173" s="6"/>
      <c r="E173" s="6"/>
      <c r="F173" s="6"/>
      <c r="G173" s="6"/>
      <c r="H173" s="6"/>
      <c r="I173" s="6"/>
      <c r="J173" s="6"/>
      <c r="K173" s="6"/>
      <c r="L173" s="6"/>
      <c r="M173" s="6"/>
      <c r="N173" s="6"/>
      <c r="O173" s="6"/>
      <c r="P173" s="6"/>
      <c r="Q173" s="6"/>
      <c r="R173" s="6"/>
      <c r="S173" s="6"/>
      <c r="T173" s="6"/>
      <c r="U173" s="6"/>
      <c r="V173" s="6"/>
      <c r="W173" s="6"/>
      <c r="X173" s="6"/>
      <c r="Y173" s="6"/>
      <c r="Z173" s="6"/>
      <c r="AA173" s="6"/>
      <c r="AB173" s="6"/>
      <c r="AC173" s="6"/>
    </row>
    <row r="174" spans="2:29" ht="15" x14ac:dyDescent="0.25">
      <c r="B174" s="6"/>
      <c r="C174" s="6"/>
      <c r="D174" s="6"/>
      <c r="E174" s="6"/>
      <c r="F174" s="6"/>
      <c r="G174" s="6"/>
      <c r="H174" s="6"/>
      <c r="I174" s="6"/>
      <c r="J174" s="6"/>
      <c r="K174" s="6"/>
      <c r="L174" s="6"/>
      <c r="M174" s="6"/>
      <c r="N174" s="6"/>
      <c r="O174" s="6"/>
      <c r="P174" s="6"/>
      <c r="Q174" s="6"/>
      <c r="R174" s="6"/>
      <c r="S174" s="6"/>
      <c r="T174" s="6"/>
      <c r="U174" s="6"/>
      <c r="V174" s="6"/>
      <c r="W174" s="6"/>
      <c r="X174" s="6"/>
      <c r="Y174" s="6"/>
      <c r="Z174" s="6"/>
      <c r="AA174" s="6"/>
      <c r="AB174" s="6"/>
      <c r="AC174" s="6"/>
    </row>
    <row r="175" spans="2:29" ht="15" x14ac:dyDescent="0.25">
      <c r="B175" s="6"/>
      <c r="C175" s="6"/>
      <c r="D175" s="6"/>
      <c r="E175" s="6"/>
      <c r="F175" s="6"/>
      <c r="G175" s="6"/>
      <c r="H175" s="6"/>
      <c r="I175" s="6"/>
      <c r="J175" s="6"/>
      <c r="K175" s="6"/>
      <c r="L175" s="6"/>
      <c r="M175" s="6"/>
      <c r="N175" s="6"/>
      <c r="O175" s="6"/>
      <c r="P175" s="6"/>
      <c r="Q175" s="6"/>
      <c r="R175" s="6"/>
      <c r="S175" s="6"/>
      <c r="T175" s="6"/>
      <c r="U175" s="6"/>
      <c r="V175" s="6"/>
      <c r="W175" s="6"/>
      <c r="X175" s="6"/>
      <c r="Y175" s="6"/>
      <c r="Z175" s="6"/>
      <c r="AA175" s="6"/>
      <c r="AB175" s="6"/>
      <c r="AC175" s="6"/>
    </row>
    <row r="176" spans="2:29" ht="15" x14ac:dyDescent="0.25">
      <c r="B176" s="6"/>
      <c r="C176" s="6"/>
      <c r="D176" s="6"/>
      <c r="E176" s="6"/>
      <c r="F176" s="6"/>
      <c r="G176" s="6"/>
      <c r="H176" s="6"/>
      <c r="I176" s="6"/>
      <c r="J176" s="6"/>
      <c r="K176" s="6"/>
      <c r="L176" s="6"/>
      <c r="M176" s="6"/>
      <c r="N176" s="6"/>
      <c r="O176" s="6"/>
      <c r="P176" s="6"/>
      <c r="Q176" s="6"/>
      <c r="R176" s="6"/>
      <c r="S176" s="6"/>
      <c r="T176" s="6"/>
      <c r="U176" s="6"/>
      <c r="V176" s="6"/>
      <c r="W176" s="6"/>
      <c r="X176" s="6"/>
      <c r="Y176" s="6"/>
      <c r="Z176" s="6"/>
      <c r="AA176" s="6"/>
      <c r="AB176" s="6"/>
      <c r="AC176" s="6"/>
    </row>
    <row r="177" spans="2:29" ht="15" x14ac:dyDescent="0.25">
      <c r="B177" s="6"/>
      <c r="C177" s="6"/>
      <c r="D177" s="6"/>
      <c r="E177" s="6"/>
      <c r="F177" s="6"/>
      <c r="G177" s="6"/>
      <c r="H177" s="6"/>
      <c r="I177" s="6"/>
      <c r="J177" s="6"/>
      <c r="K177" s="6"/>
      <c r="L177" s="6"/>
      <c r="M177" s="6"/>
      <c r="N177" s="6"/>
      <c r="O177" s="6"/>
      <c r="P177" s="6"/>
      <c r="Q177" s="6"/>
      <c r="R177" s="6"/>
      <c r="S177" s="6"/>
      <c r="T177" s="6"/>
      <c r="U177" s="6"/>
      <c r="V177" s="6"/>
      <c r="W177" s="6"/>
      <c r="X177" s="6"/>
      <c r="Y177" s="6"/>
      <c r="Z177" s="6"/>
      <c r="AA177" s="6"/>
      <c r="AB177" s="6"/>
      <c r="AC177" s="6"/>
    </row>
    <row r="178" spans="2:29" ht="15" x14ac:dyDescent="0.25">
      <c r="B178" s="6"/>
      <c r="C178" s="6"/>
      <c r="D178" s="6"/>
      <c r="E178" s="6"/>
      <c r="F178" s="6"/>
      <c r="G178" s="6"/>
      <c r="H178" s="6"/>
      <c r="I178" s="6"/>
      <c r="J178" s="6"/>
      <c r="K178" s="6"/>
      <c r="L178" s="6"/>
      <c r="M178" s="6"/>
      <c r="N178" s="6"/>
      <c r="O178" s="6"/>
      <c r="P178" s="6"/>
      <c r="Q178" s="6"/>
      <c r="R178" s="6"/>
      <c r="S178" s="6"/>
      <c r="T178" s="6"/>
      <c r="U178" s="6"/>
      <c r="V178" s="6"/>
      <c r="W178" s="6"/>
      <c r="X178" s="6"/>
      <c r="Y178" s="6"/>
      <c r="Z178" s="6"/>
      <c r="AA178" s="6"/>
      <c r="AB178" s="6"/>
      <c r="AC178" s="6"/>
    </row>
    <row r="179" spans="2:29" ht="15" x14ac:dyDescent="0.25">
      <c r="B179" s="6"/>
      <c r="C179" s="6"/>
      <c r="D179" s="6"/>
      <c r="E179" s="6"/>
      <c r="F179" s="6"/>
      <c r="G179" s="6"/>
      <c r="H179" s="6"/>
      <c r="I179" s="6"/>
      <c r="J179" s="6"/>
      <c r="K179" s="6"/>
      <c r="L179" s="6"/>
      <c r="M179" s="6"/>
      <c r="N179" s="6"/>
      <c r="O179" s="6"/>
      <c r="P179" s="6"/>
      <c r="Q179" s="6"/>
      <c r="R179" s="6"/>
      <c r="S179" s="6"/>
      <c r="T179" s="6"/>
      <c r="U179" s="6"/>
      <c r="V179" s="6"/>
      <c r="W179" s="6"/>
      <c r="X179" s="6"/>
      <c r="Y179" s="6"/>
      <c r="Z179" s="6"/>
      <c r="AA179" s="6"/>
      <c r="AB179" s="6"/>
      <c r="AC179" s="6"/>
    </row>
    <row r="180" spans="2:29" ht="15" x14ac:dyDescent="0.25">
      <c r="B180" s="6"/>
      <c r="C180" s="6"/>
      <c r="D180" s="6"/>
      <c r="E180" s="6"/>
      <c r="F180" s="6"/>
      <c r="G180" s="6"/>
      <c r="H180" s="6"/>
      <c r="I180" s="6"/>
      <c r="J180" s="6"/>
      <c r="K180" s="6"/>
      <c r="L180" s="6"/>
      <c r="M180" s="6"/>
      <c r="N180" s="6"/>
      <c r="O180" s="6"/>
      <c r="P180" s="6"/>
      <c r="Q180" s="6"/>
      <c r="R180" s="6"/>
      <c r="S180" s="6"/>
      <c r="T180" s="6"/>
      <c r="U180" s="6"/>
      <c r="V180" s="6"/>
      <c r="W180" s="6"/>
      <c r="X180" s="6"/>
      <c r="Y180" s="6"/>
      <c r="Z180" s="6"/>
      <c r="AA180" s="6"/>
      <c r="AB180" s="6"/>
      <c r="AC180" s="6"/>
    </row>
    <row r="181" spans="2:29" ht="15" x14ac:dyDescent="0.25">
      <c r="B181" s="6"/>
      <c r="C181" s="6"/>
      <c r="D181" s="6"/>
      <c r="E181" s="6"/>
      <c r="F181" s="6"/>
      <c r="G181" s="6"/>
      <c r="H181" s="6"/>
      <c r="I181" s="6"/>
      <c r="J181" s="6"/>
      <c r="K181" s="6"/>
      <c r="L181" s="6"/>
      <c r="M181" s="6"/>
      <c r="N181" s="6"/>
      <c r="O181" s="6"/>
      <c r="P181" s="6"/>
      <c r="Q181" s="6"/>
      <c r="R181" s="6"/>
      <c r="S181" s="6"/>
      <c r="T181" s="6"/>
      <c r="U181" s="6"/>
      <c r="V181" s="6"/>
      <c r="W181" s="6"/>
      <c r="X181" s="6"/>
      <c r="Y181" s="6"/>
      <c r="Z181" s="6"/>
      <c r="AA181" s="6"/>
      <c r="AB181" s="6"/>
      <c r="AC181" s="6"/>
    </row>
  </sheetData>
  <sheetProtection algorithmName="SHA-512" hashValue="NDSG5hSTdyXDLxSDNXq1Hi6P8myBs/+fNB6wBlzd5pkpxhwPxaB/n76CYjwJbojyePtJVnpFaPFpabBYNfISeg==" saltValue="Q4OjZlFecXnONKAe+toGXw==" spinCount="100000" sheet="1" objects="1" scenarios="1" selectLockedCells="1" selectUn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8" r:id="rId3" name="Group Box 10">
              <controlPr locked="0" defaultSize="0" autoFill="0" autoPict="0">
                <anchor moveWithCells="1">
                  <from>
                    <xdr:col>21</xdr:col>
                    <xdr:colOff>447675</xdr:colOff>
                    <xdr:row>34</xdr:row>
                    <xdr:rowOff>104775</xdr:rowOff>
                  </from>
                  <to>
                    <xdr:col>27</xdr:col>
                    <xdr:colOff>200025</xdr:colOff>
                    <xdr:row>37</xdr:row>
                    <xdr:rowOff>123825</xdr:rowOff>
                  </to>
                </anchor>
              </controlPr>
            </control>
          </mc:Choice>
        </mc:AlternateContent>
        <mc:AlternateContent xmlns:mc="http://schemas.openxmlformats.org/markup-compatibility/2006">
          <mc:Choice Requires="x14">
            <control shapeId="2049" r:id="rId4" name="Group Box 1">
              <controlPr defaultSize="0" autoFill="0" autoPict="0">
                <anchor>
                  <from>
                    <xdr:col>10</xdr:col>
                    <xdr:colOff>333375</xdr:colOff>
                    <xdr:row>3</xdr:row>
                    <xdr:rowOff>38100</xdr:rowOff>
                  </from>
                  <to>
                    <xdr:col>19</xdr:col>
                    <xdr:colOff>9525</xdr:colOff>
                    <xdr:row>6</xdr:row>
                    <xdr:rowOff>95250</xdr:rowOff>
                  </to>
                </anchor>
              </controlPr>
            </control>
          </mc:Choice>
        </mc:AlternateContent>
        <mc:AlternateContent xmlns:mc="http://schemas.openxmlformats.org/markup-compatibility/2006">
          <mc:Choice Requires="x14">
            <control shapeId="2050" r:id="rId5" name="Option Button 2">
              <controlPr defaultSize="0" autoFill="0" autoLine="0" autoPict="0">
                <anchor>
                  <from>
                    <xdr:col>10</xdr:col>
                    <xdr:colOff>561975</xdr:colOff>
                    <xdr:row>4</xdr:row>
                    <xdr:rowOff>38100</xdr:rowOff>
                  </from>
                  <to>
                    <xdr:col>12</xdr:col>
                    <xdr:colOff>533400</xdr:colOff>
                    <xdr:row>5</xdr:row>
                    <xdr:rowOff>123825</xdr:rowOff>
                  </to>
                </anchor>
              </controlPr>
            </control>
          </mc:Choice>
        </mc:AlternateContent>
        <mc:AlternateContent xmlns:mc="http://schemas.openxmlformats.org/markup-compatibility/2006">
          <mc:Choice Requires="x14">
            <control shapeId="2051" r:id="rId6" name="Option Button 3">
              <controlPr defaultSize="0" autoFill="0" autoLine="0" autoPict="0">
                <anchor>
                  <from>
                    <xdr:col>13</xdr:col>
                    <xdr:colOff>190500</xdr:colOff>
                    <xdr:row>4</xdr:row>
                    <xdr:rowOff>28575</xdr:rowOff>
                  </from>
                  <to>
                    <xdr:col>15</xdr:col>
                    <xdr:colOff>190500</xdr:colOff>
                    <xdr:row>5</xdr:row>
                    <xdr:rowOff>123825</xdr:rowOff>
                  </to>
                </anchor>
              </controlPr>
            </control>
          </mc:Choice>
        </mc:AlternateContent>
        <mc:AlternateContent xmlns:mc="http://schemas.openxmlformats.org/markup-compatibility/2006">
          <mc:Choice Requires="x14">
            <control shapeId="2052" r:id="rId7" name="Option Button 4">
              <controlPr defaultSize="0" autoFill="0" autoLine="0" autoPict="0">
                <anchor>
                  <from>
                    <xdr:col>15</xdr:col>
                    <xdr:colOff>485775</xdr:colOff>
                    <xdr:row>4</xdr:row>
                    <xdr:rowOff>38100</xdr:rowOff>
                  </from>
                  <to>
                    <xdr:col>18</xdr:col>
                    <xdr:colOff>171450</xdr:colOff>
                    <xdr:row>5</xdr:row>
                    <xdr:rowOff>123825</xdr:rowOff>
                  </to>
                </anchor>
              </controlPr>
            </control>
          </mc:Choice>
        </mc:AlternateContent>
        <mc:AlternateContent xmlns:mc="http://schemas.openxmlformats.org/markup-compatibility/2006">
          <mc:Choice Requires="x14">
            <control shapeId="2060" r:id="rId8" name="Option Button 12">
              <controlPr locked="0" defaultSize="0" autoFill="0" autoLine="0" autoPict="0">
                <anchor>
                  <from>
                    <xdr:col>23</xdr:col>
                    <xdr:colOff>428625</xdr:colOff>
                    <xdr:row>35</xdr:row>
                    <xdr:rowOff>76200</xdr:rowOff>
                  </from>
                  <to>
                    <xdr:col>25</xdr:col>
                    <xdr:colOff>85725</xdr:colOff>
                    <xdr:row>36</xdr:row>
                    <xdr:rowOff>142875</xdr:rowOff>
                  </to>
                </anchor>
              </controlPr>
            </control>
          </mc:Choice>
        </mc:AlternateContent>
        <mc:AlternateContent xmlns:mc="http://schemas.openxmlformats.org/markup-compatibility/2006">
          <mc:Choice Requires="x14">
            <control shapeId="2061" r:id="rId9" name="Option Button 13">
              <controlPr locked="0" defaultSize="0" autoFill="0" autoLine="0" autoPict="0">
                <anchor>
                  <from>
                    <xdr:col>25</xdr:col>
                    <xdr:colOff>257175</xdr:colOff>
                    <xdr:row>35</xdr:row>
                    <xdr:rowOff>76200</xdr:rowOff>
                  </from>
                  <to>
                    <xdr:col>26</xdr:col>
                    <xdr:colOff>152400</xdr:colOff>
                    <xdr:row>36</xdr:row>
                    <xdr:rowOff>142875</xdr:rowOff>
                  </to>
                </anchor>
              </controlPr>
            </control>
          </mc:Choice>
        </mc:AlternateContent>
        <mc:AlternateContent xmlns:mc="http://schemas.openxmlformats.org/markup-compatibility/2006">
          <mc:Choice Requires="x14">
            <control shapeId="2059" r:id="rId10" name="Option Button 11">
              <controlPr locked="0" defaultSize="0" autoFill="0" autoLine="0" autoPict="0">
                <anchor>
                  <from>
                    <xdr:col>22</xdr:col>
                    <xdr:colOff>57150</xdr:colOff>
                    <xdr:row>35</xdr:row>
                    <xdr:rowOff>76200</xdr:rowOff>
                  </from>
                  <to>
                    <xdr:col>23</xdr:col>
                    <xdr:colOff>76200</xdr:colOff>
                    <xdr:row>36</xdr:row>
                    <xdr:rowOff>142875</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6F9DC-D9B2-491F-A705-68B65CAA30B9}">
  <sheetPr codeName="Sheet3">
    <tabColor theme="1"/>
  </sheetPr>
  <dimension ref="R4:AK23"/>
  <sheetViews>
    <sheetView showRowColHeaders="0" workbookViewId="0">
      <selection activeCell="O8" sqref="O8"/>
    </sheetView>
  </sheetViews>
  <sheetFormatPr defaultRowHeight="12.75" x14ac:dyDescent="0.2"/>
  <cols>
    <col min="1" max="16384" width="9.140625" style="2"/>
  </cols>
  <sheetData>
    <row r="4" spans="18:37" x14ac:dyDescent="0.2">
      <c r="AH4" s="216">
        <v>2</v>
      </c>
      <c r="AI4" s="11" t="s">
        <v>2</v>
      </c>
    </row>
    <row r="5" spans="18:37" x14ac:dyDescent="0.2">
      <c r="AH5" s="216">
        <v>1</v>
      </c>
      <c r="AI5" s="11" t="s">
        <v>7</v>
      </c>
    </row>
    <row r="6" spans="18:37" x14ac:dyDescent="0.2">
      <c r="AH6" s="216">
        <v>2</v>
      </c>
      <c r="AI6" s="11" t="s">
        <v>3110</v>
      </c>
      <c r="AK6" s="11"/>
    </row>
    <row r="7" spans="18:37" x14ac:dyDescent="0.2">
      <c r="AH7" s="216">
        <v>2</v>
      </c>
      <c r="AI7" s="11" t="s">
        <v>3111</v>
      </c>
      <c r="AK7" s="11"/>
    </row>
    <row r="8" spans="18:37" x14ac:dyDescent="0.2">
      <c r="AH8" s="216">
        <v>2</v>
      </c>
      <c r="AI8" s="11" t="s">
        <v>3105</v>
      </c>
    </row>
    <row r="9" spans="18:37" x14ac:dyDescent="0.2">
      <c r="AH9" s="216">
        <v>2</v>
      </c>
      <c r="AI9" s="11" t="s">
        <v>3106</v>
      </c>
    </row>
    <row r="12" spans="18:37" ht="15" x14ac:dyDescent="0.25">
      <c r="AJ12" s="16"/>
    </row>
    <row r="13" spans="18:37" ht="15" x14ac:dyDescent="0.25">
      <c r="R13" s="15" t="s">
        <v>3024</v>
      </c>
      <c r="AJ13" s="16"/>
    </row>
    <row r="14" spans="18:37" ht="15" x14ac:dyDescent="0.25">
      <c r="AJ14" s="16"/>
    </row>
    <row r="22" spans="35:35" ht="15" x14ac:dyDescent="0.25">
      <c r="AI22" s="16"/>
    </row>
    <row r="23" spans="35:35" ht="15" x14ac:dyDescent="0.25">
      <c r="AI23" s="16"/>
    </row>
  </sheetData>
  <sheetProtection algorithmName="SHA-512" hashValue="r0qBm2aqpRJ8xOSuPtHdLYJfYKTRSvCjbtgEwn0P5V5NuhMJQxnxz69MHYlRsqzlPBPuUH21p4XQAYHacl8B+w==" saltValue="S7BrIbtQtZRJFEnzvN1d3Q==" spinCount="100000" sheet="1" objects="1" scenarios="1" selectLockedCells="1" selectUn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Group Box 1">
              <controlPr defaultSize="0" autoFill="0" autoPict="0">
                <anchor moveWithCells="1">
                  <from>
                    <xdr:col>24</xdr:col>
                    <xdr:colOff>495300</xdr:colOff>
                    <xdr:row>16</xdr:row>
                    <xdr:rowOff>95250</xdr:rowOff>
                  </from>
                  <to>
                    <xdr:col>26</xdr:col>
                    <xdr:colOff>152400</xdr:colOff>
                    <xdr:row>22</xdr:row>
                    <xdr:rowOff>104775</xdr:rowOff>
                  </to>
                </anchor>
              </controlPr>
            </control>
          </mc:Choice>
        </mc:AlternateContent>
        <mc:AlternateContent xmlns:mc="http://schemas.openxmlformats.org/markup-compatibility/2006">
          <mc:Choice Requires="x14">
            <control shapeId="3083" r:id="rId4" name="Group Box 11">
              <controlPr defaultSize="0" autoFill="0" autoPict="0">
                <anchor moveWithCells="1">
                  <from>
                    <xdr:col>3</xdr:col>
                    <xdr:colOff>285750</xdr:colOff>
                    <xdr:row>16</xdr:row>
                    <xdr:rowOff>95250</xdr:rowOff>
                  </from>
                  <to>
                    <xdr:col>4</xdr:col>
                    <xdr:colOff>590550</xdr:colOff>
                    <xdr:row>22</xdr:row>
                    <xdr:rowOff>104775</xdr:rowOff>
                  </to>
                </anchor>
              </controlPr>
            </control>
          </mc:Choice>
        </mc:AlternateContent>
        <mc:AlternateContent xmlns:mc="http://schemas.openxmlformats.org/markup-compatibility/2006">
          <mc:Choice Requires="x14">
            <control shapeId="3084" r:id="rId5" name="Option Button 12">
              <controlPr defaultSize="0" autoFill="0" autoLine="0" autoPict="0">
                <anchor moveWithCells="1">
                  <from>
                    <xdr:col>3</xdr:col>
                    <xdr:colOff>342900</xdr:colOff>
                    <xdr:row>17</xdr:row>
                    <xdr:rowOff>104775</xdr:rowOff>
                  </from>
                  <to>
                    <xdr:col>4</xdr:col>
                    <xdr:colOff>485775</xdr:colOff>
                    <xdr:row>19</xdr:row>
                    <xdr:rowOff>28575</xdr:rowOff>
                  </to>
                </anchor>
              </controlPr>
            </control>
          </mc:Choice>
        </mc:AlternateContent>
        <mc:AlternateContent xmlns:mc="http://schemas.openxmlformats.org/markup-compatibility/2006">
          <mc:Choice Requires="x14">
            <control shapeId="3085" r:id="rId6" name="Option Button 13">
              <controlPr defaultSize="0" autoFill="0" autoLine="0" autoPict="0">
                <anchor moveWithCells="1">
                  <from>
                    <xdr:col>3</xdr:col>
                    <xdr:colOff>342900</xdr:colOff>
                    <xdr:row>19</xdr:row>
                    <xdr:rowOff>123825</xdr:rowOff>
                  </from>
                  <to>
                    <xdr:col>4</xdr:col>
                    <xdr:colOff>466725</xdr:colOff>
                    <xdr:row>21</xdr:row>
                    <xdr:rowOff>47625</xdr:rowOff>
                  </to>
                </anchor>
              </controlPr>
            </control>
          </mc:Choice>
        </mc:AlternateContent>
        <mc:AlternateContent xmlns:mc="http://schemas.openxmlformats.org/markup-compatibility/2006">
          <mc:Choice Requires="x14">
            <control shapeId="3075" r:id="rId7" name="Option Button 3">
              <controlPr defaultSize="0" autoFill="0" autoLine="0" autoPict="0">
                <anchor moveWithCells="1">
                  <from>
                    <xdr:col>24</xdr:col>
                    <xdr:colOff>552450</xdr:colOff>
                    <xdr:row>19</xdr:row>
                    <xdr:rowOff>123825</xdr:rowOff>
                  </from>
                  <to>
                    <xdr:col>26</xdr:col>
                    <xdr:colOff>76200</xdr:colOff>
                    <xdr:row>21</xdr:row>
                    <xdr:rowOff>47625</xdr:rowOff>
                  </to>
                </anchor>
              </controlPr>
            </control>
          </mc:Choice>
        </mc:AlternateContent>
        <mc:AlternateContent xmlns:mc="http://schemas.openxmlformats.org/markup-compatibility/2006">
          <mc:Choice Requires="x14">
            <control shapeId="3074" r:id="rId8" name="Option Button 2">
              <controlPr defaultSize="0" autoFill="0" autoLine="0" autoPict="0">
                <anchor moveWithCells="1">
                  <from>
                    <xdr:col>24</xdr:col>
                    <xdr:colOff>552450</xdr:colOff>
                    <xdr:row>17</xdr:row>
                    <xdr:rowOff>104775</xdr:rowOff>
                  </from>
                  <to>
                    <xdr:col>26</xdr:col>
                    <xdr:colOff>66675</xdr:colOff>
                    <xdr:row>19</xdr:row>
                    <xdr:rowOff>28575</xdr:rowOff>
                  </to>
                </anchor>
              </controlPr>
            </control>
          </mc:Choice>
        </mc:AlternateContent>
        <mc:AlternateContent xmlns:mc="http://schemas.openxmlformats.org/markup-compatibility/2006">
          <mc:Choice Requires="x14">
            <control shapeId="44" r:id="rId9" name="Group Box 19">
              <controlPr defaultSize="0" autoFill="0" autoPict="0">
                <anchor moveWithCells="1">
                  <from>
                    <xdr:col>8</xdr:col>
                    <xdr:colOff>600075</xdr:colOff>
                    <xdr:row>33</xdr:row>
                    <xdr:rowOff>133350</xdr:rowOff>
                  </from>
                  <to>
                    <xdr:col>12</xdr:col>
                    <xdr:colOff>104775</xdr:colOff>
                    <xdr:row>35</xdr:row>
                    <xdr:rowOff>57150</xdr:rowOff>
                  </to>
                </anchor>
              </controlPr>
            </control>
          </mc:Choice>
        </mc:AlternateContent>
        <mc:AlternateContent xmlns:mc="http://schemas.openxmlformats.org/markup-compatibility/2006">
          <mc:Choice Requires="x14">
            <control shapeId="63" r:id="rId10" name="Option Button 20">
              <controlPr defaultSize="0" autoFill="0" autoLine="0" autoPict="0">
                <anchor moveWithCells="1">
                  <from>
                    <xdr:col>9</xdr:col>
                    <xdr:colOff>66675</xdr:colOff>
                    <xdr:row>34</xdr:row>
                    <xdr:rowOff>0</xdr:rowOff>
                  </from>
                  <to>
                    <xdr:col>10</xdr:col>
                    <xdr:colOff>352425</xdr:colOff>
                    <xdr:row>35</xdr:row>
                    <xdr:rowOff>19050</xdr:rowOff>
                  </to>
                </anchor>
              </controlPr>
            </control>
          </mc:Choice>
        </mc:AlternateContent>
        <mc:AlternateContent xmlns:mc="http://schemas.openxmlformats.org/markup-compatibility/2006">
          <mc:Choice Requires="x14">
            <control shapeId="3093" r:id="rId11" name="Option Button 21">
              <controlPr defaultSize="0" autoFill="0" autoLine="0" autoPict="0">
                <anchor moveWithCells="1">
                  <from>
                    <xdr:col>10</xdr:col>
                    <xdr:colOff>381000</xdr:colOff>
                    <xdr:row>34</xdr:row>
                    <xdr:rowOff>0</xdr:rowOff>
                  </from>
                  <to>
                    <xdr:col>12</xdr:col>
                    <xdr:colOff>57150</xdr:colOff>
                    <xdr:row>35</xdr:row>
                    <xdr:rowOff>19050</xdr:rowOff>
                  </to>
                </anchor>
              </controlPr>
            </control>
          </mc:Choice>
        </mc:AlternateContent>
        <mc:AlternateContent xmlns:mc="http://schemas.openxmlformats.org/markup-compatibility/2006">
          <mc:Choice Requires="x14">
            <control shapeId="3094" r:id="rId12" name="Group Box 22">
              <controlPr defaultSize="0" autoFill="0" autoPict="0">
                <anchor moveWithCells="1">
                  <from>
                    <xdr:col>24</xdr:col>
                    <xdr:colOff>352425</xdr:colOff>
                    <xdr:row>35</xdr:row>
                    <xdr:rowOff>95250</xdr:rowOff>
                  </from>
                  <to>
                    <xdr:col>27</xdr:col>
                    <xdr:colOff>466725</xdr:colOff>
                    <xdr:row>37</xdr:row>
                    <xdr:rowOff>19050</xdr:rowOff>
                  </to>
                </anchor>
              </controlPr>
            </control>
          </mc:Choice>
        </mc:AlternateContent>
        <mc:AlternateContent xmlns:mc="http://schemas.openxmlformats.org/markup-compatibility/2006">
          <mc:Choice Requires="x14">
            <control shapeId="3095" r:id="rId13" name="Option Button 23">
              <controlPr defaultSize="0" autoFill="0" autoLine="0" autoPict="0">
                <anchor moveWithCells="1">
                  <from>
                    <xdr:col>24</xdr:col>
                    <xdr:colOff>428625</xdr:colOff>
                    <xdr:row>35</xdr:row>
                    <xdr:rowOff>123825</xdr:rowOff>
                  </from>
                  <to>
                    <xdr:col>26</xdr:col>
                    <xdr:colOff>104775</xdr:colOff>
                    <xdr:row>36</xdr:row>
                    <xdr:rowOff>142875</xdr:rowOff>
                  </to>
                </anchor>
              </controlPr>
            </control>
          </mc:Choice>
        </mc:AlternateContent>
        <mc:AlternateContent xmlns:mc="http://schemas.openxmlformats.org/markup-compatibility/2006">
          <mc:Choice Requires="x14">
            <control shapeId="3096" r:id="rId14" name="Option Button 24">
              <controlPr defaultSize="0" autoFill="0" autoLine="0" autoPict="0">
                <anchor moveWithCells="1">
                  <from>
                    <xdr:col>26</xdr:col>
                    <xdr:colOff>133350</xdr:colOff>
                    <xdr:row>35</xdr:row>
                    <xdr:rowOff>123825</xdr:rowOff>
                  </from>
                  <to>
                    <xdr:col>27</xdr:col>
                    <xdr:colOff>419100</xdr:colOff>
                    <xdr:row>36</xdr:row>
                    <xdr:rowOff>142875</xdr:rowOff>
                  </to>
                </anchor>
              </controlPr>
            </control>
          </mc:Choice>
        </mc:AlternateContent>
        <mc:AlternateContent xmlns:mc="http://schemas.openxmlformats.org/markup-compatibility/2006">
          <mc:Choice Requires="x14">
            <control shapeId="3097" r:id="rId15" name="Group Box 25">
              <controlPr defaultSize="0" autoFill="0" autoPict="0">
                <anchor moveWithCells="1">
                  <from>
                    <xdr:col>2</xdr:col>
                    <xdr:colOff>47625</xdr:colOff>
                    <xdr:row>35</xdr:row>
                    <xdr:rowOff>95250</xdr:rowOff>
                  </from>
                  <to>
                    <xdr:col>5</xdr:col>
                    <xdr:colOff>161925</xdr:colOff>
                    <xdr:row>37</xdr:row>
                    <xdr:rowOff>19050</xdr:rowOff>
                  </to>
                </anchor>
              </controlPr>
            </control>
          </mc:Choice>
        </mc:AlternateContent>
        <mc:AlternateContent xmlns:mc="http://schemas.openxmlformats.org/markup-compatibility/2006">
          <mc:Choice Requires="x14">
            <control shapeId="3098" r:id="rId16" name="Option Button 26">
              <controlPr defaultSize="0" autoFill="0" autoLine="0" autoPict="0">
                <anchor moveWithCells="1">
                  <from>
                    <xdr:col>2</xdr:col>
                    <xdr:colOff>123825</xdr:colOff>
                    <xdr:row>35</xdr:row>
                    <xdr:rowOff>123825</xdr:rowOff>
                  </from>
                  <to>
                    <xdr:col>3</xdr:col>
                    <xdr:colOff>409575</xdr:colOff>
                    <xdr:row>36</xdr:row>
                    <xdr:rowOff>142875</xdr:rowOff>
                  </to>
                </anchor>
              </controlPr>
            </control>
          </mc:Choice>
        </mc:AlternateContent>
        <mc:AlternateContent xmlns:mc="http://schemas.openxmlformats.org/markup-compatibility/2006">
          <mc:Choice Requires="x14">
            <control shapeId="3099" r:id="rId17" name="Option Button 27">
              <controlPr defaultSize="0" autoFill="0" autoLine="0" autoPict="0">
                <anchor moveWithCells="1">
                  <from>
                    <xdr:col>3</xdr:col>
                    <xdr:colOff>438150</xdr:colOff>
                    <xdr:row>35</xdr:row>
                    <xdr:rowOff>123825</xdr:rowOff>
                  </from>
                  <to>
                    <xdr:col>5</xdr:col>
                    <xdr:colOff>114300</xdr:colOff>
                    <xdr:row>36</xdr:row>
                    <xdr:rowOff>142875</xdr:rowOff>
                  </to>
                </anchor>
              </controlPr>
            </control>
          </mc:Choice>
        </mc:AlternateContent>
        <mc:AlternateContent xmlns:mc="http://schemas.openxmlformats.org/markup-compatibility/2006">
          <mc:Choice Requires="x14">
            <control shapeId="3100" r:id="rId18" name="Group Box 28">
              <controlPr defaultSize="0" autoFill="0" autoPict="0">
                <anchor moveWithCells="1">
                  <from>
                    <xdr:col>17</xdr:col>
                    <xdr:colOff>409575</xdr:colOff>
                    <xdr:row>33</xdr:row>
                    <xdr:rowOff>123825</xdr:rowOff>
                  </from>
                  <to>
                    <xdr:col>20</xdr:col>
                    <xdr:colOff>523875</xdr:colOff>
                    <xdr:row>35</xdr:row>
                    <xdr:rowOff>47625</xdr:rowOff>
                  </to>
                </anchor>
              </controlPr>
            </control>
          </mc:Choice>
        </mc:AlternateContent>
        <mc:AlternateContent xmlns:mc="http://schemas.openxmlformats.org/markup-compatibility/2006">
          <mc:Choice Requires="x14">
            <control shapeId="3141" r:id="rId19" name="Option Button 29">
              <controlPr defaultSize="0" autoFill="0" autoLine="0" autoPict="0">
                <anchor moveWithCells="1">
                  <from>
                    <xdr:col>17</xdr:col>
                    <xdr:colOff>485775</xdr:colOff>
                    <xdr:row>33</xdr:row>
                    <xdr:rowOff>152400</xdr:rowOff>
                  </from>
                  <to>
                    <xdr:col>19</xdr:col>
                    <xdr:colOff>161925</xdr:colOff>
                    <xdr:row>35</xdr:row>
                    <xdr:rowOff>9525</xdr:rowOff>
                  </to>
                </anchor>
              </controlPr>
            </control>
          </mc:Choice>
        </mc:AlternateContent>
        <mc:AlternateContent xmlns:mc="http://schemas.openxmlformats.org/markup-compatibility/2006">
          <mc:Choice Requires="x14">
            <control shapeId="3102" r:id="rId20" name="Option Button 30">
              <controlPr defaultSize="0" autoFill="0" autoLine="0" autoPict="0">
                <anchor moveWithCells="1">
                  <from>
                    <xdr:col>19</xdr:col>
                    <xdr:colOff>190500</xdr:colOff>
                    <xdr:row>33</xdr:row>
                    <xdr:rowOff>152400</xdr:rowOff>
                  </from>
                  <to>
                    <xdr:col>20</xdr:col>
                    <xdr:colOff>476250</xdr:colOff>
                    <xdr:row>35</xdr:row>
                    <xdr:rowOff>9525</xdr:rowOff>
                  </to>
                </anchor>
              </controlPr>
            </control>
          </mc:Choice>
        </mc:AlternateContent>
      </controls>
    </mc:Choice>
  </mc:AlternateContent>
  <extLst>
    <ext xmlns:x14="http://schemas.microsoft.com/office/spreadsheetml/2009/9/main" uri="{A8765BA9-456A-4dab-B4F3-ACF838C121DE}">
      <x14:slicerList>
        <x14:slicer r:id="rId21"/>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DDCB3-472A-49B0-9EF0-CDE66673229B}">
  <sheetPr codeName="Sheet4">
    <tabColor theme="1"/>
  </sheetPr>
  <dimension ref="A1:Y37"/>
  <sheetViews>
    <sheetView showGridLines="0" showRowColHeaders="0" showZeros="0" workbookViewId="0">
      <selection activeCell="A56" sqref="A56"/>
    </sheetView>
  </sheetViews>
  <sheetFormatPr defaultRowHeight="12.75" x14ac:dyDescent="0.2"/>
  <cols>
    <col min="1" max="16384" width="9.140625" style="2"/>
  </cols>
  <sheetData>
    <row r="1" spans="1:25" x14ac:dyDescent="0.2">
      <c r="A1" s="10">
        <v>7838</v>
      </c>
    </row>
    <row r="5" spans="1:25" x14ac:dyDescent="0.2">
      <c r="A5" s="9">
        <v>4</v>
      </c>
      <c r="Y5" s="7"/>
    </row>
    <row r="17" spans="1:1" x14ac:dyDescent="0.2">
      <c r="A17" s="7" t="s">
        <v>3098</v>
      </c>
    </row>
    <row r="37" spans="1:1" x14ac:dyDescent="0.2">
      <c r="A37" s="8">
        <v>1</v>
      </c>
    </row>
  </sheetData>
  <sheetProtection algorithmName="SHA-512" hashValue="4vHRMUewce9DCN7zICzZjezhWC1JG/JnqOWOevt0LCRUpd3/7kwQSE8/wfCVNPiSS9IuJLcBVGzHfqUPGVK9jQ==" saltValue="u//PVzz+qONRcT9dmH6JWw==" spinCount="100000" sheet="1" objects="1" scenarios="1" selectLockedCells="1" selectUn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9" r:id="rId3" name="Group Box 3">
              <controlPr defaultSize="0" autoFill="0" autoPict="0">
                <anchor>
                  <from>
                    <xdr:col>0</xdr:col>
                    <xdr:colOff>552450</xdr:colOff>
                    <xdr:row>8</xdr:row>
                    <xdr:rowOff>142875</xdr:rowOff>
                  </from>
                  <to>
                    <xdr:col>4</xdr:col>
                    <xdr:colOff>352425</xdr:colOff>
                    <xdr:row>20</xdr:row>
                    <xdr:rowOff>142875</xdr:rowOff>
                  </to>
                </anchor>
              </controlPr>
            </control>
          </mc:Choice>
        </mc:AlternateContent>
        <mc:AlternateContent xmlns:mc="http://schemas.openxmlformats.org/markup-compatibility/2006">
          <mc:Choice Requires="x14">
            <control shapeId="4111" r:id="rId4" name="Group Box 15">
              <controlPr defaultSize="0" autoFill="0" autoPict="0">
                <anchor>
                  <from>
                    <xdr:col>0</xdr:col>
                    <xdr:colOff>466725</xdr:colOff>
                    <xdr:row>33</xdr:row>
                    <xdr:rowOff>19050</xdr:rowOff>
                  </from>
                  <to>
                    <xdr:col>8</xdr:col>
                    <xdr:colOff>114300</xdr:colOff>
                    <xdr:row>37</xdr:row>
                    <xdr:rowOff>142875</xdr:rowOff>
                  </to>
                </anchor>
              </controlPr>
            </control>
          </mc:Choice>
        </mc:AlternateContent>
        <mc:AlternateContent xmlns:mc="http://schemas.openxmlformats.org/markup-compatibility/2006">
          <mc:Choice Requires="x14">
            <control shapeId="4100" r:id="rId5" name="Option Button 4">
              <controlPr defaultSize="0" autoFill="0" autoLine="0" autoPict="0">
                <anchor moveWithCells="1">
                  <from>
                    <xdr:col>1</xdr:col>
                    <xdr:colOff>285750</xdr:colOff>
                    <xdr:row>12</xdr:row>
                    <xdr:rowOff>95250</xdr:rowOff>
                  </from>
                  <to>
                    <xdr:col>3</xdr:col>
                    <xdr:colOff>590550</xdr:colOff>
                    <xdr:row>14</xdr:row>
                    <xdr:rowOff>28575</xdr:rowOff>
                  </to>
                </anchor>
              </controlPr>
            </control>
          </mc:Choice>
        </mc:AlternateContent>
        <mc:AlternateContent xmlns:mc="http://schemas.openxmlformats.org/markup-compatibility/2006">
          <mc:Choice Requires="x14">
            <control shapeId="4108" r:id="rId6" name="Option Button 12">
              <controlPr defaultSize="0" autoFill="0" autoLine="0" autoPict="0">
                <anchor moveWithCells="1">
                  <from>
                    <xdr:col>1</xdr:col>
                    <xdr:colOff>285750</xdr:colOff>
                    <xdr:row>14</xdr:row>
                    <xdr:rowOff>57150</xdr:rowOff>
                  </from>
                  <to>
                    <xdr:col>3</xdr:col>
                    <xdr:colOff>590550</xdr:colOff>
                    <xdr:row>15</xdr:row>
                    <xdr:rowOff>152400</xdr:rowOff>
                  </to>
                </anchor>
              </controlPr>
            </control>
          </mc:Choice>
        </mc:AlternateContent>
        <mc:AlternateContent xmlns:mc="http://schemas.openxmlformats.org/markup-compatibility/2006">
          <mc:Choice Requires="x14">
            <control shapeId="4109" r:id="rId7" name="Option Button 13">
              <controlPr defaultSize="0" autoFill="0" autoLine="0" autoPict="0">
                <anchor moveWithCells="1">
                  <from>
                    <xdr:col>1</xdr:col>
                    <xdr:colOff>285750</xdr:colOff>
                    <xdr:row>16</xdr:row>
                    <xdr:rowOff>19050</xdr:rowOff>
                  </from>
                  <to>
                    <xdr:col>3</xdr:col>
                    <xdr:colOff>590550</xdr:colOff>
                    <xdr:row>17</xdr:row>
                    <xdr:rowOff>114300</xdr:rowOff>
                  </to>
                </anchor>
              </controlPr>
            </control>
          </mc:Choice>
        </mc:AlternateContent>
        <mc:AlternateContent xmlns:mc="http://schemas.openxmlformats.org/markup-compatibility/2006">
          <mc:Choice Requires="x14">
            <control shapeId="4110" r:id="rId8" name="Option Button 14">
              <controlPr defaultSize="0" autoFill="0" autoLine="0" autoPict="0">
                <anchor moveWithCells="1">
                  <from>
                    <xdr:col>1</xdr:col>
                    <xdr:colOff>285750</xdr:colOff>
                    <xdr:row>17</xdr:row>
                    <xdr:rowOff>142875</xdr:rowOff>
                  </from>
                  <to>
                    <xdr:col>3</xdr:col>
                    <xdr:colOff>590550</xdr:colOff>
                    <xdr:row>19</xdr:row>
                    <xdr:rowOff>76200</xdr:rowOff>
                  </to>
                </anchor>
              </controlPr>
            </control>
          </mc:Choice>
        </mc:AlternateContent>
        <mc:AlternateContent xmlns:mc="http://schemas.openxmlformats.org/markup-compatibility/2006">
          <mc:Choice Requires="x14">
            <control shapeId="4112" r:id="rId9" name="Option Button 16">
              <controlPr defaultSize="0" autoFill="0" autoLine="0" autoPict="0">
                <anchor moveWithCells="1">
                  <from>
                    <xdr:col>1</xdr:col>
                    <xdr:colOff>323850</xdr:colOff>
                    <xdr:row>35</xdr:row>
                    <xdr:rowOff>9525</xdr:rowOff>
                  </from>
                  <to>
                    <xdr:col>2</xdr:col>
                    <xdr:colOff>495300</xdr:colOff>
                    <xdr:row>37</xdr:row>
                    <xdr:rowOff>47625</xdr:rowOff>
                  </to>
                </anchor>
              </controlPr>
            </control>
          </mc:Choice>
        </mc:AlternateContent>
        <mc:AlternateContent xmlns:mc="http://schemas.openxmlformats.org/markup-compatibility/2006">
          <mc:Choice Requires="x14">
            <control shapeId="4113" r:id="rId10" name="Option Button 17">
              <controlPr defaultSize="0" autoFill="0" autoLine="0" autoPict="0">
                <anchor moveWithCells="1">
                  <from>
                    <xdr:col>3</xdr:col>
                    <xdr:colOff>171450</xdr:colOff>
                    <xdr:row>35</xdr:row>
                    <xdr:rowOff>9525</xdr:rowOff>
                  </from>
                  <to>
                    <xdr:col>4</xdr:col>
                    <xdr:colOff>219075</xdr:colOff>
                    <xdr:row>37</xdr:row>
                    <xdr:rowOff>47625</xdr:rowOff>
                  </to>
                </anchor>
              </controlPr>
            </control>
          </mc:Choice>
        </mc:AlternateContent>
        <mc:AlternateContent xmlns:mc="http://schemas.openxmlformats.org/markup-compatibility/2006">
          <mc:Choice Requires="x14">
            <control shapeId="4114" r:id="rId11" name="Option Button 18">
              <controlPr defaultSize="0" autoFill="0" autoLine="0" autoPict="0">
                <anchor moveWithCells="1">
                  <from>
                    <xdr:col>4</xdr:col>
                    <xdr:colOff>400050</xdr:colOff>
                    <xdr:row>35</xdr:row>
                    <xdr:rowOff>9525</xdr:rowOff>
                  </from>
                  <to>
                    <xdr:col>5</xdr:col>
                    <xdr:colOff>581025</xdr:colOff>
                    <xdr:row>37</xdr:row>
                    <xdr:rowOff>47625</xdr:rowOff>
                  </to>
                </anchor>
              </controlPr>
            </control>
          </mc:Choice>
        </mc:AlternateContent>
        <mc:AlternateContent xmlns:mc="http://schemas.openxmlformats.org/markup-compatibility/2006">
          <mc:Choice Requires="x14">
            <control shapeId="4115" r:id="rId12" name="Option Button 19">
              <controlPr defaultSize="0" autoFill="0" autoLine="0" autoPict="0">
                <anchor moveWithCells="1">
                  <from>
                    <xdr:col>6</xdr:col>
                    <xdr:colOff>142875</xdr:colOff>
                    <xdr:row>35</xdr:row>
                    <xdr:rowOff>9525</xdr:rowOff>
                  </from>
                  <to>
                    <xdr:col>7</xdr:col>
                    <xdr:colOff>533400</xdr:colOff>
                    <xdr:row>37</xdr:row>
                    <xdr:rowOff>47625</xdr:rowOff>
                  </to>
                </anchor>
              </controlPr>
            </control>
          </mc:Choice>
        </mc:AlternateContent>
      </controls>
    </mc:Choice>
  </mc:AlternateContent>
  <extLst>
    <ext xmlns:x14="http://schemas.microsoft.com/office/spreadsheetml/2009/9/main" uri="{A8765BA9-456A-4dab-B4F3-ACF838C121DE}">
      <x14:slicerList>
        <x14:slicer r:id="rId1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6D62D-1994-4AB1-A2D0-D727A6DE9555}">
  <sheetPr codeName="Sheet6">
    <tabColor theme="2" tint="-0.249977111117893"/>
  </sheetPr>
  <dimension ref="A2:CO1032"/>
  <sheetViews>
    <sheetView showGridLines="0" workbookViewId="0"/>
  </sheetViews>
  <sheetFormatPr defaultColWidth="15.7109375" defaultRowHeight="15" x14ac:dyDescent="0.25"/>
  <cols>
    <col min="1" max="1" width="3.7109375" style="55" customWidth="1"/>
    <col min="2" max="2" width="25.7109375" style="55" customWidth="1"/>
    <col min="3" max="4" width="15.7109375" style="55" customWidth="1"/>
    <col min="5" max="5" width="18.85546875" style="55" bestFit="1" customWidth="1"/>
    <col min="6" max="6" width="25" style="55" bestFit="1" customWidth="1"/>
    <col min="7" max="7" width="35.140625" style="55" bestFit="1" customWidth="1"/>
    <col min="8" max="8" width="18.28515625" style="56" bestFit="1" customWidth="1"/>
    <col min="9" max="9" width="26.42578125" style="56" bestFit="1" customWidth="1"/>
    <col min="10" max="10" width="15" style="55" bestFit="1" customWidth="1"/>
    <col min="11" max="11" width="20.42578125" style="55" bestFit="1" customWidth="1"/>
    <col min="12" max="12" width="18.28515625" style="55" bestFit="1" customWidth="1"/>
    <col min="13" max="13" width="15.140625" style="55" bestFit="1" customWidth="1"/>
    <col min="14" max="14" width="22.42578125" style="55" bestFit="1" customWidth="1"/>
    <col min="15" max="15" width="16.140625" style="55" bestFit="1" customWidth="1"/>
    <col min="16" max="16" width="32.7109375" style="55" bestFit="1" customWidth="1"/>
    <col min="17" max="17" width="26.42578125" style="55" bestFit="1" customWidth="1"/>
    <col min="18" max="18" width="11.140625" style="57" bestFit="1" customWidth="1"/>
    <col min="19" max="19" width="35.42578125" style="57" bestFit="1" customWidth="1"/>
    <col min="20" max="20" width="13.5703125" style="57" bestFit="1" customWidth="1"/>
    <col min="21" max="21" width="21.28515625" style="57" bestFit="1" customWidth="1"/>
    <col min="22" max="22" width="12.140625" style="57" bestFit="1" customWidth="1"/>
    <col min="23" max="23" width="15.28515625" style="55" bestFit="1" customWidth="1"/>
    <col min="24" max="24" width="15.7109375" style="55" bestFit="1" customWidth="1"/>
    <col min="25" max="25" width="11.28515625" style="55" bestFit="1" customWidth="1"/>
    <col min="26" max="26" width="31.28515625" style="55" bestFit="1" customWidth="1"/>
    <col min="27" max="27" width="21.28515625" style="55" bestFit="1" customWidth="1"/>
    <col min="28" max="28" width="13.140625" style="55" bestFit="1" customWidth="1"/>
    <col min="29" max="29" width="7.140625" style="55" bestFit="1" customWidth="1"/>
    <col min="30" max="30" width="22.140625" style="57" bestFit="1" customWidth="1"/>
    <col min="31" max="31" width="22.7109375" style="55" bestFit="1" customWidth="1"/>
    <col min="32" max="32" width="19.140625" style="55" bestFit="1" customWidth="1"/>
    <col min="33" max="33" width="17.140625" style="55" bestFit="1" customWidth="1"/>
    <col min="34" max="34" width="11.7109375" style="55" bestFit="1" customWidth="1"/>
    <col min="35" max="35" width="11.140625" style="55" bestFit="1" customWidth="1"/>
    <col min="36" max="36" width="13" style="55" bestFit="1" customWidth="1"/>
    <col min="37" max="37" width="35.28515625" style="55" bestFit="1" customWidth="1"/>
    <col min="38" max="38" width="21" style="55" bestFit="1" customWidth="1"/>
    <col min="39" max="39" width="16.7109375" style="55" bestFit="1" customWidth="1"/>
    <col min="40" max="40" width="13.28515625" style="58" bestFit="1" customWidth="1"/>
    <col min="41" max="41" width="12" style="58" bestFit="1" customWidth="1"/>
    <col min="42" max="42" width="16.5703125" style="58" bestFit="1" customWidth="1"/>
    <col min="43" max="43" width="12" style="108" bestFit="1" customWidth="1"/>
    <col min="44" max="44" width="14.7109375" style="58" bestFit="1" customWidth="1"/>
    <col min="45" max="45" width="7.5703125" style="109" bestFit="1" customWidth="1"/>
    <col min="46" max="46" width="16.140625" style="109" bestFit="1" customWidth="1"/>
    <col min="47" max="47" width="35.140625" style="55" bestFit="1" customWidth="1"/>
    <col min="48" max="48" width="19.85546875" style="55" bestFit="1" customWidth="1"/>
    <col min="49" max="49" width="16.5703125" style="58" bestFit="1" customWidth="1"/>
    <col min="50" max="50" width="35.140625" style="58" bestFit="1" customWidth="1"/>
    <col min="51" max="51" width="11.5703125" style="58" bestFit="1" customWidth="1"/>
    <col min="52" max="52" width="11.140625" style="55" bestFit="1" customWidth="1"/>
    <col min="53" max="53" width="15.7109375" style="55" customWidth="1"/>
    <col min="54" max="54" width="19.5703125" style="55" bestFit="1" customWidth="1"/>
    <col min="55" max="55" width="17.140625" style="55" bestFit="1" customWidth="1"/>
    <col min="56" max="56" width="11" style="55" bestFit="1" customWidth="1"/>
    <col min="57" max="57" width="9.7109375" style="103" bestFit="1" customWidth="1"/>
    <col min="58" max="58" width="12.42578125" style="103" bestFit="1" customWidth="1"/>
    <col min="59" max="59" width="13.42578125" style="103" bestFit="1" customWidth="1"/>
    <col min="60" max="60" width="14.140625" style="103" bestFit="1" customWidth="1"/>
    <col min="61" max="62" width="14" style="103" customWidth="1"/>
    <col min="63" max="63" width="15.7109375" style="55" customWidth="1"/>
    <col min="64" max="64" width="14.140625" style="55" bestFit="1" customWidth="1"/>
    <col min="65" max="68" width="11" style="55" customWidth="1"/>
    <col min="69" max="69" width="12.5703125" style="55" bestFit="1" customWidth="1"/>
    <col min="70" max="70" width="19.85546875" style="55" bestFit="1" customWidth="1"/>
    <col min="71" max="71" width="15.7109375" style="55" customWidth="1"/>
    <col min="72" max="72" width="23" style="55" bestFit="1" customWidth="1"/>
    <col min="73" max="73" width="18.28515625" style="55" bestFit="1" customWidth="1"/>
    <col min="74" max="74" width="11" style="55" bestFit="1" customWidth="1"/>
    <col min="75" max="75" width="9.7109375" style="55" bestFit="1" customWidth="1"/>
    <col min="76" max="76" width="12.42578125" style="55" bestFit="1" customWidth="1"/>
    <col min="77" max="77" width="13.42578125" style="55" bestFit="1" customWidth="1"/>
    <col min="78" max="80" width="15.7109375" style="55" customWidth="1"/>
    <col min="81" max="81" width="27.42578125" style="55" bestFit="1" customWidth="1"/>
    <col min="82" max="82" width="11.7109375" style="55" bestFit="1" customWidth="1"/>
    <col min="83" max="83" width="11.5703125" style="55" bestFit="1" customWidth="1"/>
    <col min="84" max="84" width="14.140625" style="55" bestFit="1" customWidth="1"/>
    <col min="85" max="85" width="16.28515625" style="55" bestFit="1" customWidth="1"/>
    <col min="86" max="86" width="17.7109375" style="55" bestFit="1" customWidth="1"/>
    <col min="87" max="87" width="15.7109375" style="55" customWidth="1"/>
    <col min="88" max="88" width="77.5703125" style="55" bestFit="1" customWidth="1"/>
    <col min="89" max="89" width="8.42578125" style="270" bestFit="1" customWidth="1"/>
    <col min="90" max="90" width="9.42578125" style="55" bestFit="1" customWidth="1"/>
    <col min="91" max="91" width="83.5703125" style="55" bestFit="1" customWidth="1"/>
    <col min="92" max="92" width="14.28515625" style="56" bestFit="1" customWidth="1"/>
    <col min="93" max="376" width="15.7109375" style="55" customWidth="1"/>
    <col min="377" max="16384" width="15.7109375" style="55"/>
  </cols>
  <sheetData>
    <row r="2" spans="2:93" x14ac:dyDescent="0.25">
      <c r="AQ2" s="59" t="s">
        <v>3042</v>
      </c>
      <c r="AR2" s="60">
        <f>AR3/AS3</f>
        <v>10511.311564245809</v>
      </c>
      <c r="AS2" s="61"/>
      <c r="AT2" s="61"/>
    </row>
    <row r="3" spans="2:93" ht="15.75" thickBot="1" x14ac:dyDescent="0.3">
      <c r="B3" s="162" t="s">
        <v>3082</v>
      </c>
      <c r="U3" s="162" t="s">
        <v>3084</v>
      </c>
      <c r="AL3" s="162" t="s">
        <v>3086</v>
      </c>
      <c r="AQ3" s="59" t="s">
        <v>3054</v>
      </c>
      <c r="AR3" s="60">
        <f>SUM(AR7:AR185)</f>
        <v>1881524.7699999998</v>
      </c>
      <c r="AS3" s="61">
        <f>SUM(AS7:AS185)</f>
        <v>179</v>
      </c>
      <c r="AT3" s="61"/>
      <c r="AU3" s="62"/>
      <c r="BB3" s="162" t="s">
        <v>3097</v>
      </c>
      <c r="BI3" s="57"/>
    </row>
    <row r="4" spans="2:93" ht="15.75" thickBot="1" x14ac:dyDescent="0.3">
      <c r="B4" s="113" t="s">
        <v>3091</v>
      </c>
      <c r="C4" s="114" t="s">
        <v>3092</v>
      </c>
      <c r="D4" s="114" t="s">
        <v>3093</v>
      </c>
      <c r="E4" s="114"/>
      <c r="F4" s="114"/>
      <c r="G4" s="114"/>
      <c r="H4" s="115"/>
      <c r="I4" s="115"/>
      <c r="J4" s="114"/>
      <c r="K4" s="114"/>
      <c r="L4" s="114"/>
      <c r="M4" s="114"/>
      <c r="N4" s="114"/>
      <c r="O4" s="114"/>
      <c r="P4" s="114"/>
      <c r="Q4" s="114"/>
      <c r="R4" s="116"/>
      <c r="S4" s="117"/>
      <c r="U4" s="66" t="s">
        <v>3083</v>
      </c>
      <c r="V4" s="67"/>
      <c r="W4" s="68"/>
      <c r="X4" s="68"/>
      <c r="Y4" s="68"/>
      <c r="Z4" s="68"/>
      <c r="AA4" s="68"/>
      <c r="AB4" s="68"/>
      <c r="AC4" s="68"/>
      <c r="AD4" s="66" t="s">
        <v>3085</v>
      </c>
      <c r="AE4" s="68"/>
      <c r="AF4" s="68"/>
      <c r="AG4" s="68"/>
      <c r="AH4" s="68"/>
      <c r="AI4" s="68"/>
      <c r="AJ4" s="68"/>
      <c r="AL4" s="139" t="s">
        <v>3087</v>
      </c>
      <c r="AM4" s="140"/>
      <c r="AN4" s="141"/>
      <c r="AO4" s="141"/>
      <c r="AP4" s="141"/>
      <c r="AQ4" s="182" t="s">
        <v>3057</v>
      </c>
      <c r="AR4" s="141" t="str">
        <f>_xlfn.CONCAT($AR$5," Trend")</f>
        <v>Sales Trend</v>
      </c>
      <c r="AS4" s="183"/>
      <c r="AT4" s="184"/>
      <c r="AU4" s="139" t="s">
        <v>3088</v>
      </c>
      <c r="AV4" s="140"/>
      <c r="AW4" s="141"/>
      <c r="AX4" s="141"/>
      <c r="AY4" s="141"/>
      <c r="AZ4" s="142"/>
      <c r="BB4" s="218"/>
      <c r="BC4" s="224"/>
      <c r="BD4" s="247" t="s">
        <v>3052</v>
      </c>
      <c r="BE4" s="248"/>
      <c r="BF4" s="249"/>
      <c r="BG4" s="250"/>
      <c r="BH4" s="140" t="s">
        <v>3053</v>
      </c>
      <c r="BI4" s="140" t="str">
        <f>CHOOSE(Distribution!AH4,"Sales", "Profit")</f>
        <v>Profit</v>
      </c>
      <c r="BJ4" s="140"/>
      <c r="BK4" s="226" t="str">
        <f>_xlfn.CONCAT("Distribution of Σ ",BL5," of ","$",ROUND(BL11,0)," Over Order Priority",", where ",BQ5," are ",BQ11)</f>
        <v>Distribution of Σ Profit of $215023 Over Order Priority, where # of Orders are 1361</v>
      </c>
      <c r="BL4" s="140"/>
      <c r="BM4" s="140"/>
      <c r="BN4" s="140"/>
      <c r="BO4" s="140"/>
      <c r="BP4" s="140"/>
      <c r="BQ4" s="140"/>
      <c r="BR4" s="142"/>
      <c r="BS4" s="68"/>
      <c r="BT4" s="218"/>
      <c r="BU4" s="224"/>
      <c r="BV4" s="247" t="s">
        <v>3052</v>
      </c>
      <c r="BW4" s="248"/>
      <c r="BX4" s="249"/>
      <c r="BY4" s="250"/>
      <c r="BZ4" s="140" t="s">
        <v>3053</v>
      </c>
      <c r="CA4" s="140" t="str">
        <f>CHOOSE(Distribution!AH5,"Sales", "Profit")</f>
        <v>Sales</v>
      </c>
      <c r="CB4" s="227"/>
      <c r="CC4" s="183" t="str">
        <f>_xlfn.CONCAT("Distribution of Σ ",CC6," of $",ROUND(CH6,0)," Over Cust Segment",", where ",CC8," are ",CH8)</f>
        <v>Distribution of Σ Sales of $1881525 Over Cust Segment, where # of Orders are 1361</v>
      </c>
      <c r="CD4" s="183"/>
      <c r="CE4" s="183"/>
      <c r="CF4" s="183"/>
      <c r="CG4" s="183"/>
      <c r="CH4" s="142"/>
      <c r="CI4" s="103"/>
      <c r="CJ4" s="276" t="s">
        <v>3107</v>
      </c>
      <c r="CK4" s="277"/>
      <c r="CL4" s="295"/>
      <c r="CM4" s="278" t="s">
        <v>3053</v>
      </c>
      <c r="CN4" s="279" t="str">
        <f>CHOOSE(Distribution!AH6,"Sales", "Profit")</f>
        <v>Profit</v>
      </c>
      <c r="CO4" s="280"/>
    </row>
    <row r="5" spans="2:93" ht="15.75" thickBot="1" x14ac:dyDescent="0.3">
      <c r="B5" s="338" t="s">
        <v>9</v>
      </c>
      <c r="C5" s="328" t="s">
        <v>22</v>
      </c>
      <c r="D5" s="343" t="s">
        <v>3025</v>
      </c>
      <c r="E5" s="343" t="s">
        <v>3035</v>
      </c>
      <c r="F5" s="329" t="s">
        <v>3036</v>
      </c>
      <c r="G5" s="69" t="s">
        <v>9</v>
      </c>
      <c r="H5" s="70" t="s">
        <v>3027</v>
      </c>
      <c r="I5" s="70" t="s">
        <v>3021</v>
      </c>
      <c r="J5" s="71" t="s">
        <v>22</v>
      </c>
      <c r="K5" s="71" t="s">
        <v>3028</v>
      </c>
      <c r="L5" s="71" t="s">
        <v>3029</v>
      </c>
      <c r="M5" s="71" t="s">
        <v>3035</v>
      </c>
      <c r="N5" s="72" t="s">
        <v>3026</v>
      </c>
      <c r="O5" s="328" t="s">
        <v>22</v>
      </c>
      <c r="P5" s="329" t="s">
        <v>3030</v>
      </c>
      <c r="Q5" s="63" t="s">
        <v>3017</v>
      </c>
      <c r="R5" s="65" t="s">
        <v>3033</v>
      </c>
      <c r="S5" s="119" t="s">
        <v>3031</v>
      </c>
      <c r="U5" s="217" t="s">
        <v>15</v>
      </c>
      <c r="V5" s="218" t="s">
        <v>3049</v>
      </c>
      <c r="W5" s="219" t="s">
        <v>3040</v>
      </c>
      <c r="X5" s="219" t="s">
        <v>5</v>
      </c>
      <c r="Y5" s="220" t="s">
        <v>3041</v>
      </c>
      <c r="Z5" s="163" t="s">
        <v>3040</v>
      </c>
      <c r="AA5" s="164" t="str">
        <f t="shared" ref="AA5:AA36" si="0">U5</f>
        <v>State or Province</v>
      </c>
      <c r="AB5" s="165" t="str">
        <f>Z7</f>
        <v>Total Sales</v>
      </c>
      <c r="AC5" s="166" t="s">
        <v>3043</v>
      </c>
      <c r="AD5" s="371"/>
      <c r="AE5" s="372"/>
      <c r="AF5" s="373" t="s">
        <v>3052</v>
      </c>
      <c r="AG5" s="374"/>
      <c r="AH5" s="374"/>
      <c r="AI5" s="374"/>
      <c r="AJ5" s="375"/>
      <c r="AK5" s="73"/>
      <c r="AL5" s="218"/>
      <c r="AM5" s="224"/>
      <c r="AN5" s="389" t="s">
        <v>3052</v>
      </c>
      <c r="AO5" s="390"/>
      <c r="AP5" s="375"/>
      <c r="AQ5" s="59" t="s">
        <v>3053</v>
      </c>
      <c r="AR5" s="180" t="str">
        <f>CHOOSE(Trends!AD5,"Sales", "Profit","Sold Quantity")</f>
        <v>Sales</v>
      </c>
      <c r="AS5" s="61"/>
      <c r="AT5" s="185"/>
      <c r="AU5" s="394"/>
      <c r="AV5" s="373" t="s">
        <v>3052</v>
      </c>
      <c r="AW5" s="374"/>
      <c r="AX5" s="375"/>
      <c r="AY5" s="59" t="s">
        <v>3053</v>
      </c>
      <c r="AZ5" s="194" t="str">
        <f>CHOOSE(Trends!AC34,"Quantity","Sales", "Profit")</f>
        <v>Sales</v>
      </c>
      <c r="BB5" s="217" t="s">
        <v>7</v>
      </c>
      <c r="BC5" s="217" t="s">
        <v>2</v>
      </c>
      <c r="BD5" s="251" t="s">
        <v>22</v>
      </c>
      <c r="BE5" s="252" t="s">
        <v>20</v>
      </c>
      <c r="BF5" s="219" t="s">
        <v>3075</v>
      </c>
      <c r="BG5" s="220" t="s">
        <v>3076</v>
      </c>
      <c r="BH5" s="228" t="str">
        <f>BI4</f>
        <v>Profit</v>
      </c>
      <c r="BI5" s="229" t="s">
        <v>3076</v>
      </c>
      <c r="BJ5" s="229" t="s">
        <v>3075</v>
      </c>
      <c r="BK5" s="230" t="str">
        <f>BC5</f>
        <v>Order Priority</v>
      </c>
      <c r="BL5" s="229" t="str">
        <f>$BH$5</f>
        <v>Profit</v>
      </c>
      <c r="BM5" s="229" t="str">
        <f t="shared" ref="BM5:BP5" si="1">$BH$5</f>
        <v>Profit</v>
      </c>
      <c r="BN5" s="229" t="str">
        <f t="shared" si="1"/>
        <v>Profit</v>
      </c>
      <c r="BO5" s="229" t="str">
        <f t="shared" si="1"/>
        <v>Profit</v>
      </c>
      <c r="BP5" s="229" t="str">
        <f t="shared" si="1"/>
        <v>Profit</v>
      </c>
      <c r="BQ5" s="229" t="s">
        <v>3075</v>
      </c>
      <c r="BR5" s="231" t="s">
        <v>3074</v>
      </c>
      <c r="BS5" s="68"/>
      <c r="BT5" s="217" t="s">
        <v>2</v>
      </c>
      <c r="BU5" s="217" t="s">
        <v>3096</v>
      </c>
      <c r="BV5" s="251" t="s">
        <v>22</v>
      </c>
      <c r="BW5" s="252" t="s">
        <v>20</v>
      </c>
      <c r="BX5" s="219" t="s">
        <v>3075</v>
      </c>
      <c r="BY5" s="220" t="s">
        <v>3076</v>
      </c>
      <c r="BZ5" s="228" t="str">
        <f>CA4</f>
        <v>Sales</v>
      </c>
      <c r="CA5" s="229" t="s">
        <v>3076</v>
      </c>
      <c r="CB5" s="232" t="s">
        <v>3075</v>
      </c>
      <c r="CC5" s="230" t="str">
        <f>BU5</f>
        <v>Cust. Segment</v>
      </c>
      <c r="CD5" s="229" t="str">
        <f>IFERROR(BU6,"")</f>
        <v>Home Office</v>
      </c>
      <c r="CE5" s="229" t="str">
        <f>IFERROR(BU7,"")</f>
        <v>Consumer</v>
      </c>
      <c r="CF5" s="229" t="str">
        <f>IFERROR(BU8,"")</f>
        <v>Corporate</v>
      </c>
      <c r="CG5" s="229" t="str">
        <f>IFERROR(BU9,"")</f>
        <v>Small Business</v>
      </c>
      <c r="CH5" s="231" t="s">
        <v>3051</v>
      </c>
      <c r="CI5" s="103"/>
      <c r="CJ5" s="314" t="s">
        <v>11</v>
      </c>
      <c r="CK5" s="312" t="s">
        <v>22</v>
      </c>
      <c r="CL5" s="318" t="s">
        <v>3016</v>
      </c>
      <c r="CM5" s="274" t="s">
        <v>11</v>
      </c>
      <c r="CN5" s="275" t="str">
        <f>CN4</f>
        <v>Profit</v>
      </c>
      <c r="CO5" s="282" t="s">
        <v>3016</v>
      </c>
    </row>
    <row r="6" spans="2:93" ht="15.75" thickBot="1" x14ac:dyDescent="0.3">
      <c r="B6" s="339" t="s">
        <v>95</v>
      </c>
      <c r="C6" s="131">
        <v>82201.149999999994</v>
      </c>
      <c r="D6" s="337">
        <v>4.3688582425624935E-2</v>
      </c>
      <c r="E6" s="114">
        <v>1187</v>
      </c>
      <c r="F6" s="130">
        <v>4.7287068759461398E-2</v>
      </c>
      <c r="G6" s="74" t="s">
        <v>95</v>
      </c>
      <c r="H6" s="64">
        <v>0</v>
      </c>
      <c r="I6" s="64">
        <v>4</v>
      </c>
      <c r="J6" s="75">
        <f t="shared" ref="J6:J22" si="2">IFERROR(VLOOKUP(G6,$B$6:$D$22,2,FALSE),"0")</f>
        <v>82201.149999999994</v>
      </c>
      <c r="K6" s="110" t="str">
        <f>IFERROR(IF(J6=MAX($J$6:$J$22),J6,""),"0")</f>
        <v/>
      </c>
      <c r="L6" s="110">
        <f>IFERROR(IF(J6=MAX($J$6:$J$22),"",J6),"0")</f>
        <v>82201.149999999994</v>
      </c>
      <c r="M6" s="76">
        <f t="shared" ref="M6:M22" si="3">IFERROR(VLOOKUP(G6,$B$6:$F$22,4,FALSE),"-")</f>
        <v>1187</v>
      </c>
      <c r="N6" s="77">
        <f t="shared" ref="N6:N22" si="4">IFERROR(VLOOKUP(G6,$B$6:$F$22,5,FALSE),"-")</f>
        <v>4.7287068759461398E-2</v>
      </c>
      <c r="O6" s="326">
        <v>1881524.77</v>
      </c>
      <c r="P6" s="327">
        <v>215023.39973715009</v>
      </c>
      <c r="Q6" s="120">
        <f>GETPIVOTDATA("[Measures].[Sum of Sales]",$O$5)</f>
        <v>1881524.77</v>
      </c>
      <c r="R6" s="121">
        <v>1</v>
      </c>
      <c r="S6" s="122">
        <f>GETPIVOTDATA("[Measures].[Sum of Profit]",$O$5)/GETPIVOTDATA("[Measures].[Sum of Sales]",$O$5)</f>
        <v>0.11428146106051534</v>
      </c>
      <c r="U6" s="221" t="s">
        <v>164</v>
      </c>
      <c r="V6" s="359">
        <v>46826.45</v>
      </c>
      <c r="W6" s="183">
        <v>47890.441299999991</v>
      </c>
      <c r="X6" s="183">
        <v>355.02</v>
      </c>
      <c r="Y6" s="184">
        <v>-2418.0565999999999</v>
      </c>
      <c r="Z6" s="78" t="str">
        <f>_xlfn.CONCAT("Distribution of the ",$Z$7)</f>
        <v>Distribution of the Total Sales</v>
      </c>
      <c r="AA6" s="79" t="str">
        <f t="shared" si="0"/>
        <v>Alabama</v>
      </c>
      <c r="AB6" s="167" cm="1">
        <f t="array" ref="AB6:AB54">INDEX($V$6:$Y$54,,_xlfn.XMATCH($AB$5,$V$5:$Y$5))</f>
        <v>46826.45</v>
      </c>
      <c r="AC6" s="144">
        <f t="shared" ref="AC6:AC16" si="5">IF(AB6=0,0,1)</f>
        <v>1</v>
      </c>
      <c r="AD6" s="376" t="s">
        <v>14</v>
      </c>
      <c r="AE6" s="373" t="s">
        <v>8</v>
      </c>
      <c r="AF6" s="379" t="s">
        <v>3020</v>
      </c>
      <c r="AG6" s="380" t="s">
        <v>5</v>
      </c>
      <c r="AH6" s="380" t="s">
        <v>3</v>
      </c>
      <c r="AI6" s="380" t="s">
        <v>20</v>
      </c>
      <c r="AJ6" s="381" t="s">
        <v>22</v>
      </c>
      <c r="AK6" s="73"/>
      <c r="AL6" s="217" t="s">
        <v>3055</v>
      </c>
      <c r="AM6" s="217" t="s">
        <v>18</v>
      </c>
      <c r="AN6" s="390" t="s">
        <v>22</v>
      </c>
      <c r="AO6" s="380" t="s">
        <v>20</v>
      </c>
      <c r="AP6" s="381" t="s">
        <v>3058</v>
      </c>
      <c r="AQ6" s="59" t="s">
        <v>3056</v>
      </c>
      <c r="AR6" s="180" t="str">
        <f>AR5</f>
        <v>Sales</v>
      </c>
      <c r="AS6" s="61" t="s">
        <v>3059</v>
      </c>
      <c r="AT6" s="185" t="s">
        <v>3073</v>
      </c>
      <c r="AU6" s="394" t="s">
        <v>24</v>
      </c>
      <c r="AV6" s="379" t="s">
        <v>22</v>
      </c>
      <c r="AW6" s="380" t="s">
        <v>20</v>
      </c>
      <c r="AX6" s="381" t="s">
        <v>3016</v>
      </c>
      <c r="AY6" s="146" t="s">
        <v>24</v>
      </c>
      <c r="AZ6" s="194" t="str">
        <f>AZ5</f>
        <v>Sales</v>
      </c>
      <c r="BB6" s="221" t="s">
        <v>40</v>
      </c>
      <c r="BC6" s="253" t="s">
        <v>48</v>
      </c>
      <c r="BD6" s="254">
        <v>63290.400000000001</v>
      </c>
      <c r="BE6" s="255">
        <v>2527.2800779999957</v>
      </c>
      <c r="BF6" s="319">
        <v>59</v>
      </c>
      <c r="BG6" s="256">
        <v>42185</v>
      </c>
      <c r="BH6" s="68" cm="1">
        <f t="array" ref="BH6:BH25">IFERROR(INDEX($BD$6:$BG$25,,_xlfn.XMATCH($BI$4,$BD$5:$BG$5)),"")</f>
        <v>2527.2800779999957</v>
      </c>
      <c r="BI6" s="233" cm="1">
        <f t="array" ref="BI6:BI25">IFERROR(INDEX($BD$6:$BG$25,,_xlfn.XMATCH($BI$5,$BD$5:$BG$5)),"")</f>
        <v>42185</v>
      </c>
      <c r="BJ6" s="61" cm="1">
        <f t="array" ref="BJ6:BJ25">IFERROR(INDEX($BD$6:$BG$25,,_xlfn.XMATCH($BJ$5,$BD$5:$BG$5)),"")</f>
        <v>59</v>
      </c>
      <c r="BK6" s="78" t="str">
        <f>IFERROR(BC6,"")</f>
        <v>Low</v>
      </c>
      <c r="BL6" s="234">
        <f>IFERROR(BH6+BH11+BH16+BH21,"")</f>
        <v>34078.892534799998</v>
      </c>
      <c r="BM6" s="234">
        <f>$BL$6</f>
        <v>34078.892534799998</v>
      </c>
      <c r="BN6" s="234">
        <f t="shared" ref="BN6:BP6" si="6">$BL$6</f>
        <v>34078.892534799998</v>
      </c>
      <c r="BO6" s="234">
        <f t="shared" si="6"/>
        <v>34078.892534799998</v>
      </c>
      <c r="BP6" s="234">
        <f t="shared" si="6"/>
        <v>34078.892534799998</v>
      </c>
      <c r="BQ6" s="235">
        <f>IFERROR(BJ6+BJ11+BJ16+BJ21,"")</f>
        <v>278</v>
      </c>
      <c r="BR6" s="236">
        <f>IFERROR(MAX(BI6,BI11,BI16,BI21),"")</f>
        <v>42185</v>
      </c>
      <c r="BS6" s="68"/>
      <c r="BT6" s="221" t="s">
        <v>48</v>
      </c>
      <c r="BU6" s="221" t="s">
        <v>71</v>
      </c>
      <c r="BV6" s="254">
        <v>89371.54</v>
      </c>
      <c r="BW6" s="255">
        <v>8362.1729999999989</v>
      </c>
      <c r="BX6" s="319">
        <v>68</v>
      </c>
      <c r="BY6" s="256">
        <v>42183</v>
      </c>
      <c r="BZ6" s="68" cm="1">
        <f t="array" ref="BZ6:BZ25">IFERROR(INDEX($BV$6:$BY$25,,_xlfn.XMATCH($CA$4,$BV$5:$BY$5)),"")</f>
        <v>89371.54</v>
      </c>
      <c r="CA6" s="233" cm="1">
        <f t="array" ref="CA6:CA25">IFERROR(INDEX($BV$6:$BY$25,,_xlfn.XMATCH($CA$5,$BV$5:$BY$5)),"")</f>
        <v>42183</v>
      </c>
      <c r="CB6" s="237" cm="1">
        <f t="array" ref="CB6:CB25">IFERROR(INDEX($BV$6:$BY$25,,_xlfn.XMATCH($CB$5,$BV$5:$BY$5)),"")</f>
        <v>68</v>
      </c>
      <c r="CC6" s="68" t="str">
        <f>$CA$4</f>
        <v>Sales</v>
      </c>
      <c r="CD6" s="234">
        <f>IFERROR(BZ6+BZ10+BZ14+BZ18+BZ22,"")</f>
        <v>461345.73999999993</v>
      </c>
      <c r="CE6" s="234">
        <f>IFERROR(BZ7+BZ11+BZ15+BZ19+BZ23,"")</f>
        <v>394051.7</v>
      </c>
      <c r="CF6" s="234">
        <f>IFERROR(BZ8+BZ12+BZ16+BZ20+BZ24,"")</f>
        <v>634861.30999999994</v>
      </c>
      <c r="CG6" s="234">
        <f>IFERROR(BZ9+BZ13+BZ17+BZ21+BZ25,"")</f>
        <v>391266.02</v>
      </c>
      <c r="CH6" s="238">
        <f>CD6+CE6+CF6+CG6</f>
        <v>1881524.77</v>
      </c>
      <c r="CI6" s="103"/>
      <c r="CJ6" s="315" t="s">
        <v>652</v>
      </c>
      <c r="CK6" s="308">
        <v>69013.48</v>
      </c>
      <c r="CL6" s="297">
        <v>54</v>
      </c>
      <c r="CM6" s="55" t="str" cm="1">
        <f t="array" ref="CM6">IFERROR(_xlfn.IFS($CN$4="Sales",CJ6,$CN$4="Profit",CJ12),"")</f>
        <v>Fellowes PB500 Electric Punch Plastic Comb Binding Machine with Manual Bind</v>
      </c>
      <c r="CN6" s="284" cm="1">
        <f t="array" ref="CN6">IFERROR(_xlfn.IFS($CN$4="Sales",CK6,$CN$4="Profit",CK12),"")</f>
        <v>23865.904200000001</v>
      </c>
      <c r="CO6" s="285" cm="1">
        <f t="array" ref="CO6">IFERROR(_xlfn.IFS($CN$4="Sales",CL6,$CN$4="Profit",CL12),"")</f>
        <v>54</v>
      </c>
    </row>
    <row r="7" spans="2:93" x14ac:dyDescent="0.25">
      <c r="B7" s="340" t="s">
        <v>72</v>
      </c>
      <c r="C7" s="118">
        <v>185928.14</v>
      </c>
      <c r="D7" s="333">
        <v>9.8817800841388873E-2</v>
      </c>
      <c r="E7" s="63">
        <v>2554</v>
      </c>
      <c r="F7" s="334">
        <v>0.10174488088598518</v>
      </c>
      <c r="G7" s="74" t="s">
        <v>72</v>
      </c>
      <c r="H7" s="64">
        <v>6</v>
      </c>
      <c r="I7" s="64">
        <v>4</v>
      </c>
      <c r="J7" s="75">
        <f t="shared" si="2"/>
        <v>185928.14</v>
      </c>
      <c r="K7" s="110" t="str">
        <f t="shared" ref="K7:K22" si="7">IFERROR(IF(J7=MAX($J$6:$J$22),J7,""),"0")</f>
        <v/>
      </c>
      <c r="L7" s="110">
        <f t="shared" ref="L7:L22" si="8">IFERROR(IF(J7=MAX($J$6:$J$22),"",J7),"0")</f>
        <v>185928.14</v>
      </c>
      <c r="M7" s="76">
        <f t="shared" si="3"/>
        <v>2554</v>
      </c>
      <c r="N7" s="77">
        <f t="shared" si="4"/>
        <v>0.10174488088598518</v>
      </c>
      <c r="O7" s="63"/>
      <c r="P7" s="63"/>
      <c r="Q7" s="123">
        <f>Q6/1881524</f>
        <v>1.0000004092427204</v>
      </c>
      <c r="R7" s="65"/>
      <c r="S7" s="124"/>
      <c r="U7" s="222" t="s">
        <v>588</v>
      </c>
      <c r="V7" s="360">
        <v>14367.86</v>
      </c>
      <c r="W7" s="353">
        <v>9311.8074679999991</v>
      </c>
      <c r="X7" s="353">
        <v>470.02</v>
      </c>
      <c r="Y7" s="355">
        <v>3909.7538320000003</v>
      </c>
      <c r="Z7" s="78" t="str">
        <f>CHOOSE('Sales Map'!A5,"All other Cost", "Shipping Cost","Net Profit","Total Sales")</f>
        <v>Total Sales</v>
      </c>
      <c r="AA7" s="80" t="str">
        <f t="shared" si="0"/>
        <v>Arizona</v>
      </c>
      <c r="AB7" s="81">
        <v>14367.86</v>
      </c>
      <c r="AC7" s="144">
        <f t="shared" si="5"/>
        <v>1</v>
      </c>
      <c r="AD7" s="377" t="s">
        <v>53</v>
      </c>
      <c r="AE7" s="385" t="s">
        <v>29</v>
      </c>
      <c r="AF7" s="366">
        <v>131268.74200539998</v>
      </c>
      <c r="AG7" s="346">
        <v>3295</v>
      </c>
      <c r="AH7" s="346">
        <v>5.8499999999999943</v>
      </c>
      <c r="AI7" s="346">
        <v>6301.754294600003</v>
      </c>
      <c r="AJ7" s="347">
        <v>148455.14000000001</v>
      </c>
      <c r="AK7" s="73"/>
      <c r="AL7" s="221" t="s">
        <v>3034</v>
      </c>
      <c r="AM7" s="391">
        <v>42005</v>
      </c>
      <c r="AN7" s="345">
        <v>8666.18</v>
      </c>
      <c r="AO7" s="346">
        <v>-1531.8796999999997</v>
      </c>
      <c r="AP7" s="347">
        <v>44</v>
      </c>
      <c r="AQ7" s="59" cm="1">
        <f t="array" ref="AQ7:AQ185">INDEX(AM7:AM185,,)</f>
        <v>42005</v>
      </c>
      <c r="AR7" s="186" cm="1">
        <f t="array" ref="AR7:AR185">IFERROR(INDEX($AN$7:$AP$185,,_xlfn.XMATCH($AR$6,$AN$6:$AP$6)),"")</f>
        <v>8666.18</v>
      </c>
      <c r="AS7" s="61">
        <f>IF(AR7=0,0,1)</f>
        <v>1</v>
      </c>
      <c r="AT7" s="185">
        <f>WEEKNUM(AQ7)</f>
        <v>1</v>
      </c>
      <c r="AU7" s="395" t="s">
        <v>3012</v>
      </c>
      <c r="AV7" s="366">
        <v>441445.62</v>
      </c>
      <c r="AW7" s="346">
        <v>78645.775268599988</v>
      </c>
      <c r="AX7" s="347">
        <v>6546</v>
      </c>
      <c r="AY7" s="68" t="str" cm="1">
        <f t="array" ref="AY7:AY10">INDEX(AU7:AU10,,)</f>
        <v>Chris</v>
      </c>
      <c r="AZ7" s="181" cm="1">
        <f t="array" ref="AZ7:AZ10">IFERROR(INDEX($AV$7:$AX$10,,_xlfn.XMATCH($AZ$6,$AV$6:$AX$6)),"")</f>
        <v>441445.62</v>
      </c>
      <c r="BA7" s="73"/>
      <c r="BB7" s="222"/>
      <c r="BC7" s="257" t="s">
        <v>116</v>
      </c>
      <c r="BD7" s="258">
        <v>64628.160000000003</v>
      </c>
      <c r="BE7" s="320">
        <v>5637.9755199999981</v>
      </c>
      <c r="BF7" s="321">
        <v>54</v>
      </c>
      <c r="BG7" s="259">
        <v>42184</v>
      </c>
      <c r="BH7" s="68">
        <v>5637.9755199999981</v>
      </c>
      <c r="BI7" s="233">
        <v>42184</v>
      </c>
      <c r="BJ7" s="61">
        <v>54</v>
      </c>
      <c r="BK7" s="78" t="str">
        <f>IFERROR(BC7,"")</f>
        <v>Medium</v>
      </c>
      <c r="BL7" s="234">
        <f>IFERROR(BH7+BH12+BH17+BH22,"")</f>
        <v>42579.657761069997</v>
      </c>
      <c r="BM7" s="234">
        <f>$BL$7</f>
        <v>42579.657761069997</v>
      </c>
      <c r="BN7" s="234">
        <f t="shared" ref="BN7:BP7" si="9">$BL$7</f>
        <v>42579.657761069997</v>
      </c>
      <c r="BO7" s="234">
        <f t="shared" si="9"/>
        <v>42579.657761069997</v>
      </c>
      <c r="BP7" s="234">
        <f t="shared" si="9"/>
        <v>42579.657761069997</v>
      </c>
      <c r="BQ7" s="235">
        <f>IFERROR(BJ7+BJ12+BJ17+BJ22,"")</f>
        <v>263</v>
      </c>
      <c r="BR7" s="236">
        <f>IFERROR(MAX(BI7,BI12,BI17,BI22),"")</f>
        <v>42184</v>
      </c>
      <c r="BS7" s="68"/>
      <c r="BT7" s="222"/>
      <c r="BU7" s="267" t="s">
        <v>40</v>
      </c>
      <c r="BV7" s="258">
        <v>63290.400000000001</v>
      </c>
      <c r="BW7" s="320">
        <v>2527.2800779999957</v>
      </c>
      <c r="BX7" s="321">
        <v>59</v>
      </c>
      <c r="BY7" s="259">
        <v>42185</v>
      </c>
      <c r="BZ7" s="68">
        <v>63290.400000000001</v>
      </c>
      <c r="CA7" s="233">
        <v>42185</v>
      </c>
      <c r="CB7" s="237">
        <v>59</v>
      </c>
      <c r="CC7" s="68" t="str">
        <f>_xlfn.CONCAT("Difference from Max ",CC6)</f>
        <v>Difference from Max Sales</v>
      </c>
      <c r="CD7" s="239">
        <f>MAX($CD$6:$CG$6)-CD6+100000</f>
        <v>273515.57</v>
      </c>
      <c r="CE7" s="239">
        <f t="shared" ref="CE7:CG7" si="10">MAX($CD$6:$CG$6)-CE6+100000</f>
        <v>340809.60999999993</v>
      </c>
      <c r="CF7" s="239">
        <f t="shared" si="10"/>
        <v>100000</v>
      </c>
      <c r="CG7" s="239">
        <f t="shared" si="10"/>
        <v>343595.28999999992</v>
      </c>
      <c r="CH7" s="144"/>
      <c r="CI7" s="103"/>
      <c r="CJ7" s="316" t="s">
        <v>2296</v>
      </c>
      <c r="CK7" s="309">
        <v>50871.21</v>
      </c>
      <c r="CL7" s="296">
        <v>96</v>
      </c>
      <c r="CM7" s="55" t="str" cm="1">
        <f t="array" ref="CM7">IFERROR(_xlfn.IFS($CN$4="Sales",CJ7,$CN$4="Profit",CJ13),"")</f>
        <v>Global Troy™ Executive Leather Low-Back Tilter</v>
      </c>
      <c r="CN7" s="284" cm="1">
        <f t="array" ref="CN7">IFERROR(_xlfn.IFS($CN$4="Sales",CK7,$CN$4="Profit",CK13),"")</f>
        <v>18628.1453</v>
      </c>
      <c r="CO7" s="285" cm="1">
        <f t="array" ref="CO7">IFERROR(_xlfn.IFS($CN$4="Sales",CL7,$CN$4="Profit",CL13),"")</f>
        <v>96</v>
      </c>
    </row>
    <row r="8" spans="2:93" ht="15.75" thickBot="1" x14ac:dyDescent="0.3">
      <c r="B8" s="340" t="s">
        <v>117</v>
      </c>
      <c r="C8" s="118">
        <v>107796.09</v>
      </c>
      <c r="D8" s="333">
        <v>5.7291879287882028E-2</v>
      </c>
      <c r="E8" s="63">
        <v>536</v>
      </c>
      <c r="F8" s="334">
        <v>2.1352880248585771E-2</v>
      </c>
      <c r="G8" s="74" t="s">
        <v>117</v>
      </c>
      <c r="H8" s="64">
        <v>3</v>
      </c>
      <c r="I8" s="64">
        <v>1.25</v>
      </c>
      <c r="J8" s="75">
        <f t="shared" si="2"/>
        <v>107796.09</v>
      </c>
      <c r="K8" s="110" t="str">
        <f t="shared" si="7"/>
        <v/>
      </c>
      <c r="L8" s="110">
        <f t="shared" si="8"/>
        <v>107796.09</v>
      </c>
      <c r="M8" s="76">
        <f t="shared" si="3"/>
        <v>536</v>
      </c>
      <c r="N8" s="77">
        <f t="shared" si="4"/>
        <v>2.1352880248585771E-2</v>
      </c>
      <c r="O8" s="63"/>
      <c r="P8" s="63"/>
      <c r="Q8" s="63"/>
      <c r="R8" s="121"/>
      <c r="S8" s="119"/>
      <c r="U8" s="222" t="s">
        <v>45</v>
      </c>
      <c r="V8" s="360">
        <v>11724.43</v>
      </c>
      <c r="W8" s="353">
        <v>12100.591699999999</v>
      </c>
      <c r="X8" s="353">
        <v>194.83</v>
      </c>
      <c r="Y8" s="355">
        <v>-1184.7471999999998</v>
      </c>
      <c r="Z8" s="78"/>
      <c r="AA8" s="80" t="str">
        <f t="shared" si="0"/>
        <v>Arkansas</v>
      </c>
      <c r="AB8" s="81">
        <v>11724.43</v>
      </c>
      <c r="AC8" s="144">
        <f t="shared" si="5"/>
        <v>1</v>
      </c>
      <c r="AD8" s="383" t="s">
        <v>53</v>
      </c>
      <c r="AE8" s="386" t="s">
        <v>49</v>
      </c>
      <c r="AF8" s="382">
        <v>80084.997369999983</v>
      </c>
      <c r="AG8" s="146">
        <v>2496</v>
      </c>
      <c r="AH8" s="146">
        <v>15.109999999999983</v>
      </c>
      <c r="AI8" s="146">
        <v>28333.074329999999</v>
      </c>
      <c r="AJ8" s="147">
        <v>115119.97</v>
      </c>
      <c r="AK8" s="73"/>
      <c r="AL8" s="222"/>
      <c r="AM8" s="392">
        <v>42006</v>
      </c>
      <c r="AN8" s="348">
        <v>24319.919999999998</v>
      </c>
      <c r="AO8" s="146">
        <v>4732.3343200000018</v>
      </c>
      <c r="AP8" s="147">
        <v>217</v>
      </c>
      <c r="AQ8" s="59">
        <v>42006</v>
      </c>
      <c r="AR8" s="180">
        <v>24319.919999999998</v>
      </c>
      <c r="AS8" s="61">
        <f t="shared" ref="AS8:AS73" si="11">IF(AR8=0,0,1)</f>
        <v>1</v>
      </c>
      <c r="AT8" s="185">
        <f t="shared" ref="AT8:AT71" si="12">WEEKNUM(AQ8)</f>
        <v>1</v>
      </c>
      <c r="AU8" s="396" t="s">
        <v>3014</v>
      </c>
      <c r="AV8" s="382">
        <v>584724.18999999994</v>
      </c>
      <c r="AW8" s="146">
        <v>85577.445845999988</v>
      </c>
      <c r="AX8" s="147">
        <v>6995</v>
      </c>
      <c r="AY8" s="68" t="str">
        <v>Erin</v>
      </c>
      <c r="AZ8" s="181">
        <v>584724.18999999994</v>
      </c>
      <c r="BA8" s="82"/>
      <c r="BB8" s="222"/>
      <c r="BC8" s="257" t="s">
        <v>38</v>
      </c>
      <c r="BD8" s="258">
        <v>73873.66</v>
      </c>
      <c r="BE8" s="320">
        <v>957.54042259999983</v>
      </c>
      <c r="BF8" s="321">
        <v>64</v>
      </c>
      <c r="BG8" s="259">
        <v>42185</v>
      </c>
      <c r="BH8" s="68">
        <v>957.54042259999983</v>
      </c>
      <c r="BI8" s="233">
        <v>42185</v>
      </c>
      <c r="BJ8" s="61">
        <v>64</v>
      </c>
      <c r="BK8" s="78" t="str">
        <f>IFERROR(BC8,"")</f>
        <v>High</v>
      </c>
      <c r="BL8" s="234">
        <f>IFERROR(BH8+BH13+BH18+BH23,"")</f>
        <v>35793.009311599999</v>
      </c>
      <c r="BM8" s="234">
        <f>$BL$8</f>
        <v>35793.009311599999</v>
      </c>
      <c r="BN8" s="234">
        <f t="shared" ref="BN8:BP8" si="13">$BL$8</f>
        <v>35793.009311599999</v>
      </c>
      <c r="BO8" s="234">
        <f t="shared" si="13"/>
        <v>35793.009311599999</v>
      </c>
      <c r="BP8" s="234">
        <f t="shared" si="13"/>
        <v>35793.009311599999</v>
      </c>
      <c r="BQ8" s="235">
        <f>IFERROR(BJ8+BJ13+BJ18+BJ23,"")</f>
        <v>268</v>
      </c>
      <c r="BR8" s="236">
        <f>IFERROR(MAX(BI8,BI13,BI18,BI23),"")</f>
        <v>42185</v>
      </c>
      <c r="BS8" s="68"/>
      <c r="BT8" s="222"/>
      <c r="BU8" s="267" t="s">
        <v>94</v>
      </c>
      <c r="BV8" s="258">
        <v>115128.37</v>
      </c>
      <c r="BW8" s="320">
        <v>14952.849699999999</v>
      </c>
      <c r="BX8" s="321">
        <v>89</v>
      </c>
      <c r="BY8" s="259">
        <v>42185</v>
      </c>
      <c r="BZ8" s="68">
        <v>115128.37</v>
      </c>
      <c r="CA8" s="233">
        <v>42185</v>
      </c>
      <c r="CB8" s="237">
        <v>89</v>
      </c>
      <c r="CC8" s="68" t="s">
        <v>3075</v>
      </c>
      <c r="CD8" s="240">
        <f>IFERROR(CB6+CB10+CB14+CB18+CB22,"")</f>
        <v>334</v>
      </c>
      <c r="CE8" s="240">
        <f>IFERROR(CB7+CB11+CB15+CB19+CB23,"")</f>
        <v>294</v>
      </c>
      <c r="CF8" s="240">
        <f>IFERROR(CB8+CB12+CB16+CB20+CB24,"")</f>
        <v>470</v>
      </c>
      <c r="CG8" s="240">
        <f>IFERROR(CB9+CB13+CB17+CB21+CB25,"")</f>
        <v>263</v>
      </c>
      <c r="CH8" s="241">
        <f>SUM(CD8:CG8)</f>
        <v>1361</v>
      </c>
      <c r="CI8" s="103"/>
      <c r="CJ8" s="317" t="s">
        <v>59</v>
      </c>
      <c r="CK8" s="310">
        <v>61071.73</v>
      </c>
      <c r="CL8" s="412">
        <v>35</v>
      </c>
      <c r="CM8" s="55" t="str" cm="1">
        <f t="array" ref="CM8">IFERROR(_xlfn.IFS($CN$4="Sales",CJ8,$CN$4="Profit",CJ14),"")</f>
        <v>Lexmark 4227 Plus Dot Matrix Printer</v>
      </c>
      <c r="CN8" s="284" cm="1">
        <f t="array" ref="CN8">IFERROR(_xlfn.IFS($CN$4="Sales",CK8,$CN$4="Profit",CK14),"")</f>
        <v>3700.3742000000002</v>
      </c>
      <c r="CO8" s="285" cm="1">
        <f t="array" ref="CO8">IFERROR(_xlfn.IFS($CN$4="Sales",CL8,$CN$4="Profit",CL14),"")</f>
        <v>35</v>
      </c>
    </row>
    <row r="9" spans="2:93" ht="15.75" thickBot="1" x14ac:dyDescent="0.3">
      <c r="B9" s="340" t="s">
        <v>109</v>
      </c>
      <c r="C9" s="118">
        <v>241200.42</v>
      </c>
      <c r="D9" s="333">
        <v>0.12819412417302378</v>
      </c>
      <c r="E9" s="63">
        <v>1138</v>
      </c>
      <c r="F9" s="334">
        <v>4.5335033065094413E-2</v>
      </c>
      <c r="G9" s="74" t="s">
        <v>109</v>
      </c>
      <c r="H9" s="64">
        <v>13</v>
      </c>
      <c r="I9" s="64">
        <v>4</v>
      </c>
      <c r="J9" s="75">
        <f t="shared" si="2"/>
        <v>241200.42</v>
      </c>
      <c r="K9" s="110" t="str">
        <f t="shared" si="7"/>
        <v/>
      </c>
      <c r="L9" s="110">
        <f t="shared" si="8"/>
        <v>241200.42</v>
      </c>
      <c r="M9" s="76">
        <f t="shared" si="3"/>
        <v>1138</v>
      </c>
      <c r="N9" s="77">
        <f t="shared" si="4"/>
        <v>4.5335033065094413E-2</v>
      </c>
      <c r="O9" s="63"/>
      <c r="P9" s="63"/>
      <c r="Q9" s="63"/>
      <c r="R9" s="65"/>
      <c r="S9" s="119"/>
      <c r="U9" s="222" t="s">
        <v>90</v>
      </c>
      <c r="V9" s="360">
        <v>284805.40999999997</v>
      </c>
      <c r="W9" s="353">
        <v>230143.90850799993</v>
      </c>
      <c r="X9" s="353">
        <v>2663.33</v>
      </c>
      <c r="Y9" s="355">
        <v>36187.568192000006</v>
      </c>
      <c r="Z9" s="78"/>
      <c r="AA9" s="80" t="str">
        <f t="shared" si="0"/>
        <v>California</v>
      </c>
      <c r="AB9" s="81">
        <v>284805.40999999997</v>
      </c>
      <c r="AC9" s="144">
        <f t="shared" si="5"/>
        <v>1</v>
      </c>
      <c r="AD9" s="383" t="s">
        <v>53</v>
      </c>
      <c r="AE9" s="387" t="s">
        <v>41</v>
      </c>
      <c r="AF9" s="382">
        <v>123747.83775599999</v>
      </c>
      <c r="AG9" s="146">
        <v>1229.6600000000001</v>
      </c>
      <c r="AH9" s="146">
        <v>6.4799999999999933</v>
      </c>
      <c r="AI9" s="146">
        <v>44010.946644000011</v>
      </c>
      <c r="AJ9" s="147">
        <v>177870.51</v>
      </c>
      <c r="AK9" s="73"/>
      <c r="AL9" s="222"/>
      <c r="AM9" s="392">
        <v>42007</v>
      </c>
      <c r="AN9" s="348">
        <v>10134.42</v>
      </c>
      <c r="AO9" s="146">
        <v>-1846.3482200000001</v>
      </c>
      <c r="AP9" s="147">
        <v>158</v>
      </c>
      <c r="AQ9" s="59">
        <v>42007</v>
      </c>
      <c r="AR9" s="180">
        <v>10134.42</v>
      </c>
      <c r="AS9" s="61">
        <f t="shared" si="11"/>
        <v>1</v>
      </c>
      <c r="AT9" s="185">
        <f t="shared" si="12"/>
        <v>1</v>
      </c>
      <c r="AU9" s="396" t="s">
        <v>3011</v>
      </c>
      <c r="AV9" s="382">
        <v>341328.32</v>
      </c>
      <c r="AW9" s="146">
        <v>-17431.355779449979</v>
      </c>
      <c r="AX9" s="147">
        <v>4992</v>
      </c>
      <c r="AY9" s="68" t="str">
        <v>Sam</v>
      </c>
      <c r="AZ9" s="181">
        <v>341328.32</v>
      </c>
      <c r="BB9" s="222"/>
      <c r="BC9" s="257" t="s">
        <v>26</v>
      </c>
      <c r="BD9" s="258">
        <v>132021.04</v>
      </c>
      <c r="BE9" s="320">
        <v>23965.52246</v>
      </c>
      <c r="BF9" s="321">
        <v>56</v>
      </c>
      <c r="BG9" s="259">
        <v>42177</v>
      </c>
      <c r="BH9" s="68">
        <v>23965.52246</v>
      </c>
      <c r="BI9" s="233">
        <v>42177</v>
      </c>
      <c r="BJ9" s="61">
        <v>56</v>
      </c>
      <c r="BK9" s="78" t="str">
        <f>IFERROR(BC9,"")</f>
        <v>Critical</v>
      </c>
      <c r="BL9" s="234">
        <f>IFERROR(BH9+BH14+BH19+BH24,"")</f>
        <v>35087.324923680004</v>
      </c>
      <c r="BM9" s="234">
        <f>$BL$9</f>
        <v>35087.324923680004</v>
      </c>
      <c r="BN9" s="234">
        <f t="shared" ref="BN9:BP9" si="14">$BL$9</f>
        <v>35087.324923680004</v>
      </c>
      <c r="BO9" s="234">
        <f t="shared" si="14"/>
        <v>35087.324923680004</v>
      </c>
      <c r="BP9" s="234">
        <f t="shared" si="14"/>
        <v>35087.324923680004</v>
      </c>
      <c r="BQ9" s="235">
        <f>IFERROR(BJ9+BJ14+BJ19+BJ24,"")</f>
        <v>275</v>
      </c>
      <c r="BR9" s="236">
        <f>IFERROR(MAX(BI9,BI14,BI19,BI24),"")</f>
        <v>42183</v>
      </c>
      <c r="BS9" s="68"/>
      <c r="BT9" s="222"/>
      <c r="BU9" s="268" t="s">
        <v>28</v>
      </c>
      <c r="BV9" s="258">
        <v>102908.14</v>
      </c>
      <c r="BW9" s="320">
        <v>8236.5897568000019</v>
      </c>
      <c r="BX9" s="321">
        <v>62</v>
      </c>
      <c r="BY9" s="259">
        <v>42185</v>
      </c>
      <c r="BZ9" s="68">
        <v>102908.14</v>
      </c>
      <c r="CA9" s="233">
        <v>42185</v>
      </c>
      <c r="CB9" s="237">
        <v>62</v>
      </c>
      <c r="CC9" s="68"/>
      <c r="CD9" s="68"/>
      <c r="CE9" s="68"/>
      <c r="CF9" s="68"/>
      <c r="CG9" s="68"/>
      <c r="CH9" s="144"/>
      <c r="CI9" s="103"/>
      <c r="CJ9" s="286"/>
      <c r="CK9" s="271"/>
      <c r="CL9" s="296"/>
      <c r="CO9" s="287"/>
    </row>
    <row r="10" spans="2:93" ht="15.75" thickBot="1" x14ac:dyDescent="0.3">
      <c r="B10" s="340" t="s">
        <v>42</v>
      </c>
      <c r="C10" s="118">
        <v>96261.3</v>
      </c>
      <c r="D10" s="333">
        <v>5.1161324865258088E-2</v>
      </c>
      <c r="E10" s="63">
        <v>2481</v>
      </c>
      <c r="F10" s="334">
        <v>9.8836746076009882E-2</v>
      </c>
      <c r="G10" s="74" t="s">
        <v>42</v>
      </c>
      <c r="H10" s="64">
        <v>19</v>
      </c>
      <c r="I10" s="64">
        <v>3</v>
      </c>
      <c r="J10" s="75">
        <f t="shared" si="2"/>
        <v>96261.3</v>
      </c>
      <c r="K10" s="110" t="str">
        <f t="shared" si="7"/>
        <v/>
      </c>
      <c r="L10" s="110">
        <f t="shared" si="8"/>
        <v>96261.3</v>
      </c>
      <c r="M10" s="76">
        <f t="shared" si="3"/>
        <v>2481</v>
      </c>
      <c r="N10" s="77">
        <f t="shared" si="4"/>
        <v>9.8836746076009882E-2</v>
      </c>
      <c r="O10" s="63"/>
      <c r="P10" s="63"/>
      <c r="Q10" s="63"/>
      <c r="R10" s="65"/>
      <c r="S10" s="119"/>
      <c r="U10" s="222" t="s">
        <v>61</v>
      </c>
      <c r="V10" s="360">
        <v>45843.45</v>
      </c>
      <c r="W10" s="353">
        <v>36998.436740000012</v>
      </c>
      <c r="X10" s="353">
        <v>629.29999999999995</v>
      </c>
      <c r="Y10" s="355">
        <v>6965.4626600000001</v>
      </c>
      <c r="Z10" s="78"/>
      <c r="AA10" s="158" t="str">
        <f t="shared" si="0"/>
        <v>Colorado</v>
      </c>
      <c r="AB10" s="168">
        <v>45843.45</v>
      </c>
      <c r="AC10" s="144">
        <f t="shared" si="5"/>
        <v>1</v>
      </c>
      <c r="AD10" s="378" t="s">
        <v>111</v>
      </c>
      <c r="AE10" s="385" t="s">
        <v>29</v>
      </c>
      <c r="AF10" s="364">
        <v>178464.49809199994</v>
      </c>
      <c r="AG10" s="365">
        <v>3275.32</v>
      </c>
      <c r="AH10" s="365">
        <v>4.7399999999999949</v>
      </c>
      <c r="AI10" s="365">
        <v>-923.6501919999962</v>
      </c>
      <c r="AJ10" s="367">
        <v>189677.38</v>
      </c>
      <c r="AK10" s="73"/>
      <c r="AL10" s="222"/>
      <c r="AM10" s="392">
        <v>42008</v>
      </c>
      <c r="AN10" s="348">
        <v>5470.58</v>
      </c>
      <c r="AO10" s="146">
        <v>516.22190000000012</v>
      </c>
      <c r="AP10" s="147">
        <v>40</v>
      </c>
      <c r="AQ10" s="59">
        <v>42008</v>
      </c>
      <c r="AR10" s="180">
        <v>5470.58</v>
      </c>
      <c r="AS10" s="61">
        <f t="shared" si="11"/>
        <v>1</v>
      </c>
      <c r="AT10" s="185">
        <f t="shared" si="12"/>
        <v>2</v>
      </c>
      <c r="AU10" s="397" t="s">
        <v>3013</v>
      </c>
      <c r="AV10" s="388">
        <v>514026.64</v>
      </c>
      <c r="AW10" s="149">
        <v>68231.53440199999</v>
      </c>
      <c r="AX10" s="150">
        <v>6569</v>
      </c>
      <c r="AY10" s="175" t="str">
        <v>William</v>
      </c>
      <c r="AZ10" s="195">
        <v>514026.64</v>
      </c>
      <c r="BB10" s="222"/>
      <c r="BC10" s="260" t="s">
        <v>3094</v>
      </c>
      <c r="BD10" s="258">
        <v>60238.44</v>
      </c>
      <c r="BE10" s="320">
        <v>13436.388891999999</v>
      </c>
      <c r="BF10" s="321">
        <v>61</v>
      </c>
      <c r="BG10" s="259">
        <v>42185</v>
      </c>
      <c r="BH10" s="68">
        <v>13436.388891999999</v>
      </c>
      <c r="BI10" s="233">
        <v>42185</v>
      </c>
      <c r="BJ10" s="61">
        <v>61</v>
      </c>
      <c r="BK10" s="78" t="str">
        <f>IFERROR(BC10,"")</f>
        <v>N/A</v>
      </c>
      <c r="BL10" s="234">
        <f>IFERROR(BH10+BH15+BH20+BH25,"")</f>
        <v>67484.515206000011</v>
      </c>
      <c r="BM10" s="234">
        <f>$BL$10</f>
        <v>67484.515206000011</v>
      </c>
      <c r="BN10" s="234">
        <f t="shared" ref="BN10:BP10" si="15">$BL$10</f>
        <v>67484.515206000011</v>
      </c>
      <c r="BO10" s="234">
        <f t="shared" si="15"/>
        <v>67484.515206000011</v>
      </c>
      <c r="BP10" s="234">
        <f t="shared" si="15"/>
        <v>67484.515206000011</v>
      </c>
      <c r="BQ10" s="235">
        <f>IFERROR(BJ10+BJ15+BJ20+BJ25,"")</f>
        <v>277</v>
      </c>
      <c r="BR10" s="236">
        <f>IFERROR(MAX(BI10,BI15,BI20,BI25),"")</f>
        <v>42185</v>
      </c>
      <c r="BS10" s="68"/>
      <c r="BT10" s="225" t="s">
        <v>116</v>
      </c>
      <c r="BU10" s="221" t="s">
        <v>71</v>
      </c>
      <c r="BV10" s="261">
        <v>92000.75</v>
      </c>
      <c r="BW10" s="262">
        <v>4680.4503269200004</v>
      </c>
      <c r="BX10" s="322">
        <v>73</v>
      </c>
      <c r="BY10" s="263">
        <v>42172</v>
      </c>
      <c r="BZ10" s="68">
        <v>92000.75</v>
      </c>
      <c r="CA10" s="233">
        <v>42172</v>
      </c>
      <c r="CB10" s="237">
        <v>73</v>
      </c>
      <c r="CC10" s="68"/>
      <c r="CD10" s="68"/>
      <c r="CE10" s="68"/>
      <c r="CF10" s="68"/>
      <c r="CG10" s="68"/>
      <c r="CH10" s="144"/>
      <c r="CI10" s="103"/>
      <c r="CJ10" s="288" t="s">
        <v>3108</v>
      </c>
      <c r="CK10" s="281"/>
      <c r="CL10" s="296"/>
      <c r="CO10" s="287"/>
    </row>
    <row r="11" spans="2:93" ht="15.75" thickBot="1" x14ac:dyDescent="0.3">
      <c r="B11" s="340" t="s">
        <v>64</v>
      </c>
      <c r="C11" s="118">
        <v>99069.48</v>
      </c>
      <c r="D11" s="333">
        <v>5.2653827140420793E-2</v>
      </c>
      <c r="E11" s="63">
        <v>181</v>
      </c>
      <c r="F11" s="334">
        <v>7.2105808302127322E-3</v>
      </c>
      <c r="G11" s="74" t="s">
        <v>64</v>
      </c>
      <c r="H11" s="64">
        <v>20</v>
      </c>
      <c r="I11" s="64">
        <v>7</v>
      </c>
      <c r="J11" s="75">
        <f t="shared" si="2"/>
        <v>99069.48</v>
      </c>
      <c r="K11" s="110" t="str">
        <f t="shared" si="7"/>
        <v/>
      </c>
      <c r="L11" s="110">
        <f t="shared" si="8"/>
        <v>99069.48</v>
      </c>
      <c r="M11" s="76">
        <f t="shared" si="3"/>
        <v>181</v>
      </c>
      <c r="N11" s="77">
        <f t="shared" si="4"/>
        <v>7.2105808302127322E-3</v>
      </c>
      <c r="O11" s="63"/>
      <c r="P11" s="63"/>
      <c r="Q11" s="63"/>
      <c r="R11" s="65"/>
      <c r="S11" s="119"/>
      <c r="U11" s="222" t="s">
        <v>248</v>
      </c>
      <c r="V11" s="360">
        <v>6540.54</v>
      </c>
      <c r="W11" s="353">
        <v>6419.3464000000004</v>
      </c>
      <c r="X11" s="353">
        <v>232.22</v>
      </c>
      <c r="Y11" s="355">
        <v>-529.10630000000003</v>
      </c>
      <c r="Z11" s="78"/>
      <c r="AA11" s="158" t="str">
        <f t="shared" si="0"/>
        <v>Connecticut</v>
      </c>
      <c r="AB11" s="168">
        <v>6540.54</v>
      </c>
      <c r="AC11" s="144">
        <f t="shared" si="5"/>
        <v>1</v>
      </c>
      <c r="AD11" s="383" t="s">
        <v>111</v>
      </c>
      <c r="AE11" s="386" t="s">
        <v>49</v>
      </c>
      <c r="AF11" s="382">
        <v>147891.75536999988</v>
      </c>
      <c r="AG11" s="146">
        <v>2138.65</v>
      </c>
      <c r="AH11" s="146">
        <v>13.469999999999972</v>
      </c>
      <c r="AI11" s="146">
        <v>51854.281129999996</v>
      </c>
      <c r="AJ11" s="147">
        <v>210991.5</v>
      </c>
      <c r="AK11" s="73"/>
      <c r="AL11" s="222"/>
      <c r="AM11" s="392">
        <v>42009</v>
      </c>
      <c r="AN11" s="348">
        <v>20160.509999999998</v>
      </c>
      <c r="AO11" s="146">
        <v>85.877311999999989</v>
      </c>
      <c r="AP11" s="147">
        <v>156</v>
      </c>
      <c r="AQ11" s="59">
        <v>42009</v>
      </c>
      <c r="AR11" s="180">
        <v>20160.509999999998</v>
      </c>
      <c r="AS11" s="61">
        <f t="shared" si="11"/>
        <v>1</v>
      </c>
      <c r="AT11" s="185">
        <f t="shared" si="12"/>
        <v>2</v>
      </c>
      <c r="AU11" s="68"/>
      <c r="AV11" s="68"/>
      <c r="AW11" s="68"/>
      <c r="AX11" s="68"/>
      <c r="AY11" s="68"/>
      <c r="AZ11" s="68"/>
      <c r="BB11" s="225" t="s">
        <v>94</v>
      </c>
      <c r="BC11" s="253" t="s">
        <v>48</v>
      </c>
      <c r="BD11" s="261">
        <v>115128.37</v>
      </c>
      <c r="BE11" s="262">
        <v>14952.849699999999</v>
      </c>
      <c r="BF11" s="322">
        <v>89</v>
      </c>
      <c r="BG11" s="263">
        <v>42185</v>
      </c>
      <c r="BH11" s="68">
        <v>14952.849699999999</v>
      </c>
      <c r="BI11" s="233">
        <v>42185</v>
      </c>
      <c r="BJ11" s="61">
        <v>89</v>
      </c>
      <c r="BK11" s="78"/>
      <c r="BL11" s="242">
        <f>SUM(BL6:BL10)</f>
        <v>215023.39973715</v>
      </c>
      <c r="BM11" s="68"/>
      <c r="BN11" s="68"/>
      <c r="BO11" s="68"/>
      <c r="BP11" s="68"/>
      <c r="BQ11" s="243">
        <f>SUM(BQ6:BQ10)</f>
        <v>1361</v>
      </c>
      <c r="BR11" s="144"/>
      <c r="BS11" s="68"/>
      <c r="BT11" s="222"/>
      <c r="BU11" s="267" t="s">
        <v>40</v>
      </c>
      <c r="BV11" s="258">
        <v>64628.160000000003</v>
      </c>
      <c r="BW11" s="320">
        <v>5637.9755199999981</v>
      </c>
      <c r="BX11" s="321">
        <v>54</v>
      </c>
      <c r="BY11" s="259">
        <v>42184</v>
      </c>
      <c r="BZ11" s="68">
        <v>64628.160000000003</v>
      </c>
      <c r="CA11" s="233">
        <v>42184</v>
      </c>
      <c r="CB11" s="237">
        <v>54</v>
      </c>
      <c r="CC11" s="68"/>
      <c r="CD11" s="68"/>
      <c r="CE11" s="68"/>
      <c r="CF11" s="68"/>
      <c r="CG11" s="68"/>
      <c r="CH11" s="144"/>
      <c r="CI11" s="103"/>
      <c r="CJ11" s="314" t="s">
        <v>11</v>
      </c>
      <c r="CK11" s="312" t="s">
        <v>20</v>
      </c>
      <c r="CL11" s="318" t="s">
        <v>3016</v>
      </c>
      <c r="CO11" s="287"/>
    </row>
    <row r="12" spans="2:93" ht="15.75" thickBot="1" x14ac:dyDescent="0.3">
      <c r="B12" s="340" t="s">
        <v>345</v>
      </c>
      <c r="C12" s="118">
        <v>10479.77</v>
      </c>
      <c r="D12" s="333">
        <v>5.569828347250512E-3</v>
      </c>
      <c r="E12" s="63">
        <v>590</v>
      </c>
      <c r="F12" s="334">
        <v>2.3504103258704487E-2</v>
      </c>
      <c r="G12" s="74" t="s">
        <v>345</v>
      </c>
      <c r="H12" s="64">
        <v>25</v>
      </c>
      <c r="I12" s="64">
        <v>11</v>
      </c>
      <c r="J12" s="75">
        <f t="shared" si="2"/>
        <v>10479.77</v>
      </c>
      <c r="K12" s="110" t="str">
        <f t="shared" si="7"/>
        <v/>
      </c>
      <c r="L12" s="110">
        <f t="shared" si="8"/>
        <v>10479.77</v>
      </c>
      <c r="M12" s="76">
        <f t="shared" si="3"/>
        <v>590</v>
      </c>
      <c r="N12" s="77">
        <f t="shared" si="4"/>
        <v>2.3504103258704487E-2</v>
      </c>
      <c r="O12" s="63"/>
      <c r="P12" s="63"/>
      <c r="Q12" s="63"/>
      <c r="R12" s="65"/>
      <c r="S12" s="119"/>
      <c r="U12" s="222" t="s">
        <v>1608</v>
      </c>
      <c r="V12" s="360">
        <v>1257.76</v>
      </c>
      <c r="W12" s="353">
        <v>824.82439999999997</v>
      </c>
      <c r="X12" s="353">
        <v>9.4700000000000006</v>
      </c>
      <c r="Y12" s="355">
        <v>406.74180000000001</v>
      </c>
      <c r="Z12" s="78"/>
      <c r="AA12" s="158" t="str">
        <f t="shared" si="0"/>
        <v>Delaware</v>
      </c>
      <c r="AB12" s="168">
        <v>1257.76</v>
      </c>
      <c r="AC12" s="144">
        <f t="shared" si="5"/>
        <v>1</v>
      </c>
      <c r="AD12" s="383" t="s">
        <v>111</v>
      </c>
      <c r="AE12" s="387" t="s">
        <v>41</v>
      </c>
      <c r="AF12" s="382">
        <v>138872.93219199998</v>
      </c>
      <c r="AG12" s="146">
        <v>1032.54</v>
      </c>
      <c r="AH12" s="146">
        <v>5.1499999999999941</v>
      </c>
      <c r="AI12" s="146">
        <v>34646.814908</v>
      </c>
      <c r="AJ12" s="147">
        <v>184055.31</v>
      </c>
      <c r="AK12" s="73"/>
      <c r="AL12" s="222"/>
      <c r="AM12" s="392">
        <v>42010</v>
      </c>
      <c r="AN12" s="348">
        <v>11123.41</v>
      </c>
      <c r="AO12" s="146">
        <v>-14013.903899999998</v>
      </c>
      <c r="AP12" s="147">
        <v>140</v>
      </c>
      <c r="AQ12" s="59">
        <v>42010</v>
      </c>
      <c r="AR12" s="180">
        <v>11123.41</v>
      </c>
      <c r="AS12" s="61">
        <f t="shared" si="11"/>
        <v>1</v>
      </c>
      <c r="AT12" s="185">
        <f t="shared" si="12"/>
        <v>2</v>
      </c>
      <c r="AU12" s="139" t="s">
        <v>3089</v>
      </c>
      <c r="AV12" s="140"/>
      <c r="AW12" s="140"/>
      <c r="AX12" s="140"/>
      <c r="AY12" s="142"/>
      <c r="AZ12" s="68"/>
      <c r="BB12" s="222"/>
      <c r="BC12" s="257" t="s">
        <v>116</v>
      </c>
      <c r="BD12" s="258">
        <v>152913.95000000001</v>
      </c>
      <c r="BE12" s="320">
        <v>19029.767415400001</v>
      </c>
      <c r="BF12" s="321">
        <v>89</v>
      </c>
      <c r="BG12" s="259">
        <v>42173</v>
      </c>
      <c r="BH12" s="68">
        <v>19029.767415400001</v>
      </c>
      <c r="BI12" s="233">
        <v>42173</v>
      </c>
      <c r="BJ12" s="61">
        <v>89</v>
      </c>
      <c r="BK12" s="78"/>
      <c r="BL12" s="68"/>
      <c r="BM12" s="68"/>
      <c r="BN12" s="68"/>
      <c r="BO12" s="68"/>
      <c r="BP12" s="68"/>
      <c r="BQ12" s="68"/>
      <c r="BR12" s="144"/>
      <c r="BS12" s="68"/>
      <c r="BT12" s="222"/>
      <c r="BU12" s="267" t="s">
        <v>94</v>
      </c>
      <c r="BV12" s="258">
        <v>152913.95000000001</v>
      </c>
      <c r="BW12" s="320">
        <v>19029.767415400001</v>
      </c>
      <c r="BX12" s="321">
        <v>89</v>
      </c>
      <c r="BY12" s="259">
        <v>42173</v>
      </c>
      <c r="BZ12" s="68">
        <v>152913.95000000001</v>
      </c>
      <c r="CA12" s="233">
        <v>42173</v>
      </c>
      <c r="CB12" s="237">
        <v>89</v>
      </c>
      <c r="CC12" s="68"/>
      <c r="CD12" s="61"/>
      <c r="CE12" s="61"/>
      <c r="CF12" s="61"/>
      <c r="CG12" s="61"/>
      <c r="CH12" s="144"/>
      <c r="CI12" s="103"/>
      <c r="CJ12" s="315" t="s">
        <v>652</v>
      </c>
      <c r="CK12" s="308">
        <v>23865.904200000001</v>
      </c>
      <c r="CL12" s="297">
        <v>54</v>
      </c>
      <c r="CO12" s="287"/>
    </row>
    <row r="13" spans="2:93" ht="15.75" thickBot="1" x14ac:dyDescent="0.3">
      <c r="B13" s="340" t="s">
        <v>152</v>
      </c>
      <c r="C13" s="118">
        <v>4914.82</v>
      </c>
      <c r="D13" s="333">
        <v>2.6121473808713132E-3</v>
      </c>
      <c r="E13" s="63">
        <v>903</v>
      </c>
      <c r="F13" s="334">
        <v>3.5973229224762968E-2</v>
      </c>
      <c r="G13" s="74" t="s">
        <v>152</v>
      </c>
      <c r="H13" s="64">
        <v>20</v>
      </c>
      <c r="I13" s="64">
        <v>14</v>
      </c>
      <c r="J13" s="75">
        <f t="shared" si="2"/>
        <v>4914.82</v>
      </c>
      <c r="K13" s="110" t="str">
        <f t="shared" si="7"/>
        <v/>
      </c>
      <c r="L13" s="110">
        <f t="shared" si="8"/>
        <v>4914.82</v>
      </c>
      <c r="M13" s="76">
        <f t="shared" si="3"/>
        <v>903</v>
      </c>
      <c r="N13" s="77">
        <f t="shared" si="4"/>
        <v>3.5973229224762968E-2</v>
      </c>
      <c r="O13" s="63"/>
      <c r="P13" s="63"/>
      <c r="Q13" s="63"/>
      <c r="R13" s="65"/>
      <c r="S13" s="119"/>
      <c r="U13" s="222" t="s">
        <v>374</v>
      </c>
      <c r="V13" s="360">
        <v>68946.66</v>
      </c>
      <c r="W13" s="353">
        <v>55236.23550000001</v>
      </c>
      <c r="X13" s="353">
        <v>175.31</v>
      </c>
      <c r="Y13" s="355">
        <v>11677.363099999999</v>
      </c>
      <c r="Z13" s="78"/>
      <c r="AA13" s="158" t="str">
        <f t="shared" si="0"/>
        <v>District of Columbia</v>
      </c>
      <c r="AB13" s="168">
        <v>68946.66</v>
      </c>
      <c r="AC13" s="144">
        <f t="shared" si="5"/>
        <v>1</v>
      </c>
      <c r="AD13" s="378" t="s">
        <v>34</v>
      </c>
      <c r="AE13" s="385" t="s">
        <v>29</v>
      </c>
      <c r="AF13" s="364">
        <v>90867.02654625001</v>
      </c>
      <c r="AG13" s="365">
        <v>2585.48</v>
      </c>
      <c r="AH13" s="365">
        <v>4.1999999999999993</v>
      </c>
      <c r="AI13" s="365">
        <v>-1862.118946250001</v>
      </c>
      <c r="AJ13" s="367">
        <v>97290.37</v>
      </c>
      <c r="AK13" s="73"/>
      <c r="AL13" s="222"/>
      <c r="AM13" s="392">
        <v>42011</v>
      </c>
      <c r="AN13" s="348">
        <v>16551.82</v>
      </c>
      <c r="AO13" s="146">
        <v>-3779.0007400000004</v>
      </c>
      <c r="AP13" s="147">
        <v>68</v>
      </c>
      <c r="AQ13" s="59">
        <v>42011</v>
      </c>
      <c r="AR13" s="180">
        <v>16551.82</v>
      </c>
      <c r="AS13" s="61">
        <f t="shared" si="11"/>
        <v>1</v>
      </c>
      <c r="AT13" s="185">
        <f t="shared" si="12"/>
        <v>2</v>
      </c>
      <c r="AU13" s="143" t="s">
        <v>3063</v>
      </c>
      <c r="AV13" s="68" t="s">
        <v>3064</v>
      </c>
      <c r="AW13" s="68"/>
      <c r="AX13" s="68"/>
      <c r="AY13" s="144"/>
      <c r="AZ13" s="68"/>
      <c r="BB13" s="222"/>
      <c r="BC13" s="257" t="s">
        <v>38</v>
      </c>
      <c r="BD13" s="258">
        <v>94490.75</v>
      </c>
      <c r="BE13" s="320">
        <v>13780.421678999997</v>
      </c>
      <c r="BF13" s="321">
        <v>90</v>
      </c>
      <c r="BG13" s="259">
        <v>42177</v>
      </c>
      <c r="BH13" s="68">
        <v>13780.421678999997</v>
      </c>
      <c r="BI13" s="233">
        <v>42177</v>
      </c>
      <c r="BJ13" s="61">
        <v>90</v>
      </c>
      <c r="BK13" s="78"/>
      <c r="BL13" s="68"/>
      <c r="BM13" s="68"/>
      <c r="BN13" s="68"/>
      <c r="BO13" s="68"/>
      <c r="BP13" s="68"/>
      <c r="BQ13" s="68"/>
      <c r="BR13" s="144"/>
      <c r="BS13" s="68"/>
      <c r="BT13" s="222"/>
      <c r="BU13" s="268" t="s">
        <v>28</v>
      </c>
      <c r="BV13" s="258">
        <v>59390.35</v>
      </c>
      <c r="BW13" s="320">
        <v>13231.464498750001</v>
      </c>
      <c r="BX13" s="321">
        <v>47</v>
      </c>
      <c r="BY13" s="259">
        <v>42183</v>
      </c>
      <c r="BZ13" s="68">
        <v>59390.35</v>
      </c>
      <c r="CA13" s="233">
        <v>42183</v>
      </c>
      <c r="CB13" s="237">
        <v>47</v>
      </c>
      <c r="CC13" s="68"/>
      <c r="CD13" s="68"/>
      <c r="CE13" s="68"/>
      <c r="CF13" s="68"/>
      <c r="CG13" s="68"/>
      <c r="CH13" s="144"/>
      <c r="CI13" s="103"/>
      <c r="CJ13" s="316" t="s">
        <v>2296</v>
      </c>
      <c r="CK13" s="309">
        <v>18628.1453</v>
      </c>
      <c r="CL13" s="296">
        <v>96</v>
      </c>
      <c r="CO13" s="287"/>
    </row>
    <row r="14" spans="2:93" ht="15.75" thickBot="1" x14ac:dyDescent="0.3">
      <c r="B14" s="340" t="s">
        <v>126</v>
      </c>
      <c r="C14" s="118">
        <v>98070.91</v>
      </c>
      <c r="D14" s="333">
        <v>5.2123103327520903E-2</v>
      </c>
      <c r="E14" s="63">
        <v>2356</v>
      </c>
      <c r="F14" s="334">
        <v>9.3857063182216552E-2</v>
      </c>
      <c r="G14" s="74" t="s">
        <v>126</v>
      </c>
      <c r="H14" s="64">
        <v>20</v>
      </c>
      <c r="I14" s="64">
        <v>18</v>
      </c>
      <c r="J14" s="75">
        <f t="shared" si="2"/>
        <v>98070.91</v>
      </c>
      <c r="K14" s="110" t="str">
        <f t="shared" si="7"/>
        <v/>
      </c>
      <c r="L14" s="110">
        <f t="shared" si="8"/>
        <v>98070.91</v>
      </c>
      <c r="M14" s="76">
        <f t="shared" si="3"/>
        <v>2356</v>
      </c>
      <c r="N14" s="77">
        <f t="shared" si="4"/>
        <v>9.3857063182216552E-2</v>
      </c>
      <c r="O14" s="63"/>
      <c r="P14" s="63"/>
      <c r="Q14" s="63"/>
      <c r="R14" s="65"/>
      <c r="S14" s="119"/>
      <c r="U14" s="222" t="s">
        <v>123</v>
      </c>
      <c r="V14" s="360">
        <v>81205.22</v>
      </c>
      <c r="W14" s="353">
        <v>75078.699560000023</v>
      </c>
      <c r="X14" s="353">
        <v>1311.93</v>
      </c>
      <c r="Y14" s="355">
        <v>322.07384000000013</v>
      </c>
      <c r="Z14" s="78"/>
      <c r="AA14" s="158" t="str">
        <f t="shared" si="0"/>
        <v>Florida</v>
      </c>
      <c r="AB14" s="168">
        <v>81205.22</v>
      </c>
      <c r="AC14" s="144">
        <f t="shared" si="5"/>
        <v>1</v>
      </c>
      <c r="AD14" s="383" t="s">
        <v>34</v>
      </c>
      <c r="AE14" s="386" t="s">
        <v>49</v>
      </c>
      <c r="AF14" s="382">
        <v>108121.61715319999</v>
      </c>
      <c r="AG14" s="146">
        <v>1897.34</v>
      </c>
      <c r="AH14" s="146">
        <v>11.74999999999998</v>
      </c>
      <c r="AI14" s="146">
        <v>-2119.4586532000021</v>
      </c>
      <c r="AJ14" s="147">
        <v>112566.34</v>
      </c>
      <c r="AK14" s="73"/>
      <c r="AL14" s="222"/>
      <c r="AM14" s="392">
        <v>42012</v>
      </c>
      <c r="AN14" s="348">
        <v>5388.84</v>
      </c>
      <c r="AO14" s="146">
        <v>3447.4977999999996</v>
      </c>
      <c r="AP14" s="147">
        <v>24</v>
      </c>
      <c r="AQ14" s="59">
        <v>42012</v>
      </c>
      <c r="AR14" s="180">
        <v>5388.84</v>
      </c>
      <c r="AS14" s="61">
        <f t="shared" si="11"/>
        <v>1</v>
      </c>
      <c r="AT14" s="185">
        <f t="shared" si="12"/>
        <v>2</v>
      </c>
      <c r="AU14" s="143" t="s">
        <v>3061</v>
      </c>
      <c r="AV14" s="68" t="s">
        <v>3062</v>
      </c>
      <c r="AW14" s="68" t="s">
        <v>3061</v>
      </c>
      <c r="AX14" s="68" t="s">
        <v>3062</v>
      </c>
      <c r="AY14" s="144"/>
      <c r="AZ14" s="68"/>
      <c r="BB14" s="222"/>
      <c r="BC14" s="257" t="s">
        <v>26</v>
      </c>
      <c r="BD14" s="258">
        <v>124332.78</v>
      </c>
      <c r="BE14" s="320">
        <v>-3620.6440049999942</v>
      </c>
      <c r="BF14" s="321">
        <v>105</v>
      </c>
      <c r="BG14" s="259">
        <v>42183</v>
      </c>
      <c r="BH14" s="68">
        <v>-3620.6440049999942</v>
      </c>
      <c r="BI14" s="233">
        <v>42183</v>
      </c>
      <c r="BJ14" s="61">
        <v>105</v>
      </c>
      <c r="BK14" s="78"/>
      <c r="BL14" s="68"/>
      <c r="BM14" s="68"/>
      <c r="BN14" s="68"/>
      <c r="BO14" s="68"/>
      <c r="BP14" s="68"/>
      <c r="BQ14" s="68"/>
      <c r="BR14" s="144"/>
      <c r="BS14" s="68"/>
      <c r="BT14" s="225" t="s">
        <v>38</v>
      </c>
      <c r="BU14" s="221" t="s">
        <v>71</v>
      </c>
      <c r="BV14" s="261">
        <v>92705.25</v>
      </c>
      <c r="BW14" s="262">
        <v>12910.396491999998</v>
      </c>
      <c r="BX14" s="322">
        <v>62</v>
      </c>
      <c r="BY14" s="263">
        <v>42184</v>
      </c>
      <c r="BZ14" s="68">
        <v>92705.25</v>
      </c>
      <c r="CA14" s="233">
        <v>42184</v>
      </c>
      <c r="CB14" s="237">
        <v>62</v>
      </c>
      <c r="CC14" s="68"/>
      <c r="CD14" s="68"/>
      <c r="CE14" s="68"/>
      <c r="CF14" s="68"/>
      <c r="CG14" s="68"/>
      <c r="CH14" s="144"/>
      <c r="CI14" s="103"/>
      <c r="CJ14" s="317" t="s">
        <v>59</v>
      </c>
      <c r="CK14" s="310">
        <v>3700.3742000000002</v>
      </c>
      <c r="CL14" s="412">
        <v>35</v>
      </c>
      <c r="CM14" s="290"/>
      <c r="CN14" s="291"/>
      <c r="CO14" s="292"/>
    </row>
    <row r="15" spans="2:93" ht="15.75" thickBot="1" x14ac:dyDescent="0.3">
      <c r="B15" s="340" t="s">
        <v>57</v>
      </c>
      <c r="C15" s="118">
        <v>318169.68</v>
      </c>
      <c r="D15" s="333">
        <v>0.16910204163828255</v>
      </c>
      <c r="E15" s="63">
        <v>898</v>
      </c>
      <c r="F15" s="334">
        <v>3.5774041909011234E-2</v>
      </c>
      <c r="G15" s="74" t="s">
        <v>57</v>
      </c>
      <c r="H15" s="64">
        <v>16</v>
      </c>
      <c r="I15" s="64">
        <v>21</v>
      </c>
      <c r="J15" s="75">
        <f t="shared" si="2"/>
        <v>318169.68</v>
      </c>
      <c r="K15" s="110">
        <f t="shared" si="7"/>
        <v>318169.68</v>
      </c>
      <c r="L15" s="110" t="str">
        <f t="shared" si="8"/>
        <v/>
      </c>
      <c r="M15" s="76">
        <f t="shared" si="3"/>
        <v>898</v>
      </c>
      <c r="N15" s="77">
        <f t="shared" si="4"/>
        <v>3.5774041909011234E-2</v>
      </c>
      <c r="O15" s="63"/>
      <c r="P15" s="63"/>
      <c r="Q15" s="63"/>
      <c r="R15" s="65"/>
      <c r="S15" s="119"/>
      <c r="U15" s="222" t="s">
        <v>75</v>
      </c>
      <c r="V15" s="360">
        <v>29050.79</v>
      </c>
      <c r="W15" s="353">
        <v>18543.240586250002</v>
      </c>
      <c r="X15" s="353">
        <v>537.77</v>
      </c>
      <c r="Y15" s="355">
        <v>8645.2074137499967</v>
      </c>
      <c r="Z15" s="78"/>
      <c r="AA15" s="158" t="str">
        <f t="shared" si="0"/>
        <v>Georgia</v>
      </c>
      <c r="AB15" s="168">
        <v>29050.79</v>
      </c>
      <c r="AC15" s="144">
        <f t="shared" si="5"/>
        <v>1</v>
      </c>
      <c r="AD15" s="383" t="s">
        <v>34</v>
      </c>
      <c r="AE15" s="387" t="s">
        <v>41</v>
      </c>
      <c r="AF15" s="382">
        <v>137240.41917999997</v>
      </c>
      <c r="AG15" s="146">
        <v>957.5</v>
      </c>
      <c r="AH15" s="146">
        <v>5.6299999999999937</v>
      </c>
      <c r="AI15" s="146">
        <v>-13449.778180000001</v>
      </c>
      <c r="AJ15" s="147">
        <v>131471.60999999999</v>
      </c>
      <c r="AK15" s="73"/>
      <c r="AL15" s="222"/>
      <c r="AM15" s="392">
        <v>42013</v>
      </c>
      <c r="AN15" s="348">
        <v>13926.83</v>
      </c>
      <c r="AO15" s="146">
        <v>-176.99525999999997</v>
      </c>
      <c r="AP15" s="147">
        <v>147</v>
      </c>
      <c r="AQ15" s="59">
        <v>42013</v>
      </c>
      <c r="AR15" s="180">
        <v>13926.83</v>
      </c>
      <c r="AS15" s="61">
        <f t="shared" si="11"/>
        <v>1</v>
      </c>
      <c r="AT15" s="185">
        <f t="shared" si="12"/>
        <v>2</v>
      </c>
      <c r="AU15" s="196">
        <f>LARGE($AR$7:$AR$185,ROWS(A$2:A2))</f>
        <v>67267.77</v>
      </c>
      <c r="AV15" s="197" cm="1">
        <f t="array" ref="AV15">INDEX($AQ$7:$AQ$185,MATCH(TRUE,INDEX(_xlfn.ANCHORARRAY($AR$7)=AU15,0),0))</f>
        <v>42098</v>
      </c>
      <c r="AW15" s="186">
        <f>LARGE($AY$27:$AY$43,ROWS(C$2:C2))</f>
        <v>318169.68</v>
      </c>
      <c r="AX15" s="68" t="str" cm="1">
        <f t="array" ref="AX15">INDEX($AU$27:$AU$43,MATCH(TRUE,INDEX($AY$27:$AY$43=AW15,0),0))</f>
        <v>Office Machines</v>
      </c>
      <c r="AY15" s="144"/>
      <c r="AZ15" s="68"/>
      <c r="BB15" s="222"/>
      <c r="BC15" s="260" t="s">
        <v>3094</v>
      </c>
      <c r="BD15" s="258">
        <v>147995.46</v>
      </c>
      <c r="BE15" s="320">
        <v>8400.3930129999972</v>
      </c>
      <c r="BF15" s="321">
        <v>97</v>
      </c>
      <c r="BG15" s="259">
        <v>42182</v>
      </c>
      <c r="BH15" s="68">
        <v>8400.3930129999972</v>
      </c>
      <c r="BI15" s="233">
        <v>42182</v>
      </c>
      <c r="BJ15" s="61">
        <v>97</v>
      </c>
      <c r="BK15" s="78"/>
      <c r="BL15" s="68"/>
      <c r="BM15" s="246"/>
      <c r="BN15" s="68"/>
      <c r="BO15" s="68"/>
      <c r="BP15" s="68"/>
      <c r="BQ15" s="68"/>
      <c r="BR15" s="144"/>
      <c r="BS15" s="68"/>
      <c r="BT15" s="222"/>
      <c r="BU15" s="267" t="s">
        <v>40</v>
      </c>
      <c r="BV15" s="258">
        <v>73873.66</v>
      </c>
      <c r="BW15" s="320">
        <v>957.54042259999983</v>
      </c>
      <c r="BX15" s="321">
        <v>64</v>
      </c>
      <c r="BY15" s="259">
        <v>42185</v>
      </c>
      <c r="BZ15" s="68">
        <v>73873.66</v>
      </c>
      <c r="CA15" s="233">
        <v>42185</v>
      </c>
      <c r="CB15" s="237">
        <v>64</v>
      </c>
      <c r="CC15" s="68"/>
      <c r="CD15" s="68"/>
      <c r="CE15" s="68"/>
      <c r="CF15" s="68"/>
      <c r="CG15" s="68"/>
      <c r="CH15" s="144"/>
    </row>
    <row r="16" spans="2:93" ht="15.75" thickBot="1" x14ac:dyDescent="0.3">
      <c r="B16" s="340" t="s">
        <v>88</v>
      </c>
      <c r="C16" s="118">
        <v>55813.919999999998</v>
      </c>
      <c r="D16" s="333">
        <v>2.9664196235907114E-2</v>
      </c>
      <c r="E16" s="63">
        <v>3481</v>
      </c>
      <c r="F16" s="334">
        <v>0.13867420922635645</v>
      </c>
      <c r="G16" s="74" t="s">
        <v>88</v>
      </c>
      <c r="H16" s="64">
        <v>11</v>
      </c>
      <c r="I16" s="64">
        <v>19</v>
      </c>
      <c r="J16" s="75">
        <f t="shared" si="2"/>
        <v>55813.919999999998</v>
      </c>
      <c r="K16" s="110" t="str">
        <f t="shared" si="7"/>
        <v/>
      </c>
      <c r="L16" s="110">
        <f t="shared" si="8"/>
        <v>55813.919999999998</v>
      </c>
      <c r="M16" s="76">
        <f t="shared" si="3"/>
        <v>3481</v>
      </c>
      <c r="N16" s="77">
        <f t="shared" si="4"/>
        <v>0.13867420922635645</v>
      </c>
      <c r="O16" s="63"/>
      <c r="P16" s="63"/>
      <c r="Q16" s="63"/>
      <c r="R16" s="65"/>
      <c r="S16" s="119"/>
      <c r="U16" s="222" t="s">
        <v>490</v>
      </c>
      <c r="V16" s="360">
        <v>13922.92</v>
      </c>
      <c r="W16" s="353">
        <v>6171.6153999999988</v>
      </c>
      <c r="X16" s="353">
        <v>257.19</v>
      </c>
      <c r="Y16" s="355">
        <v>6848.3532999999989</v>
      </c>
      <c r="Z16" s="78"/>
      <c r="AA16" s="158" t="str">
        <f t="shared" si="0"/>
        <v>Idaho</v>
      </c>
      <c r="AB16" s="168">
        <v>13922.92</v>
      </c>
      <c r="AC16" s="144">
        <f t="shared" si="5"/>
        <v>1</v>
      </c>
      <c r="AD16" s="378" t="s">
        <v>60</v>
      </c>
      <c r="AE16" s="385" t="s">
        <v>29</v>
      </c>
      <c r="AF16" s="364">
        <v>127078.66102000001</v>
      </c>
      <c r="AG16" s="365">
        <v>2702.04</v>
      </c>
      <c r="AH16" s="365">
        <v>4.2399999999999984</v>
      </c>
      <c r="AI16" s="365">
        <v>45999.542280000001</v>
      </c>
      <c r="AJ16" s="367">
        <v>184155.86</v>
      </c>
      <c r="AK16" s="73"/>
      <c r="AL16" s="222"/>
      <c r="AM16" s="392">
        <v>42014</v>
      </c>
      <c r="AN16" s="348">
        <v>11520.37</v>
      </c>
      <c r="AO16" s="146">
        <v>-1623.0806999999998</v>
      </c>
      <c r="AP16" s="147">
        <v>130</v>
      </c>
      <c r="AQ16" s="59">
        <v>42014</v>
      </c>
      <c r="AR16" s="180">
        <v>11520.37</v>
      </c>
      <c r="AS16" s="61">
        <f t="shared" si="11"/>
        <v>1</v>
      </c>
      <c r="AT16" s="185">
        <f t="shared" si="12"/>
        <v>2</v>
      </c>
      <c r="AU16" s="196">
        <f>LARGE($AR$7:$AR$185,ROWS(A$2:A3))</f>
        <v>56764.54</v>
      </c>
      <c r="AV16" s="197" cm="1">
        <f t="array" ref="AV16">INDEX($AQ$7:$AQ$185,MATCH(TRUE,INDEX(_xlfn.ANCHORARRAY($AR$7)=AU16,0),0))</f>
        <v>42056</v>
      </c>
      <c r="AW16" s="186">
        <f>LARGE($AY$27:$AY$43,ROWS(C$2:C3))</f>
        <v>241200.42</v>
      </c>
      <c r="AX16" s="68" t="str" cm="1">
        <f t="array" ref="AX16">INDEX($AU$27:$AU$43,MATCH(TRUE,INDEX($AY$27:$AY$43=AW16,0),0))</f>
        <v>Chairs &amp; Chairmats</v>
      </c>
      <c r="AY16" s="144"/>
      <c r="AZ16" s="68"/>
      <c r="BB16" s="225" t="s">
        <v>71</v>
      </c>
      <c r="BC16" s="253" t="s">
        <v>48</v>
      </c>
      <c r="BD16" s="261">
        <v>89371.54</v>
      </c>
      <c r="BE16" s="262">
        <v>8362.1729999999989</v>
      </c>
      <c r="BF16" s="322">
        <v>68</v>
      </c>
      <c r="BG16" s="263">
        <v>42183</v>
      </c>
      <c r="BH16" s="68">
        <v>8362.1729999999989</v>
      </c>
      <c r="BI16" s="233">
        <v>42183</v>
      </c>
      <c r="BJ16" s="61">
        <v>68</v>
      </c>
      <c r="BK16" s="78"/>
      <c r="BL16" s="68"/>
      <c r="BM16" s="246"/>
      <c r="BN16" s="68"/>
      <c r="BO16" s="68"/>
      <c r="BP16" s="68"/>
      <c r="BQ16" s="68"/>
      <c r="BR16" s="144"/>
      <c r="BS16" s="68"/>
      <c r="BT16" s="222"/>
      <c r="BU16" s="267" t="s">
        <v>94</v>
      </c>
      <c r="BV16" s="258">
        <v>94490.75</v>
      </c>
      <c r="BW16" s="320">
        <v>13780.421678999997</v>
      </c>
      <c r="BX16" s="321">
        <v>90</v>
      </c>
      <c r="BY16" s="259">
        <v>42177</v>
      </c>
      <c r="BZ16" s="68">
        <v>94490.75</v>
      </c>
      <c r="CA16" s="233">
        <v>42177</v>
      </c>
      <c r="CB16" s="237">
        <v>90</v>
      </c>
      <c r="CC16" s="68"/>
      <c r="CD16" s="68"/>
      <c r="CE16" s="68"/>
      <c r="CF16" s="68"/>
      <c r="CG16" s="68"/>
      <c r="CH16" s="144"/>
      <c r="CI16" s="103"/>
      <c r="CJ16" s="276" t="s">
        <v>3109</v>
      </c>
      <c r="CK16" s="293"/>
      <c r="CL16" s="297"/>
      <c r="CM16" s="278" t="s">
        <v>3053</v>
      </c>
      <c r="CN16" s="279" t="str">
        <f>CHOOSE(Distribution!AH7,"Sales", "Profit")</f>
        <v>Profit</v>
      </c>
      <c r="CO16" s="280"/>
    </row>
    <row r="17" spans="2:93" ht="15.75" thickBot="1" x14ac:dyDescent="0.3">
      <c r="B17" s="340" t="s">
        <v>50</v>
      </c>
      <c r="C17" s="118">
        <v>26071.61</v>
      </c>
      <c r="D17" s="333">
        <v>1.385663926178341E-2</v>
      </c>
      <c r="E17" s="63">
        <v>2744</v>
      </c>
      <c r="F17" s="334">
        <v>0.10931399888455103</v>
      </c>
      <c r="G17" s="74" t="s">
        <v>50</v>
      </c>
      <c r="H17" s="64">
        <v>8</v>
      </c>
      <c r="I17" s="64">
        <v>17</v>
      </c>
      <c r="J17" s="75">
        <f t="shared" si="2"/>
        <v>26071.61</v>
      </c>
      <c r="K17" s="110" t="str">
        <f t="shared" si="7"/>
        <v/>
      </c>
      <c r="L17" s="110">
        <f t="shared" si="8"/>
        <v>26071.61</v>
      </c>
      <c r="M17" s="76">
        <f t="shared" si="3"/>
        <v>2744</v>
      </c>
      <c r="N17" s="77">
        <f t="shared" si="4"/>
        <v>0.10931399888455103</v>
      </c>
      <c r="O17" s="63"/>
      <c r="P17" s="63"/>
      <c r="Q17" s="63"/>
      <c r="R17" s="65"/>
      <c r="S17" s="119"/>
      <c r="U17" s="222" t="s">
        <v>103</v>
      </c>
      <c r="V17" s="360">
        <v>98971.25</v>
      </c>
      <c r="W17" s="353">
        <v>81006.836988000025</v>
      </c>
      <c r="X17" s="353">
        <v>911.81</v>
      </c>
      <c r="Y17" s="355">
        <v>12321.579311999994</v>
      </c>
      <c r="Z17" s="78"/>
      <c r="AA17" s="158" t="str">
        <f t="shared" si="0"/>
        <v>Illinois</v>
      </c>
      <c r="AB17" s="168">
        <v>98971.25</v>
      </c>
      <c r="AC17" s="144">
        <f>IF(AB17=0,0,1)</f>
        <v>1</v>
      </c>
      <c r="AD17" s="383" t="s">
        <v>60</v>
      </c>
      <c r="AE17" s="386" t="s">
        <v>49</v>
      </c>
      <c r="AF17" s="382">
        <v>91882.323870000007</v>
      </c>
      <c r="AG17" s="146">
        <v>1813.46</v>
      </c>
      <c r="AH17" s="146">
        <v>12.259999999999987</v>
      </c>
      <c r="AI17" s="146">
        <v>12136.81913</v>
      </c>
      <c r="AJ17" s="147">
        <v>111003.26</v>
      </c>
      <c r="AK17" s="73"/>
      <c r="AL17" s="222"/>
      <c r="AM17" s="392">
        <v>42015</v>
      </c>
      <c r="AN17" s="348">
        <v>3355.12</v>
      </c>
      <c r="AO17" s="146">
        <v>-137.49189999999996</v>
      </c>
      <c r="AP17" s="147">
        <v>43</v>
      </c>
      <c r="AQ17" s="59">
        <v>42015</v>
      </c>
      <c r="AR17" s="180">
        <v>3355.12</v>
      </c>
      <c r="AS17" s="61">
        <f t="shared" si="11"/>
        <v>1</v>
      </c>
      <c r="AT17" s="185">
        <f t="shared" si="12"/>
        <v>3</v>
      </c>
      <c r="AU17" s="196">
        <f>LARGE($AR$7:$AR$185,ROWS(A$2:A4))</f>
        <v>49028.22</v>
      </c>
      <c r="AV17" s="197" cm="1">
        <f t="array" ref="AV17">INDEX($AQ$7:$AQ$185,MATCH(TRUE,INDEX(_xlfn.ANCHORARRAY($AR$7)=AU17,0),0))</f>
        <v>42175</v>
      </c>
      <c r="AW17" s="186">
        <f>LARGE($AY$27:$AY$43,ROWS(C$2:C4))</f>
        <v>198764.49</v>
      </c>
      <c r="AX17" s="68" t="str" cm="1">
        <f t="array" ref="AX17">INDEX($AU$27:$AU$43,MATCH(TRUE,INDEX($AY$27:$AY$43=AW17,0),0))</f>
        <v>Telephones and Communication</v>
      </c>
      <c r="AY17" s="144"/>
      <c r="AZ17" s="68"/>
      <c r="BB17" s="222"/>
      <c r="BC17" s="257" t="s">
        <v>116</v>
      </c>
      <c r="BD17" s="258">
        <v>92000.75</v>
      </c>
      <c r="BE17" s="320">
        <v>4680.4503269200004</v>
      </c>
      <c r="BF17" s="321">
        <v>73</v>
      </c>
      <c r="BG17" s="259">
        <v>42172</v>
      </c>
      <c r="BH17" s="68">
        <v>4680.4503269200004</v>
      </c>
      <c r="BI17" s="233">
        <v>42172</v>
      </c>
      <c r="BJ17" s="61">
        <v>73</v>
      </c>
      <c r="BK17" s="78"/>
      <c r="BL17" s="68"/>
      <c r="BM17" s="246"/>
      <c r="BN17" s="68"/>
      <c r="BO17" s="68"/>
      <c r="BP17" s="68"/>
      <c r="BQ17" s="68"/>
      <c r="BR17" s="144"/>
      <c r="BS17" s="68"/>
      <c r="BT17" s="222"/>
      <c r="BU17" s="268" t="s">
        <v>28</v>
      </c>
      <c r="BV17" s="258">
        <v>38272.589999999997</v>
      </c>
      <c r="BW17" s="320">
        <v>8144.6507180000026</v>
      </c>
      <c r="BX17" s="321">
        <v>52</v>
      </c>
      <c r="BY17" s="259">
        <v>42183</v>
      </c>
      <c r="BZ17" s="68">
        <v>38272.589999999997</v>
      </c>
      <c r="CA17" s="233">
        <v>42183</v>
      </c>
      <c r="CB17" s="237">
        <v>52</v>
      </c>
      <c r="CC17" s="68"/>
      <c r="CD17" s="68"/>
      <c r="CE17" s="68"/>
      <c r="CF17" s="68"/>
      <c r="CG17" s="68"/>
      <c r="CH17" s="144"/>
      <c r="CI17" s="103"/>
      <c r="CJ17" s="314" t="s">
        <v>11</v>
      </c>
      <c r="CK17" s="312" t="s">
        <v>22</v>
      </c>
      <c r="CL17" s="318" t="s">
        <v>3016</v>
      </c>
      <c r="CM17" s="274" t="s">
        <v>11</v>
      </c>
      <c r="CN17" s="275" t="str">
        <f>CN16</f>
        <v>Profit</v>
      </c>
      <c r="CO17" s="282" t="s">
        <v>3016</v>
      </c>
    </row>
    <row r="18" spans="2:93" ht="15.75" thickBot="1" x14ac:dyDescent="0.3">
      <c r="B18" s="340" t="s">
        <v>176</v>
      </c>
      <c r="C18" s="118">
        <v>1789.43</v>
      </c>
      <c r="D18" s="333">
        <v>9.5105311847688302E-4</v>
      </c>
      <c r="E18" s="63">
        <v>501</v>
      </c>
      <c r="F18" s="334">
        <v>1.9958569038323638E-2</v>
      </c>
      <c r="G18" s="74" t="s">
        <v>176</v>
      </c>
      <c r="H18" s="64">
        <v>4</v>
      </c>
      <c r="I18" s="64">
        <v>19</v>
      </c>
      <c r="J18" s="75">
        <f t="shared" si="2"/>
        <v>1789.43</v>
      </c>
      <c r="K18" s="110" t="str">
        <f t="shared" si="7"/>
        <v/>
      </c>
      <c r="L18" s="110">
        <f t="shared" si="8"/>
        <v>1789.43</v>
      </c>
      <c r="M18" s="76">
        <f t="shared" si="3"/>
        <v>501</v>
      </c>
      <c r="N18" s="77">
        <f t="shared" si="4"/>
        <v>1.9958569038323638E-2</v>
      </c>
      <c r="O18" s="63"/>
      <c r="P18" s="63"/>
      <c r="Q18" s="63"/>
      <c r="R18" s="65"/>
      <c r="S18" s="119"/>
      <c r="U18" s="222" t="s">
        <v>54</v>
      </c>
      <c r="V18" s="360">
        <v>39314.550000000003</v>
      </c>
      <c r="W18" s="353">
        <v>38266.167805000005</v>
      </c>
      <c r="X18" s="353">
        <v>684.15</v>
      </c>
      <c r="Y18" s="355">
        <v>-976.94950500000107</v>
      </c>
      <c r="Z18" s="78"/>
      <c r="AA18" s="158" t="str">
        <f t="shared" si="0"/>
        <v>Indiana</v>
      </c>
      <c r="AB18" s="168">
        <v>39314.550000000003</v>
      </c>
      <c r="AC18" s="144">
        <f t="shared" ref="AC18:AC54" si="16">IF(AB18=0,0,1)</f>
        <v>1</v>
      </c>
      <c r="AD18" s="384" t="s">
        <v>60</v>
      </c>
      <c r="AE18" s="387" t="s">
        <v>41</v>
      </c>
      <c r="AF18" s="382">
        <v>195112.64050799998</v>
      </c>
      <c r="AG18" s="146">
        <v>1325.44</v>
      </c>
      <c r="AH18" s="146">
        <v>5.7099999999999937</v>
      </c>
      <c r="AI18" s="146">
        <v>10095.172992000003</v>
      </c>
      <c r="AJ18" s="147">
        <v>218867.52</v>
      </c>
      <c r="AK18" s="73"/>
      <c r="AL18" s="222"/>
      <c r="AM18" s="392">
        <v>42016</v>
      </c>
      <c r="AN18" s="348">
        <v>14882.67</v>
      </c>
      <c r="AO18" s="146">
        <v>5081.0147000000015</v>
      </c>
      <c r="AP18" s="147">
        <v>220</v>
      </c>
      <c r="AQ18" s="59">
        <v>42016</v>
      </c>
      <c r="AR18" s="180">
        <v>14882.67</v>
      </c>
      <c r="AS18" s="61">
        <f t="shared" si="11"/>
        <v>1</v>
      </c>
      <c r="AT18" s="185">
        <f t="shared" si="12"/>
        <v>3</v>
      </c>
      <c r="AU18" s="198"/>
      <c r="AV18" s="67"/>
      <c r="AW18" s="180"/>
      <c r="AX18" s="68"/>
      <c r="AY18" s="144"/>
      <c r="AZ18" s="68"/>
      <c r="BB18" s="222"/>
      <c r="BC18" s="257" t="s">
        <v>38</v>
      </c>
      <c r="BD18" s="258">
        <v>92705.25</v>
      </c>
      <c r="BE18" s="320">
        <v>12910.396491999998</v>
      </c>
      <c r="BF18" s="321">
        <v>62</v>
      </c>
      <c r="BG18" s="259">
        <v>42184</v>
      </c>
      <c r="BH18" s="68">
        <v>12910.396491999998</v>
      </c>
      <c r="BI18" s="233">
        <v>42184</v>
      </c>
      <c r="BJ18" s="61">
        <v>62</v>
      </c>
      <c r="BK18" s="78"/>
      <c r="BL18" s="68"/>
      <c r="BM18" s="246"/>
      <c r="BN18" s="68"/>
      <c r="BO18" s="68"/>
      <c r="BP18" s="68"/>
      <c r="BQ18" s="68"/>
      <c r="BR18" s="144"/>
      <c r="BS18" s="68"/>
      <c r="BT18" s="225" t="s">
        <v>26</v>
      </c>
      <c r="BU18" s="221" t="s">
        <v>71</v>
      </c>
      <c r="BV18" s="261">
        <v>101040.41</v>
      </c>
      <c r="BW18" s="262">
        <v>3012.5318559999973</v>
      </c>
      <c r="BX18" s="322">
        <v>65</v>
      </c>
      <c r="BY18" s="263">
        <v>42183</v>
      </c>
      <c r="BZ18" s="68">
        <v>101040.41</v>
      </c>
      <c r="CA18" s="233">
        <v>42183</v>
      </c>
      <c r="CB18" s="237">
        <v>65</v>
      </c>
      <c r="CC18" s="68"/>
      <c r="CD18" s="68"/>
      <c r="CE18" s="68"/>
      <c r="CF18" s="68"/>
      <c r="CG18" s="68"/>
      <c r="CH18" s="144"/>
      <c r="CI18" s="103"/>
      <c r="CJ18" s="315" t="s">
        <v>2271</v>
      </c>
      <c r="CK18" s="308">
        <v>3.07</v>
      </c>
      <c r="CL18" s="297">
        <v>1</v>
      </c>
      <c r="CM18" s="55" t="str" cm="1">
        <f t="array" ref="CM18">IFERROR(_xlfn.IFS($CN$16="Sales",CJ18,$CN$16="Profit",CJ24),"")</f>
        <v>Polycom ViewStation™ ISDN Videoconferencing Unit</v>
      </c>
      <c r="CN18" s="270" cm="1">
        <f t="array" ref="CN18">IFERROR(_xlfn.IFS($CN$16="Sales",CK18,$CN$16="Profit",CK24),"")</f>
        <v>-27621.245408000002</v>
      </c>
      <c r="CO18" s="287" cm="1">
        <f t="array" ref="CO18">IFERROR(_xlfn.IFS($CN$16="Sales",CL18,$CN$16="Profit",CL24),"")</f>
        <v>7</v>
      </c>
    </row>
    <row r="19" spans="2:93" ht="15.75" thickBot="1" x14ac:dyDescent="0.3">
      <c r="B19" s="340" t="s">
        <v>568</v>
      </c>
      <c r="C19" s="118">
        <v>6752.18</v>
      </c>
      <c r="D19" s="333">
        <v>3.5886745195493762E-3</v>
      </c>
      <c r="E19" s="63">
        <v>423</v>
      </c>
      <c r="F19" s="334">
        <v>1.6851246912596606E-2</v>
      </c>
      <c r="G19" s="74" t="s">
        <v>568</v>
      </c>
      <c r="H19" s="64">
        <v>2</v>
      </c>
      <c r="I19" s="64">
        <v>16</v>
      </c>
      <c r="J19" s="75">
        <f t="shared" si="2"/>
        <v>6752.18</v>
      </c>
      <c r="K19" s="110" t="str">
        <f t="shared" si="7"/>
        <v/>
      </c>
      <c r="L19" s="110">
        <f t="shared" si="8"/>
        <v>6752.18</v>
      </c>
      <c r="M19" s="76">
        <f t="shared" si="3"/>
        <v>423</v>
      </c>
      <c r="N19" s="77">
        <f t="shared" si="4"/>
        <v>1.6851246912596606E-2</v>
      </c>
      <c r="O19" s="63"/>
      <c r="P19" s="63"/>
      <c r="Q19" s="63"/>
      <c r="R19" s="65"/>
      <c r="S19" s="119"/>
      <c r="U19" s="222" t="s">
        <v>213</v>
      </c>
      <c r="V19" s="360">
        <v>10977.69</v>
      </c>
      <c r="W19" s="353">
        <v>8728.3327200000003</v>
      </c>
      <c r="X19" s="353">
        <v>335.81</v>
      </c>
      <c r="Y19" s="355">
        <v>1262.4305799999997</v>
      </c>
      <c r="Z19" s="78"/>
      <c r="AA19" s="158" t="str">
        <f t="shared" si="0"/>
        <v>Iowa</v>
      </c>
      <c r="AB19" s="168">
        <v>10977.69</v>
      </c>
      <c r="AC19" s="144">
        <f t="shared" si="16"/>
        <v>1</v>
      </c>
      <c r="AD19" s="371" t="s">
        <v>3015</v>
      </c>
      <c r="AE19" s="372"/>
      <c r="AF19" s="368">
        <v>1550633.4510628521</v>
      </c>
      <c r="AG19" s="369">
        <v>24748.43</v>
      </c>
      <c r="AH19" s="369">
        <v>94.590000000000302</v>
      </c>
      <c r="AI19" s="369">
        <v>215023.39973715009</v>
      </c>
      <c r="AJ19" s="370">
        <v>1881524.77</v>
      </c>
      <c r="AK19" s="73"/>
      <c r="AL19" s="222"/>
      <c r="AM19" s="392">
        <v>42017</v>
      </c>
      <c r="AN19" s="348">
        <v>1772.04</v>
      </c>
      <c r="AO19" s="146">
        <v>282.39959999999985</v>
      </c>
      <c r="AP19" s="147">
        <v>48</v>
      </c>
      <c r="AQ19" s="59">
        <v>42017</v>
      </c>
      <c r="AR19" s="180">
        <v>1772.04</v>
      </c>
      <c r="AS19" s="61">
        <f t="shared" si="11"/>
        <v>1</v>
      </c>
      <c r="AT19" s="185">
        <f t="shared" si="12"/>
        <v>3</v>
      </c>
      <c r="AU19" s="198" t="s">
        <v>3061</v>
      </c>
      <c r="AV19" s="67" t="s">
        <v>3062</v>
      </c>
      <c r="AW19" s="180" t="s">
        <v>3061</v>
      </c>
      <c r="AX19" s="68" t="s">
        <v>3062</v>
      </c>
      <c r="AY19" s="144"/>
      <c r="AZ19" s="68"/>
      <c r="BB19" s="222"/>
      <c r="BC19" s="257" t="s">
        <v>26</v>
      </c>
      <c r="BD19" s="258">
        <v>101040.41</v>
      </c>
      <c r="BE19" s="320">
        <v>3012.5318559999973</v>
      </c>
      <c r="BF19" s="321">
        <v>65</v>
      </c>
      <c r="BG19" s="259">
        <v>42183</v>
      </c>
      <c r="BH19" s="68">
        <v>3012.5318559999973</v>
      </c>
      <c r="BI19" s="233">
        <v>42183</v>
      </c>
      <c r="BJ19" s="61">
        <v>65</v>
      </c>
      <c r="BK19" s="78"/>
      <c r="BL19" s="68"/>
      <c r="BM19" s="246"/>
      <c r="BN19" s="68"/>
      <c r="BO19" s="68"/>
      <c r="BP19" s="68"/>
      <c r="BQ19" s="68"/>
      <c r="BR19" s="144"/>
      <c r="BS19" s="68"/>
      <c r="BT19" s="222"/>
      <c r="BU19" s="267" t="s">
        <v>40</v>
      </c>
      <c r="BV19" s="258">
        <v>132021.04</v>
      </c>
      <c r="BW19" s="320">
        <v>23965.52246</v>
      </c>
      <c r="BX19" s="321">
        <v>56</v>
      </c>
      <c r="BY19" s="259">
        <v>42177</v>
      </c>
      <c r="BZ19" s="68">
        <v>132021.04</v>
      </c>
      <c r="CA19" s="233">
        <v>42177</v>
      </c>
      <c r="CB19" s="237">
        <v>56</v>
      </c>
      <c r="CC19" s="68"/>
      <c r="CD19" s="68"/>
      <c r="CE19" s="68"/>
      <c r="CF19" s="68"/>
      <c r="CG19" s="68"/>
      <c r="CH19" s="144"/>
      <c r="CI19" s="103"/>
      <c r="CJ19" s="316" t="s">
        <v>311</v>
      </c>
      <c r="CK19" s="309">
        <v>3.53</v>
      </c>
      <c r="CL19" s="296">
        <v>1</v>
      </c>
      <c r="CM19" s="55" t="str" cm="1">
        <f t="array" ref="CM19">IFERROR(_xlfn.IFS($CN$16="Sales",CJ19,$CN$16="Profit",CJ25),"")</f>
        <v>5165</v>
      </c>
      <c r="CN19" s="270" cm="1">
        <f t="array" ref="CN19">IFERROR(_xlfn.IFS($CN$16="Sales",CK19,$CN$16="Profit",CK25),"")</f>
        <v>-12548.946099999999</v>
      </c>
      <c r="CO19" s="287" cm="1">
        <f t="array" ref="CO19">IFERROR(_xlfn.IFS($CN$16="Sales",CL19,$CN$16="Profit",CL25),"")</f>
        <v>51</v>
      </c>
    </row>
    <row r="20" spans="2:93" ht="15.75" thickBot="1" x14ac:dyDescent="0.3">
      <c r="B20" s="340" t="s">
        <v>78</v>
      </c>
      <c r="C20" s="118">
        <v>175730.05</v>
      </c>
      <c r="D20" s="333">
        <v>9.33976808607202E-2</v>
      </c>
      <c r="E20" s="63">
        <v>1889</v>
      </c>
      <c r="F20" s="334">
        <v>7.5252967891004705E-2</v>
      </c>
      <c r="G20" s="74" t="s">
        <v>78</v>
      </c>
      <c r="H20" s="64">
        <v>0</v>
      </c>
      <c r="I20" s="64">
        <v>13</v>
      </c>
      <c r="J20" s="75">
        <f t="shared" si="2"/>
        <v>175730.05</v>
      </c>
      <c r="K20" s="110" t="str">
        <f t="shared" si="7"/>
        <v/>
      </c>
      <c r="L20" s="110">
        <f t="shared" si="8"/>
        <v>175730.05</v>
      </c>
      <c r="M20" s="76">
        <f t="shared" si="3"/>
        <v>1889</v>
      </c>
      <c r="N20" s="77">
        <f t="shared" si="4"/>
        <v>7.5252967891004705E-2</v>
      </c>
      <c r="O20" s="63"/>
      <c r="P20" s="63"/>
      <c r="Q20" s="63"/>
      <c r="R20" s="65"/>
      <c r="S20" s="119"/>
      <c r="U20" s="222" t="s">
        <v>537</v>
      </c>
      <c r="V20" s="360">
        <v>29678.21</v>
      </c>
      <c r="W20" s="353">
        <v>24694.998839999997</v>
      </c>
      <c r="X20" s="353">
        <v>501.11</v>
      </c>
      <c r="Y20" s="355">
        <v>2725.7763599999998</v>
      </c>
      <c r="Z20" s="78"/>
      <c r="AA20" s="158" t="str">
        <f t="shared" si="0"/>
        <v>Kansas</v>
      </c>
      <c r="AB20" s="168">
        <v>29678.21</v>
      </c>
      <c r="AC20" s="144">
        <f t="shared" si="16"/>
        <v>1</v>
      </c>
      <c r="AD20" s="145" t="s">
        <v>3053</v>
      </c>
      <c r="AE20" s="68" t="str">
        <f>CHOOSE('Sales Map'!A37,"Central","East","South","West")</f>
        <v>Central</v>
      </c>
      <c r="AF20" s="68"/>
      <c r="AG20" s="68"/>
      <c r="AH20" s="68"/>
      <c r="AI20" s="68"/>
      <c r="AJ20" s="144"/>
      <c r="AL20" s="222"/>
      <c r="AM20" s="392">
        <v>42018</v>
      </c>
      <c r="AN20" s="348">
        <v>5200.1899999999996</v>
      </c>
      <c r="AO20" s="146">
        <v>1000.9828159999998</v>
      </c>
      <c r="AP20" s="147">
        <v>76</v>
      </c>
      <c r="AQ20" s="59">
        <v>42018</v>
      </c>
      <c r="AR20" s="180">
        <v>5200.1899999999996</v>
      </c>
      <c r="AS20" s="61">
        <f t="shared" si="11"/>
        <v>1</v>
      </c>
      <c r="AT20" s="185">
        <f t="shared" si="12"/>
        <v>3</v>
      </c>
      <c r="AU20" s="196">
        <f>SMALL($AR$7:$AR$185,COUNTIF($AR$7:$AR$185,0)+1)</f>
        <v>101.71</v>
      </c>
      <c r="AV20" s="197" cm="1">
        <f t="array" ref="AV20">INDEX($AQ$7:$AQ$185,MATCH(TRUE,INDEX(_xlfn.ANCHORARRAY($AR$7)=AU20,0),0))</f>
        <v>42094</v>
      </c>
      <c r="AW20" s="186">
        <f>SMALL($AY$27:$AY$43,COUNTIF($AY$27:$AY$63,0)+1)</f>
        <v>1789.43</v>
      </c>
      <c r="AX20" s="68" t="str" cm="1">
        <f t="array" ref="AX20">INDEX($AU$27:$AU$43,MATCH(TRUE,INDEX($AY$27:$AY$43=AW20,0),0))</f>
        <v>Rubber Bands</v>
      </c>
      <c r="AY20" s="144"/>
      <c r="AZ20" s="68"/>
      <c r="BB20" s="222"/>
      <c r="BC20" s="260" t="s">
        <v>3094</v>
      </c>
      <c r="BD20" s="258">
        <v>86227.79</v>
      </c>
      <c r="BE20" s="320">
        <v>22699.893596000005</v>
      </c>
      <c r="BF20" s="321">
        <v>66</v>
      </c>
      <c r="BG20" s="259">
        <v>42185</v>
      </c>
      <c r="BH20" s="68">
        <v>22699.893596000005</v>
      </c>
      <c r="BI20" s="233">
        <v>42185</v>
      </c>
      <c r="BJ20" s="61">
        <v>66</v>
      </c>
      <c r="BK20" s="78"/>
      <c r="BL20" s="68"/>
      <c r="BM20" s="68"/>
      <c r="BN20" s="68"/>
      <c r="BO20" s="68"/>
      <c r="BP20" s="68"/>
      <c r="BQ20" s="68"/>
      <c r="BR20" s="144"/>
      <c r="BS20" s="68"/>
      <c r="BT20" s="222"/>
      <c r="BU20" s="267" t="s">
        <v>94</v>
      </c>
      <c r="BV20" s="258">
        <v>124332.78</v>
      </c>
      <c r="BW20" s="320">
        <v>-3620.6440049999942</v>
      </c>
      <c r="BX20" s="321">
        <v>105</v>
      </c>
      <c r="BY20" s="259">
        <v>42183</v>
      </c>
      <c r="BZ20" s="68">
        <v>124332.78</v>
      </c>
      <c r="CA20" s="233">
        <v>42183</v>
      </c>
      <c r="CB20" s="237">
        <v>105</v>
      </c>
      <c r="CC20" s="68"/>
      <c r="CD20" s="68"/>
      <c r="CE20" s="68"/>
      <c r="CF20" s="68"/>
      <c r="CG20" s="68"/>
      <c r="CH20" s="144"/>
      <c r="CI20" s="103"/>
      <c r="CJ20" s="317" t="s">
        <v>2282</v>
      </c>
      <c r="CK20" s="310">
        <v>3.13</v>
      </c>
      <c r="CL20" s="412">
        <v>1</v>
      </c>
      <c r="CM20" s="55" t="str" cm="1">
        <f t="array" ref="CM20">IFERROR(_xlfn.IFS($CN$16="Sales",CJ20,$CN$16="Profit",CJ26),"")</f>
        <v>Okidata Pacemark 4410N Wide Format Dot Matrix Printer</v>
      </c>
      <c r="CN20" s="270" cm="1">
        <f t="array" ref="CN20">IFERROR(_xlfn.IFS($CN$16="Sales",CK20,$CN$16="Profit",CK26),"")</f>
        <v>-10999.533191999999</v>
      </c>
      <c r="CO20" s="287" cm="1">
        <f t="array" ref="CO20">IFERROR(_xlfn.IFS($CN$16="Sales",CL20,$CN$16="Profit",CL26),"")</f>
        <v>2</v>
      </c>
    </row>
    <row r="21" spans="2:93" ht="15.75" thickBot="1" x14ac:dyDescent="0.3">
      <c r="B21" s="340" t="s">
        <v>30</v>
      </c>
      <c r="C21" s="118">
        <v>172511.33</v>
      </c>
      <c r="D21" s="333">
        <v>9.1686983212025425E-2</v>
      </c>
      <c r="E21" s="63">
        <v>882</v>
      </c>
      <c r="F21" s="334">
        <v>3.5136642498605687E-2</v>
      </c>
      <c r="G21" s="74" t="s">
        <v>30</v>
      </c>
      <c r="H21" s="64">
        <v>3</v>
      </c>
      <c r="I21" s="64">
        <v>10</v>
      </c>
      <c r="J21" s="75">
        <f t="shared" si="2"/>
        <v>172511.33</v>
      </c>
      <c r="K21" s="110" t="str">
        <f t="shared" si="7"/>
        <v/>
      </c>
      <c r="L21" s="110">
        <f t="shared" si="8"/>
        <v>172511.33</v>
      </c>
      <c r="M21" s="76">
        <f t="shared" si="3"/>
        <v>882</v>
      </c>
      <c r="N21" s="77">
        <f t="shared" si="4"/>
        <v>3.5136642498605687E-2</v>
      </c>
      <c r="O21" s="63"/>
      <c r="P21" s="63"/>
      <c r="Q21" s="63"/>
      <c r="R21" s="65"/>
      <c r="S21" s="119"/>
      <c r="U21" s="222" t="s">
        <v>388</v>
      </c>
      <c r="V21" s="360">
        <v>14737.27</v>
      </c>
      <c r="W21" s="353">
        <v>15421.737999999999</v>
      </c>
      <c r="X21" s="353">
        <v>322.52999999999997</v>
      </c>
      <c r="Y21" s="355">
        <v>-1982.6450000000009</v>
      </c>
      <c r="Z21" s="78"/>
      <c r="AA21" s="158" t="str">
        <f t="shared" si="0"/>
        <v>Kentucky</v>
      </c>
      <c r="AB21" s="168">
        <v>14737.27</v>
      </c>
      <c r="AC21" s="144">
        <f t="shared" si="16"/>
        <v>1</v>
      </c>
      <c r="AD21" s="179" t="s">
        <v>53</v>
      </c>
      <c r="AE21" s="146" t="s">
        <v>29</v>
      </c>
      <c r="AF21" s="180">
        <f>IFERROR(GETPIVOTDATA("[Measures].[Sum of Cumulative cost]",$AD$5,"[Table_1].[Product Category]","[Table_1].[Product Category].&amp;[Furniture]","[Table_1].[Region]","[Table_1].[Region].&amp;[Central]"),"")</f>
        <v>131268.74200539998</v>
      </c>
      <c r="AG21" s="180">
        <f>IFERROR(GETPIVOTDATA("[Measures].[Sum of Shipping Cost]",$AD$5,"[Table_1].[Product Category]","[Table_1].[Product Category].&amp;[Furniture]","[Table_1].[Region]","[Table_1].[Region].&amp;[Central]"),"")</f>
        <v>3295</v>
      </c>
      <c r="AH21" s="180">
        <f>IFERROR(GETPIVOTDATA("[Measures].[Sum of Discount]",$AD$5,"[Table_1].[Product Category]","[Table_1].[Product Category].&amp;[Furniture]","[Table_1].[Region]","[Table_1].[Region].&amp;[Central]"),"")</f>
        <v>5.8499999999999943</v>
      </c>
      <c r="AI21" s="180">
        <f>IFERROR(GETPIVOTDATA("[Measures].[Sum of Profit]",$AD$5,"[Table_1].[Product Category]","[Table_1].[Product Category].&amp;[Furniture]","[Table_1].[Region]","[Table_1].[Region].&amp;[Central]"),"")</f>
        <v>6301.754294600003</v>
      </c>
      <c r="AJ21" s="181">
        <f>IFERROR(GETPIVOTDATA("[Measures].[Sum of Sales]",$AD$5,"[Table_1].[Product Category]","[Table_1].[Product Category].&amp;[Furniture]","[Table_1].[Region]","[Table_1].[Region].&amp;[Central]"),"")</f>
        <v>148455.14000000001</v>
      </c>
      <c r="AK21" s="83"/>
      <c r="AL21" s="222"/>
      <c r="AM21" s="392">
        <v>42019</v>
      </c>
      <c r="AN21" s="348">
        <v>4829.95</v>
      </c>
      <c r="AO21" s="146">
        <v>-3549.8535399999996</v>
      </c>
      <c r="AP21" s="147">
        <v>130</v>
      </c>
      <c r="AQ21" s="59">
        <v>42019</v>
      </c>
      <c r="AR21" s="180">
        <v>4829.95</v>
      </c>
      <c r="AS21" s="61">
        <f t="shared" si="11"/>
        <v>1</v>
      </c>
      <c r="AT21" s="185">
        <f t="shared" si="12"/>
        <v>3</v>
      </c>
      <c r="AU21" s="196">
        <f>SMALL($AR$7:$AR$185,COUNTIF($AR$7:$AR$185,0)+2)</f>
        <v>262.77999999999997</v>
      </c>
      <c r="AV21" s="197" cm="1">
        <f t="array" ref="AV21">INDEX($AQ$7:$AQ$185,MATCH(TRUE,INDEX(_xlfn.ANCHORARRAY($AR$7)=AU21,0),0))</f>
        <v>42066</v>
      </c>
      <c r="AW21" s="186">
        <f>SMALL($AY$27:$AY$43,COUNTIF($AY$27:$AY$43,0)+2)</f>
        <v>4914.82</v>
      </c>
      <c r="AX21" s="68" t="str" cm="1">
        <f t="array" ref="AX21">INDEX($AU$27:$AU$43,MATCH(TRUE,INDEX($AY$27:$AY$43=AW21,0),0))</f>
        <v>Labels</v>
      </c>
      <c r="AY21" s="144"/>
      <c r="AZ21" s="68"/>
      <c r="BB21" s="225" t="s">
        <v>28</v>
      </c>
      <c r="BC21" s="253" t="s">
        <v>48</v>
      </c>
      <c r="BD21" s="261">
        <v>102908.14</v>
      </c>
      <c r="BE21" s="262">
        <v>8236.5897568000019</v>
      </c>
      <c r="BF21" s="322">
        <v>62</v>
      </c>
      <c r="BG21" s="263">
        <v>42185</v>
      </c>
      <c r="BH21" s="68">
        <v>8236.5897568000019</v>
      </c>
      <c r="BI21" s="233">
        <v>42185</v>
      </c>
      <c r="BJ21" s="61">
        <v>62</v>
      </c>
      <c r="BK21" s="78"/>
      <c r="BL21" s="68"/>
      <c r="BM21" s="68"/>
      <c r="BN21" s="68"/>
      <c r="BO21" s="68"/>
      <c r="BP21" s="68"/>
      <c r="BQ21" s="68"/>
      <c r="BR21" s="144"/>
      <c r="BS21" s="68"/>
      <c r="BT21" s="222"/>
      <c r="BU21" s="268" t="s">
        <v>28</v>
      </c>
      <c r="BV21" s="258">
        <v>72004.78</v>
      </c>
      <c r="BW21" s="320">
        <v>11729.914612680001</v>
      </c>
      <c r="BX21" s="321">
        <v>49</v>
      </c>
      <c r="BY21" s="259">
        <v>42181</v>
      </c>
      <c r="BZ21" s="68">
        <v>72004.78</v>
      </c>
      <c r="CA21" s="233">
        <v>42181</v>
      </c>
      <c r="CB21" s="237">
        <v>49</v>
      </c>
      <c r="CC21" s="68"/>
      <c r="CD21" s="68"/>
      <c r="CE21" s="68"/>
      <c r="CF21" s="68"/>
      <c r="CG21" s="68"/>
      <c r="CH21" s="144"/>
      <c r="CJ21" s="288"/>
      <c r="CL21" s="287"/>
      <c r="CO21" s="287"/>
    </row>
    <row r="22" spans="2:93" ht="15.75" thickBot="1" x14ac:dyDescent="0.3">
      <c r="B22" s="341" t="s">
        <v>135</v>
      </c>
      <c r="C22" s="118">
        <v>198764.49</v>
      </c>
      <c r="D22" s="333">
        <v>0.1056401133640138</v>
      </c>
      <c r="E22" s="63">
        <v>2358</v>
      </c>
      <c r="F22" s="334">
        <v>9.3936738108517256E-2</v>
      </c>
      <c r="G22" s="84" t="s">
        <v>135</v>
      </c>
      <c r="H22" s="85">
        <v>26</v>
      </c>
      <c r="I22" s="85">
        <v>17</v>
      </c>
      <c r="J22" s="86">
        <f t="shared" si="2"/>
        <v>198764.49</v>
      </c>
      <c r="K22" s="111" t="str">
        <f t="shared" si="7"/>
        <v/>
      </c>
      <c r="L22" s="111">
        <f t="shared" si="8"/>
        <v>198764.49</v>
      </c>
      <c r="M22" s="87">
        <f t="shared" si="3"/>
        <v>2358</v>
      </c>
      <c r="N22" s="88">
        <f t="shared" si="4"/>
        <v>9.3936738108517256E-2</v>
      </c>
      <c r="O22" s="63"/>
      <c r="P22" s="63"/>
      <c r="Q22" s="63"/>
      <c r="R22" s="65"/>
      <c r="S22" s="119"/>
      <c r="U22" s="222" t="s">
        <v>168</v>
      </c>
      <c r="V22" s="360">
        <v>14909.43</v>
      </c>
      <c r="W22" s="353">
        <v>13032.440979999999</v>
      </c>
      <c r="X22" s="353">
        <v>175.57</v>
      </c>
      <c r="Y22" s="355">
        <v>710.12542000000008</v>
      </c>
      <c r="Z22" s="78"/>
      <c r="AA22" s="158" t="str">
        <f t="shared" si="0"/>
        <v>Louisiana</v>
      </c>
      <c r="AB22" s="168">
        <v>14909.43</v>
      </c>
      <c r="AC22" s="144">
        <f t="shared" si="16"/>
        <v>1</v>
      </c>
      <c r="AD22" s="179" t="s">
        <v>53</v>
      </c>
      <c r="AE22" s="146" t="s">
        <v>49</v>
      </c>
      <c r="AF22" s="180">
        <f>IFERROR(GETPIVOTDATA("[Measures].[Sum of Cumulative cost]",$AD$5,"[Table_1].[Product Category]","[Table_1].[Product Category].&amp;[Office Supplies]","[Table_1].[Region]","[Table_1].[Region].&amp;[Central]"),"")</f>
        <v>80084.997369999983</v>
      </c>
      <c r="AG22" s="180">
        <f>IFERROR(GETPIVOTDATA("[Measures].[Sum of Shipping Cost]",$AD$5,"[Table_1].[Product Category]","[Table_1].[Product Category].&amp;[Office Supplies]","[Table_1].[Region]","[Table_1].[Region].&amp;[Central]"),"")</f>
        <v>2496</v>
      </c>
      <c r="AH22" s="180">
        <f>IFERROR(GETPIVOTDATA("[Measures].[Sum of Discount]",$AD$5,"[Table_1].[Product Category]","[Table_1].[Product Category].&amp;[Office Supplies]","[Table_1].[Region]","[Table_1].[Region].&amp;[Central]"),"")</f>
        <v>15.109999999999983</v>
      </c>
      <c r="AI22" s="180">
        <f>IFERROR(GETPIVOTDATA("[Measures].[Sum of Profit]",$AD$5,"[Table_1].[Product Category]","[Table_1].[Product Category].&amp;[Office Supplies]","[Table_1].[Region]","[Table_1].[Region].&amp;[Central]"),"")</f>
        <v>28333.074329999999</v>
      </c>
      <c r="AJ22" s="181">
        <f>IFERROR(GETPIVOTDATA("[Measures].[Sum of Sales]",$AD$5,"[Table_1].[Product Category]","[Table_1].[Product Category].&amp;[Office Supplies]","[Table_1].[Region]","[Table_1].[Region].&amp;[Central]"),"")</f>
        <v>115119.97</v>
      </c>
      <c r="AK22" s="83"/>
      <c r="AL22" s="222"/>
      <c r="AM22" s="392">
        <v>42020</v>
      </c>
      <c r="AN22" s="348">
        <v>3964.13</v>
      </c>
      <c r="AO22" s="146">
        <v>-823.30615732000001</v>
      </c>
      <c r="AP22" s="147">
        <v>166</v>
      </c>
      <c r="AQ22" s="59">
        <v>42020</v>
      </c>
      <c r="AR22" s="180">
        <v>3964.13</v>
      </c>
      <c r="AS22" s="61">
        <f t="shared" si="11"/>
        <v>1</v>
      </c>
      <c r="AT22" s="185">
        <f t="shared" si="12"/>
        <v>3</v>
      </c>
      <c r="AU22" s="196">
        <f>SMALL($AR$7:$AR$185,COUNTIF($AR$7:$AR$185,0)+3)</f>
        <v>338.41</v>
      </c>
      <c r="AV22" s="197" cm="1">
        <f t="array" ref="AV22">INDEX($AQ$7:$AQ$185,MATCH(TRUE,INDEX(_xlfn.ANCHORARRAY($AR$7)=AU22,0),0))</f>
        <v>42182</v>
      </c>
      <c r="AW22" s="186">
        <f>SMALL($AY$27:$AY$43,COUNTIF($AY$27:$AY$43,0)+3)</f>
        <v>6752.18</v>
      </c>
      <c r="AX22" s="68" t="str" cm="1">
        <f t="array" ref="AX22">INDEX($AU$27:$AU$43,MATCH(TRUE,INDEX($AY$27:$AY$43=AW22,0),0))</f>
        <v>Scissors, Rulers and Trimmers</v>
      </c>
      <c r="AY22" s="144"/>
      <c r="AZ22" s="68"/>
      <c r="BB22" s="222"/>
      <c r="BC22" s="257" t="s">
        <v>116</v>
      </c>
      <c r="BD22" s="258">
        <v>59390.35</v>
      </c>
      <c r="BE22" s="320">
        <v>13231.464498750001</v>
      </c>
      <c r="BF22" s="321">
        <v>47</v>
      </c>
      <c r="BG22" s="259">
        <v>42183</v>
      </c>
      <c r="BH22" s="68">
        <v>13231.464498750001</v>
      </c>
      <c r="BI22" s="233">
        <v>42183</v>
      </c>
      <c r="BJ22" s="61">
        <v>47</v>
      </c>
      <c r="BK22" s="78"/>
      <c r="BL22" s="68"/>
      <c r="BM22" s="68"/>
      <c r="BN22" s="68"/>
      <c r="BO22" s="68"/>
      <c r="BP22" s="68"/>
      <c r="BQ22" s="68"/>
      <c r="BR22" s="144"/>
      <c r="BS22" s="68"/>
      <c r="BT22" s="225" t="s">
        <v>3094</v>
      </c>
      <c r="BU22" s="221" t="s">
        <v>71</v>
      </c>
      <c r="BV22" s="261">
        <v>86227.79</v>
      </c>
      <c r="BW22" s="262">
        <v>22699.893596000005</v>
      </c>
      <c r="BX22" s="322">
        <v>66</v>
      </c>
      <c r="BY22" s="263">
        <v>42185</v>
      </c>
      <c r="BZ22" s="68">
        <v>86227.79</v>
      </c>
      <c r="CA22" s="233">
        <v>42185</v>
      </c>
      <c r="CB22" s="237">
        <v>66</v>
      </c>
      <c r="CC22" s="68"/>
      <c r="CD22" s="68"/>
      <c r="CE22" s="68"/>
      <c r="CF22" s="68"/>
      <c r="CG22" s="68"/>
      <c r="CH22" s="144"/>
      <c r="CI22" s="103"/>
      <c r="CJ22" s="288" t="s">
        <v>3099</v>
      </c>
      <c r="CK22" s="281"/>
      <c r="CL22" s="296"/>
      <c r="CO22" s="287"/>
    </row>
    <row r="23" spans="2:93" ht="15.75" thickBot="1" x14ac:dyDescent="0.3">
      <c r="B23" s="342" t="s">
        <v>3015</v>
      </c>
      <c r="C23" s="136">
        <v>1881524.77</v>
      </c>
      <c r="D23" s="335">
        <v>1</v>
      </c>
      <c r="E23" s="125">
        <v>25102</v>
      </c>
      <c r="F23" s="336">
        <v>1</v>
      </c>
      <c r="G23" s="126"/>
      <c r="H23" s="127"/>
      <c r="I23" s="127"/>
      <c r="J23" s="125"/>
      <c r="K23" s="125"/>
      <c r="L23" s="125"/>
      <c r="M23" s="125"/>
      <c r="N23" s="125"/>
      <c r="O23" s="125"/>
      <c r="P23" s="125"/>
      <c r="Q23" s="125"/>
      <c r="R23" s="128"/>
      <c r="S23" s="129"/>
      <c r="U23" s="222" t="s">
        <v>331</v>
      </c>
      <c r="V23" s="360">
        <v>30532.71</v>
      </c>
      <c r="W23" s="353">
        <v>24783.743806999999</v>
      </c>
      <c r="X23" s="353">
        <v>502.27</v>
      </c>
      <c r="Y23" s="355">
        <v>3169.4628930000008</v>
      </c>
      <c r="Z23" s="78"/>
      <c r="AA23" s="158" t="str">
        <f t="shared" si="0"/>
        <v>Maine</v>
      </c>
      <c r="AB23" s="168">
        <v>30532.71</v>
      </c>
      <c r="AC23" s="144">
        <f t="shared" si="16"/>
        <v>1</v>
      </c>
      <c r="AD23" s="179" t="s">
        <v>53</v>
      </c>
      <c r="AE23" s="146" t="s">
        <v>41</v>
      </c>
      <c r="AF23" s="180">
        <f>IFERROR(GETPIVOTDATA("[Measures].[Sum of Cumulative cost]",$AD$5,"[Table_1].[Product Category]","[Table_1].[Product Category].&amp;[Technology]","[Table_1].[Region]","[Table_1].[Region].&amp;[Central]"),"")</f>
        <v>123747.83775599999</v>
      </c>
      <c r="AG23" s="180">
        <f>IFERROR(GETPIVOTDATA("[Measures].[Sum of Shipping Cost]",$AD$5,"[Table_1].[Product Category]","[Table_1].[Product Category].&amp;[Technology]","[Table_1].[Region]","[Table_1].[Region].&amp;[Central]"),"")</f>
        <v>1229.6600000000001</v>
      </c>
      <c r="AH23" s="180">
        <f>IFERROR(GETPIVOTDATA("[Measures].[Sum of Discount]",$AD$5,"[Table_1].[Product Category]","[Table_1].[Product Category].&amp;[Technology]","[Table_1].[Region]","[Table_1].[Region].&amp;[Central]"),"")</f>
        <v>6.4799999999999933</v>
      </c>
      <c r="AI23" s="180">
        <f>IFERROR(GETPIVOTDATA("[Measures].[Sum of Profit]",$AD$5,"[Table_1].[Product Category]","[Table_1].[Product Category].&amp;[Technology]","[Table_1].[Region]","[Table_1].[Region].&amp;[Central]"),"")</f>
        <v>44010.946644000011</v>
      </c>
      <c r="AJ23" s="181">
        <f>IFERROR(GETPIVOTDATA("[Measures].[Sum of Sales]",$AD$5,"[Table_1].[Product Category]","[Table_1].[Product Category].&amp;[Technology]","[Table_1].[Region]","[Table_1].[Region].&amp;[Central]"),"")</f>
        <v>177870.51</v>
      </c>
      <c r="AK23" s="83"/>
      <c r="AL23" s="222"/>
      <c r="AM23" s="392">
        <v>42021</v>
      </c>
      <c r="AN23" s="348">
        <v>6667.69</v>
      </c>
      <c r="AO23" s="146">
        <v>-1565.7061300000003</v>
      </c>
      <c r="AP23" s="147">
        <v>217</v>
      </c>
      <c r="AQ23" s="59">
        <v>42021</v>
      </c>
      <c r="AR23" s="180">
        <v>6667.69</v>
      </c>
      <c r="AS23" s="61">
        <f t="shared" si="11"/>
        <v>1</v>
      </c>
      <c r="AT23" s="185">
        <f t="shared" si="12"/>
        <v>3</v>
      </c>
      <c r="AU23" s="143"/>
      <c r="AV23" s="68"/>
      <c r="AW23" s="68"/>
      <c r="AX23" s="68"/>
      <c r="AY23" s="144"/>
      <c r="AZ23" s="68"/>
      <c r="BB23" s="222"/>
      <c r="BC23" s="257" t="s">
        <v>38</v>
      </c>
      <c r="BD23" s="258">
        <v>38272.589999999997</v>
      </c>
      <c r="BE23" s="320">
        <v>8144.6507180000026</v>
      </c>
      <c r="BF23" s="321">
        <v>52</v>
      </c>
      <c r="BG23" s="259">
        <v>42183</v>
      </c>
      <c r="BH23" s="68">
        <v>8144.6507180000026</v>
      </c>
      <c r="BI23" s="233">
        <v>42183</v>
      </c>
      <c r="BJ23" s="61">
        <v>52</v>
      </c>
      <c r="BK23" s="78"/>
      <c r="BL23" s="68"/>
      <c r="BM23" s="68"/>
      <c r="BN23" s="68"/>
      <c r="BO23" s="68"/>
      <c r="BP23" s="68"/>
      <c r="BQ23" s="68"/>
      <c r="BR23" s="144"/>
      <c r="BS23" s="68"/>
      <c r="BT23" s="222"/>
      <c r="BU23" s="267" t="s">
        <v>40</v>
      </c>
      <c r="BV23" s="258">
        <v>60238.44</v>
      </c>
      <c r="BW23" s="320">
        <v>13436.388891999999</v>
      </c>
      <c r="BX23" s="321">
        <v>61</v>
      </c>
      <c r="BY23" s="259">
        <v>42185</v>
      </c>
      <c r="BZ23" s="68">
        <v>60238.44</v>
      </c>
      <c r="CA23" s="233">
        <v>42185</v>
      </c>
      <c r="CB23" s="61">
        <v>61</v>
      </c>
      <c r="CC23" s="78"/>
      <c r="CD23" s="68"/>
      <c r="CE23" s="68"/>
      <c r="CF23" s="68"/>
      <c r="CG23" s="68"/>
      <c r="CH23" s="144"/>
      <c r="CI23" s="103"/>
      <c r="CJ23" s="314" t="s">
        <v>11</v>
      </c>
      <c r="CK23" s="312" t="s">
        <v>20</v>
      </c>
      <c r="CL23" s="318" t="s">
        <v>3016</v>
      </c>
      <c r="CO23" s="287"/>
    </row>
    <row r="24" spans="2:93" ht="15.75" thickBot="1" x14ac:dyDescent="0.3">
      <c r="B24" s="63"/>
      <c r="C24" s="63"/>
      <c r="D24" s="63"/>
      <c r="E24" s="63"/>
      <c r="F24" s="63"/>
      <c r="G24" s="63"/>
      <c r="H24" s="64"/>
      <c r="I24" s="64"/>
      <c r="J24" s="63"/>
      <c r="K24" s="63"/>
      <c r="L24" s="63"/>
      <c r="M24" s="63"/>
      <c r="N24" s="63"/>
      <c r="O24" s="63"/>
      <c r="P24" s="63"/>
      <c r="Q24" s="63"/>
      <c r="R24" s="65"/>
      <c r="S24" s="65"/>
      <c r="U24" s="222" t="s">
        <v>418</v>
      </c>
      <c r="V24" s="360">
        <v>15403.56</v>
      </c>
      <c r="W24" s="353">
        <v>13032.598839999999</v>
      </c>
      <c r="X24" s="353">
        <v>373.22</v>
      </c>
      <c r="Y24" s="355">
        <v>1336.0164599999991</v>
      </c>
      <c r="Z24" s="78"/>
      <c r="AA24" s="158" t="str">
        <f t="shared" si="0"/>
        <v>Maryland</v>
      </c>
      <c r="AB24" s="168">
        <v>15403.56</v>
      </c>
      <c r="AC24" s="144">
        <f t="shared" si="16"/>
        <v>1</v>
      </c>
      <c r="AD24" s="179" t="s">
        <v>111</v>
      </c>
      <c r="AE24" s="146" t="s">
        <v>29</v>
      </c>
      <c r="AF24" s="180">
        <f>IFERROR(GETPIVOTDATA("[Measures].[Sum of Cumulative cost]",$AD$5,"[Table_1].[Product Category]","[Table_1].[Product Category].&amp;[Furniture]","[Table_1].[Region]","[Table_1].[Region].&amp;[East]"),"")</f>
        <v>178464.49809199994</v>
      </c>
      <c r="AG24" s="180">
        <f>IFERROR(GETPIVOTDATA("[Measures].[Sum of Shipping Cost]",$AD$5,"[Table_1].[Product Category]","[Table_1].[Product Category].&amp;[Furniture]","[Table_1].[Region]","[Table_1].[Region].&amp;[East]"),"")</f>
        <v>3275.32</v>
      </c>
      <c r="AH24" s="180">
        <f>IFERROR(GETPIVOTDATA("[Measures].[Sum of Discount]",$AD$5,"[Table_1].[Product Category]","[Table_1].[Product Category].&amp;[Furniture]","[Table_1].[Region]","[Table_1].[Region].&amp;[East]"),"")</f>
        <v>4.7399999999999949</v>
      </c>
      <c r="AI24" s="180">
        <f>IFERROR(GETPIVOTDATA("[Measures].[Sum of Profit]",$AD$5,"[Table_1].[Product Category]","[Table_1].[Product Category].&amp;[Furniture]","[Table_1].[Region]","[Table_1].[Region].&amp;[East]"),"")</f>
        <v>-923.6501919999962</v>
      </c>
      <c r="AJ24" s="181">
        <f>IFERROR(GETPIVOTDATA("[Measures].[Sum of Sales]",$AD$5,"[Table_1].[Product Category]","[Table_1].[Product Category].&amp;[Furniture]","[Table_1].[Region]","[Table_1].[Region].&amp;[East]"),"")</f>
        <v>189677.38</v>
      </c>
      <c r="AK24" s="83"/>
      <c r="AL24" s="222"/>
      <c r="AM24" s="392">
        <v>42022</v>
      </c>
      <c r="AN24" s="348">
        <v>2987.38</v>
      </c>
      <c r="AO24" s="146">
        <v>2760.40454</v>
      </c>
      <c r="AP24" s="147">
        <v>27</v>
      </c>
      <c r="AQ24" s="59">
        <v>42022</v>
      </c>
      <c r="AR24" s="180">
        <v>2987.38</v>
      </c>
      <c r="AS24" s="61">
        <f t="shared" si="11"/>
        <v>1</v>
      </c>
      <c r="AT24" s="185">
        <f t="shared" si="12"/>
        <v>4</v>
      </c>
      <c r="AU24" s="143"/>
      <c r="AV24" s="68"/>
      <c r="AW24" s="68"/>
      <c r="AX24" s="68"/>
      <c r="AY24" s="144"/>
      <c r="AZ24" s="68"/>
      <c r="BB24" s="222"/>
      <c r="BC24" s="257" t="s">
        <v>26</v>
      </c>
      <c r="BD24" s="258">
        <v>72004.78</v>
      </c>
      <c r="BE24" s="320">
        <v>11729.914612680001</v>
      </c>
      <c r="BF24" s="321">
        <v>49</v>
      </c>
      <c r="BG24" s="259">
        <v>42181</v>
      </c>
      <c r="BH24" s="68">
        <v>11729.914612680001</v>
      </c>
      <c r="BI24" s="233">
        <v>42181</v>
      </c>
      <c r="BJ24" s="61">
        <v>49</v>
      </c>
      <c r="BK24" s="78"/>
      <c r="BL24" s="68"/>
      <c r="BM24" s="68"/>
      <c r="BN24" s="68"/>
      <c r="BO24" s="68"/>
      <c r="BP24" s="68"/>
      <c r="BQ24" s="68"/>
      <c r="BR24" s="144"/>
      <c r="BS24" s="68"/>
      <c r="BT24" s="222"/>
      <c r="BU24" s="267" t="s">
        <v>94</v>
      </c>
      <c r="BV24" s="258">
        <v>147995.46</v>
      </c>
      <c r="BW24" s="320">
        <v>8400.3930129999972</v>
      </c>
      <c r="BX24" s="321">
        <v>97</v>
      </c>
      <c r="BY24" s="259">
        <v>42182</v>
      </c>
      <c r="BZ24" s="68">
        <v>147995.46</v>
      </c>
      <c r="CA24" s="233">
        <v>42182</v>
      </c>
      <c r="CB24" s="61">
        <v>97</v>
      </c>
      <c r="CC24" s="78"/>
      <c r="CD24" s="68"/>
      <c r="CE24" s="68"/>
      <c r="CF24" s="68"/>
      <c r="CG24" s="68"/>
      <c r="CH24" s="144"/>
      <c r="CI24" s="103"/>
      <c r="CJ24" s="315" t="s">
        <v>314</v>
      </c>
      <c r="CK24" s="308">
        <v>-27621.245408000002</v>
      </c>
      <c r="CL24" s="297">
        <v>7</v>
      </c>
      <c r="CO24" s="287"/>
    </row>
    <row r="25" spans="2:93" ht="15.75" thickBot="1" x14ac:dyDescent="0.3">
      <c r="B25" s="63"/>
      <c r="C25" s="63"/>
      <c r="D25" s="63"/>
      <c r="E25" s="63"/>
      <c r="F25" s="63"/>
      <c r="G25" s="63"/>
      <c r="H25" s="64"/>
      <c r="I25" s="64"/>
      <c r="J25" s="63"/>
      <c r="K25" s="63"/>
      <c r="L25" s="63"/>
      <c r="M25" s="63"/>
      <c r="N25" s="63"/>
      <c r="O25" s="63"/>
      <c r="P25" s="63"/>
      <c r="Q25" s="63"/>
      <c r="R25" s="65"/>
      <c r="S25" s="65"/>
      <c r="U25" s="222" t="s">
        <v>403</v>
      </c>
      <c r="V25" s="360">
        <v>59114.82</v>
      </c>
      <c r="W25" s="353">
        <v>49711.163120000012</v>
      </c>
      <c r="X25" s="353">
        <v>538.89</v>
      </c>
      <c r="Y25" s="355">
        <v>5293.7839800000002</v>
      </c>
      <c r="Z25" s="78"/>
      <c r="AA25" s="158" t="str">
        <f t="shared" si="0"/>
        <v>Massachusetts</v>
      </c>
      <c r="AB25" s="168">
        <v>59114.82</v>
      </c>
      <c r="AC25" s="144">
        <f t="shared" si="16"/>
        <v>1</v>
      </c>
      <c r="AD25" s="179" t="s">
        <v>111</v>
      </c>
      <c r="AE25" s="146" t="s">
        <v>49</v>
      </c>
      <c r="AF25" s="180">
        <f>IFERROR(GETPIVOTDATA("[Measures].[Sum of Cumulative cost]",$AD$5,"[Table_1].[Product Category]","[Table_1].[Product Category].&amp;[Office Supplies]","[Table_1].[Region]","[Table_1].[Region].&amp;[East]"),"")</f>
        <v>147891.75536999988</v>
      </c>
      <c r="AG25" s="180">
        <f>IFERROR(GETPIVOTDATA("[Measures].[Sum of Shipping Cost]",$AD$5,"[Table_1].[Product Category]","[Table_1].[Product Category].&amp;[Office Supplies]","[Table_1].[Region]","[Table_1].[Region].&amp;[East]"),"")</f>
        <v>2138.65</v>
      </c>
      <c r="AH25" s="180">
        <f>IFERROR(GETPIVOTDATA("[Measures].[Sum of Discount]",$AD$5,"[Table_1].[Product Category]","[Table_1].[Product Category].&amp;[Office Supplies]","[Table_1].[Region]","[Table_1].[Region].&amp;[East]"),"")</f>
        <v>13.469999999999972</v>
      </c>
      <c r="AI25" s="180">
        <f>IFERROR(GETPIVOTDATA("[Measures].[Sum of Profit]",$AD$5,"[Table_1].[Product Category]","[Table_1].[Product Category].&amp;[Office Supplies]","[Table_1].[Region]","[Table_1].[Region].&amp;[East]"),"")</f>
        <v>51854.281129999996</v>
      </c>
      <c r="AJ25" s="181">
        <f>IFERROR(GETPIVOTDATA("[Measures].[Sum of Sales]",$AD$5,"[Table_1].[Product Category]","[Table_1].[Product Category].&amp;[Office Supplies]","[Table_1].[Region]","[Table_1].[Region].&amp;[East]"),"")</f>
        <v>210991.5</v>
      </c>
      <c r="AK25" s="83"/>
      <c r="AL25" s="222"/>
      <c r="AM25" s="392">
        <v>42023</v>
      </c>
      <c r="AN25" s="348">
        <v>1652.89</v>
      </c>
      <c r="AO25" s="146">
        <v>539.44622000000004</v>
      </c>
      <c r="AP25" s="147">
        <v>21</v>
      </c>
      <c r="AQ25" s="59">
        <v>42023</v>
      </c>
      <c r="AR25" s="180">
        <v>1652.89</v>
      </c>
      <c r="AS25" s="61">
        <f t="shared" si="11"/>
        <v>1</v>
      </c>
      <c r="AT25" s="185">
        <f t="shared" si="12"/>
        <v>4</v>
      </c>
      <c r="AU25" s="139" t="s">
        <v>3089</v>
      </c>
      <c r="AV25" s="68"/>
      <c r="AW25" s="68"/>
      <c r="AX25" s="68"/>
      <c r="AY25" s="147"/>
      <c r="AZ25" s="68"/>
      <c r="BB25" s="223"/>
      <c r="BC25" s="260" t="s">
        <v>3094</v>
      </c>
      <c r="BD25" s="264">
        <v>118690.16</v>
      </c>
      <c r="BE25" s="265">
        <v>22947.839705000009</v>
      </c>
      <c r="BF25" s="323">
        <v>53</v>
      </c>
      <c r="BG25" s="266">
        <v>42180</v>
      </c>
      <c r="BH25" s="68">
        <v>22947.839705000009</v>
      </c>
      <c r="BI25" s="233">
        <v>42180</v>
      </c>
      <c r="BJ25" s="61">
        <v>53</v>
      </c>
      <c r="BK25" s="78"/>
      <c r="BL25" s="68"/>
      <c r="BM25" s="68"/>
      <c r="BN25" s="68"/>
      <c r="BO25" s="68"/>
      <c r="BP25" s="68"/>
      <c r="BQ25" s="68"/>
      <c r="BR25" s="144"/>
      <c r="BS25" s="68"/>
      <c r="BT25" s="223"/>
      <c r="BU25" s="268" t="s">
        <v>28</v>
      </c>
      <c r="BV25" s="264">
        <v>118690.16</v>
      </c>
      <c r="BW25" s="265">
        <v>22947.839705000009</v>
      </c>
      <c r="BX25" s="323">
        <v>53</v>
      </c>
      <c r="BY25" s="266">
        <v>42180</v>
      </c>
      <c r="BZ25" s="68">
        <v>118690.16</v>
      </c>
      <c r="CA25" s="233">
        <v>42180</v>
      </c>
      <c r="CB25" s="61">
        <v>53</v>
      </c>
      <c r="CC25" s="78"/>
      <c r="CD25" s="68"/>
      <c r="CE25" s="68"/>
      <c r="CF25" s="68"/>
      <c r="CG25" s="68"/>
      <c r="CH25" s="144"/>
      <c r="CI25" s="103"/>
      <c r="CJ25" s="316" t="s">
        <v>1249</v>
      </c>
      <c r="CK25" s="309">
        <v>-12548.946099999999</v>
      </c>
      <c r="CL25" s="296">
        <v>51</v>
      </c>
      <c r="CO25" s="287"/>
    </row>
    <row r="26" spans="2:93" ht="15.75" thickBot="1" x14ac:dyDescent="0.3">
      <c r="B26" s="113" t="s">
        <v>3077</v>
      </c>
      <c r="C26" s="114"/>
      <c r="D26" s="130"/>
      <c r="E26" s="131"/>
      <c r="F26" s="132" t="s">
        <v>3079</v>
      </c>
      <c r="G26" s="133"/>
      <c r="H26" s="137"/>
      <c r="I26" s="138" t="s">
        <v>3080</v>
      </c>
      <c r="J26" s="133"/>
      <c r="K26" s="63"/>
      <c r="L26" s="63"/>
      <c r="M26" s="63"/>
      <c r="N26" s="63"/>
      <c r="O26" s="63"/>
      <c r="P26" s="63"/>
      <c r="Q26" s="63"/>
      <c r="R26" s="65"/>
      <c r="S26" s="65"/>
      <c r="U26" s="222" t="s">
        <v>289</v>
      </c>
      <c r="V26" s="360">
        <v>69641.81</v>
      </c>
      <c r="W26" s="353">
        <v>53617.758808400016</v>
      </c>
      <c r="X26" s="353">
        <v>832.47</v>
      </c>
      <c r="Y26" s="355">
        <v>12307.551891600006</v>
      </c>
      <c r="Z26" s="78"/>
      <c r="AA26" s="158" t="str">
        <f t="shared" si="0"/>
        <v>Michigan</v>
      </c>
      <c r="AB26" s="168">
        <v>69641.81</v>
      </c>
      <c r="AC26" s="144">
        <f t="shared" si="16"/>
        <v>1</v>
      </c>
      <c r="AD26" s="179" t="s">
        <v>111</v>
      </c>
      <c r="AE26" s="146" t="s">
        <v>41</v>
      </c>
      <c r="AF26" s="180">
        <f>IFERROR(GETPIVOTDATA("[Measures].[Sum of Cumulative cost]",$AD$5,"[Table_1].[Product Category]","[Table_1].[Product Category].&amp;[Technology]","[Table_1].[Region]","[Table_1].[Region].&amp;[East]"),"")</f>
        <v>138872.93219199998</v>
      </c>
      <c r="AG26" s="180">
        <f>IFERROR(GETPIVOTDATA("[Measures].[Sum of Shipping Cost]",$AD$5,"[Table_1].[Product Category]","[Table_1].[Product Category].&amp;[Technology]","[Table_1].[Region]","[Table_1].[Region].&amp;[East]"),"")</f>
        <v>1032.54</v>
      </c>
      <c r="AH26" s="180">
        <f>IFERROR(GETPIVOTDATA("[Measures].[Sum of Discount]",$AD$5,"[Table_1].[Product Category]","[Table_1].[Product Category].&amp;[Technology]","[Table_1].[Region]","[Table_1].[Region].&amp;[East]"),"")</f>
        <v>5.1499999999999941</v>
      </c>
      <c r="AI26" s="180">
        <f>IFERROR(GETPIVOTDATA("[Measures].[Sum of Profit]",$AD$5,"[Table_1].[Product Category]","[Table_1].[Product Category].&amp;[Technology]","[Table_1].[Region]","[Table_1].[Region].&amp;[East]"),"")</f>
        <v>34646.814908</v>
      </c>
      <c r="AJ26" s="181">
        <f>IFERROR(GETPIVOTDATA("[Measures].[Sum of Sales]",$AD$5,"[Table_1].[Product Category]","[Table_1].[Product Category].&amp;[Technology]","[Table_1].[Region]","[Table_1].[Region].&amp;[East]"),"")</f>
        <v>184055.31</v>
      </c>
      <c r="AK26" s="83"/>
      <c r="AL26" s="222"/>
      <c r="AM26" s="392">
        <v>42024</v>
      </c>
      <c r="AN26" s="348">
        <v>6109.01</v>
      </c>
      <c r="AO26" s="146">
        <v>641.34900000000016</v>
      </c>
      <c r="AP26" s="147">
        <v>64</v>
      </c>
      <c r="AQ26" s="59">
        <v>42024</v>
      </c>
      <c r="AR26" s="180">
        <v>6109.01</v>
      </c>
      <c r="AS26" s="61">
        <f t="shared" si="11"/>
        <v>1</v>
      </c>
      <c r="AT26" s="185">
        <f t="shared" si="12"/>
        <v>4</v>
      </c>
      <c r="AU26" s="394" t="s">
        <v>3060</v>
      </c>
      <c r="AV26" s="379" t="s">
        <v>22</v>
      </c>
      <c r="AW26" s="380" t="s">
        <v>20</v>
      </c>
      <c r="AX26" s="381" t="s">
        <v>3058</v>
      </c>
      <c r="AY26" s="199" t="str">
        <f>AR5</f>
        <v>Sales</v>
      </c>
      <c r="AZ26" s="68"/>
      <c r="BB26" s="244"/>
      <c r="BC26" s="175"/>
      <c r="BD26" s="245">
        <f>SUM(BD6:BD25)</f>
        <v>1881524.77</v>
      </c>
      <c r="BE26" s="245">
        <f t="shared" ref="BE26:BF26" si="17">SUM(BE6:BE25)</f>
        <v>215023.39973715</v>
      </c>
      <c r="BF26" s="245">
        <f t="shared" si="17"/>
        <v>1361</v>
      </c>
      <c r="BG26" s="175"/>
      <c r="BH26" s="245"/>
      <c r="BI26" s="245"/>
      <c r="BJ26" s="245"/>
      <c r="BK26" s="175"/>
      <c r="BL26" s="175"/>
      <c r="BM26" s="175"/>
      <c r="BN26" s="175"/>
      <c r="BO26" s="175"/>
      <c r="BP26" s="175"/>
      <c r="BQ26" s="175"/>
      <c r="BR26" s="178"/>
      <c r="BS26" s="68"/>
      <c r="BT26" s="272"/>
      <c r="BU26" s="273"/>
      <c r="BV26" s="273"/>
      <c r="BW26" s="273"/>
      <c r="BX26" s="273"/>
      <c r="BY26" s="273"/>
      <c r="BZ26" s="245"/>
      <c r="CA26" s="245"/>
      <c r="CB26" s="245"/>
      <c r="CC26" s="175"/>
      <c r="CD26" s="175"/>
      <c r="CE26" s="175"/>
      <c r="CF26" s="175"/>
      <c r="CG26" s="175"/>
      <c r="CH26" s="178"/>
      <c r="CI26" s="103"/>
      <c r="CJ26" s="317" t="s">
        <v>841</v>
      </c>
      <c r="CK26" s="310">
        <v>-10999.533191999999</v>
      </c>
      <c r="CL26" s="412">
        <v>2</v>
      </c>
      <c r="CM26" s="290"/>
      <c r="CN26" s="291"/>
      <c r="CO26" s="292"/>
    </row>
    <row r="27" spans="2:93" ht="15.75" thickBot="1" x14ac:dyDescent="0.3">
      <c r="B27" s="338" t="s">
        <v>9</v>
      </c>
      <c r="C27" s="328" t="s">
        <v>22</v>
      </c>
      <c r="D27" s="329" t="s">
        <v>3032</v>
      </c>
      <c r="E27" s="118" t="s">
        <v>3078</v>
      </c>
      <c r="F27" s="329" t="s">
        <v>9</v>
      </c>
      <c r="G27" s="329" t="s">
        <v>3030</v>
      </c>
      <c r="H27" s="118" t="s">
        <v>3038</v>
      </c>
      <c r="I27" s="329" t="s">
        <v>9</v>
      </c>
      <c r="J27" s="329" t="s">
        <v>3030</v>
      </c>
      <c r="K27" s="63"/>
      <c r="L27" s="63"/>
      <c r="M27" s="63"/>
      <c r="N27" s="63"/>
      <c r="O27" s="63"/>
      <c r="P27" s="63"/>
      <c r="Q27" s="65"/>
      <c r="R27" s="65"/>
      <c r="S27" s="65"/>
      <c r="T27" s="55"/>
      <c r="U27" s="222" t="s">
        <v>84</v>
      </c>
      <c r="V27" s="360">
        <v>37752.28</v>
      </c>
      <c r="W27" s="353">
        <v>28252.06884</v>
      </c>
      <c r="X27" s="353">
        <v>858.77</v>
      </c>
      <c r="Y27" s="355">
        <v>6932.4458599999989</v>
      </c>
      <c r="Z27" s="78"/>
      <c r="AA27" s="158" t="str">
        <f t="shared" si="0"/>
        <v>Minnesota</v>
      </c>
      <c r="AB27" s="168">
        <v>37752.28</v>
      </c>
      <c r="AC27" s="144">
        <f t="shared" si="16"/>
        <v>1</v>
      </c>
      <c r="AD27" s="179" t="s">
        <v>34</v>
      </c>
      <c r="AE27" s="146" t="s">
        <v>29</v>
      </c>
      <c r="AF27" s="180">
        <f>IFERROR(GETPIVOTDATA("[Measures].[Sum of Cumulative cost]",$AD$5,"[Table_1].[Product Category]","[Table_1].[Product Category].&amp;[Furniture]","[Table_1].[Region]","[Table_1].[Region].&amp;[South]"),"")</f>
        <v>90867.02654625001</v>
      </c>
      <c r="AG27" s="180">
        <f>IFERROR(GETPIVOTDATA("[Measures].[Sum of Shipping Cost]",$AD$5,"[Table_1].[Product Category]","[Table_1].[Product Category].&amp;[Furniture]","[Table_1].[Region]","[Table_1].[Region].&amp;[South]"),"")</f>
        <v>2585.48</v>
      </c>
      <c r="AH27" s="180">
        <f>IFERROR(GETPIVOTDATA("[Measures].[Sum of Discount]",$AD$5,"[Table_1].[Product Category]","[Table_1].[Product Category].&amp;[Furniture]","[Table_1].[Region]","[Table_1].[Region].&amp;[South]"),"")</f>
        <v>4.1999999999999993</v>
      </c>
      <c r="AI27" s="180">
        <f>IFERROR(GETPIVOTDATA("[Measures].[Sum of Profit]",$AD$5,"[Table_1].[Product Category]","[Table_1].[Product Category].&amp;[Furniture]","[Table_1].[Region]","[Table_1].[Region].&amp;[South]"),"")</f>
        <v>-1862.118946250001</v>
      </c>
      <c r="AJ27" s="181">
        <f>IFERROR(GETPIVOTDATA("[Measures].[Sum of Sales]",$AD$5,"[Table_1].[Product Category]","[Table_1].[Product Category].&amp;[Furniture]","[Table_1].[Region]","[Table_1].[Region].&amp;[South]"),"")</f>
        <v>97290.37</v>
      </c>
      <c r="AK27" s="83"/>
      <c r="AL27" s="222"/>
      <c r="AM27" s="392">
        <v>42025</v>
      </c>
      <c r="AN27" s="348">
        <v>12281.51</v>
      </c>
      <c r="AO27" s="146">
        <v>959.18362399999944</v>
      </c>
      <c r="AP27" s="147">
        <v>224</v>
      </c>
      <c r="AQ27" s="59">
        <v>42025</v>
      </c>
      <c r="AR27" s="180">
        <v>12281.51</v>
      </c>
      <c r="AS27" s="61">
        <f t="shared" si="11"/>
        <v>1</v>
      </c>
      <c r="AT27" s="185">
        <f t="shared" si="12"/>
        <v>4</v>
      </c>
      <c r="AU27" s="404" t="s">
        <v>95</v>
      </c>
      <c r="AV27" s="366">
        <v>82201.149999999994</v>
      </c>
      <c r="AW27" s="346">
        <v>12594.820600000001</v>
      </c>
      <c r="AX27" s="347">
        <v>1187</v>
      </c>
      <c r="AY27" s="181" cm="1">
        <f t="array" ref="AY27:AY43">IFERROR(INDEX($AV$27:$AX$43,,_xlfn.XMATCH($AR$6,$AV$26:$AX$26)),"")</f>
        <v>82201.149999999994</v>
      </c>
      <c r="AZ27" s="68"/>
      <c r="BE27" s="55"/>
      <c r="BF27" s="55"/>
      <c r="BG27" s="55"/>
      <c r="BH27" s="55"/>
      <c r="BI27" s="55"/>
      <c r="BJ27" s="55"/>
      <c r="BT27" s="271"/>
      <c r="BU27" s="271"/>
      <c r="BV27" s="271"/>
      <c r="BW27" s="271"/>
      <c r="BX27" s="271"/>
      <c r="BY27" s="271"/>
    </row>
    <row r="28" spans="2:93" ht="15.75" thickBot="1" x14ac:dyDescent="0.3">
      <c r="B28" s="339" t="s">
        <v>3034</v>
      </c>
      <c r="C28" s="344">
        <v>264998.55</v>
      </c>
      <c r="D28" s="331">
        <v>264998.55</v>
      </c>
      <c r="E28" s="134">
        <f>AVERAGE(C28:C33)</f>
        <v>313587.46166666667</v>
      </c>
      <c r="F28" s="117" t="s">
        <v>3034</v>
      </c>
      <c r="G28" s="331">
        <v>-657.53850031999514</v>
      </c>
      <c r="H28" s="135">
        <f>GETPIVOTDATA("[Measures].[Sum of Profit]",$I$27)</f>
        <v>215023.39973715009</v>
      </c>
      <c r="I28" s="117" t="s">
        <v>53</v>
      </c>
      <c r="J28" s="331">
        <v>78645.775268599988</v>
      </c>
      <c r="K28" s="63"/>
      <c r="L28" s="63"/>
      <c r="M28" s="63"/>
      <c r="N28" s="63"/>
      <c r="O28" s="63"/>
      <c r="P28" s="63"/>
      <c r="Q28" s="65"/>
      <c r="R28" s="89"/>
      <c r="S28" s="90"/>
      <c r="T28" s="91"/>
      <c r="U28" s="222" t="s">
        <v>35</v>
      </c>
      <c r="V28" s="360">
        <v>9689.58</v>
      </c>
      <c r="W28" s="353">
        <v>9376.7114499999989</v>
      </c>
      <c r="X28" s="353">
        <v>263.61</v>
      </c>
      <c r="Y28" s="355">
        <v>-529.91494999999998</v>
      </c>
      <c r="Z28" s="78"/>
      <c r="AA28" s="158" t="str">
        <f t="shared" si="0"/>
        <v>Mississippi</v>
      </c>
      <c r="AB28" s="168">
        <v>9689.58</v>
      </c>
      <c r="AC28" s="144">
        <f t="shared" si="16"/>
        <v>1</v>
      </c>
      <c r="AD28" s="179" t="s">
        <v>34</v>
      </c>
      <c r="AE28" s="146" t="s">
        <v>49</v>
      </c>
      <c r="AF28" s="180">
        <f>IFERROR(GETPIVOTDATA("[Measures].[Sum of Cumulative cost]",$AD$5,"[Table_1].[Product Category]","[Table_1].[Product Category].&amp;[Office Supplies]","[Table_1].[Region]","[Table_1].[Region].&amp;[South]"),"")</f>
        <v>108121.61715319999</v>
      </c>
      <c r="AG28" s="180">
        <f>IFERROR(GETPIVOTDATA("[Measures].[Sum of Shipping Cost]",$AD$5,"[Table_1].[Product Category]","[Table_1].[Product Category].&amp;[Office Supplies]","[Table_1].[Region]","[Table_1].[Region].&amp;[South]"),"")</f>
        <v>1897.34</v>
      </c>
      <c r="AH28" s="180">
        <f>IFERROR(GETPIVOTDATA("[Measures].[Sum of Discount]",$AD$5,"[Table_1].[Product Category]","[Table_1].[Product Category].&amp;[Office Supplies]","[Table_1].[Region]","[Table_1].[Region].&amp;[South]"),"")</f>
        <v>11.74999999999998</v>
      </c>
      <c r="AI28" s="180">
        <f>IFERROR(GETPIVOTDATA("[Measures].[Sum of Profit]",$AD$5,"[Table_1].[Product Category]","[Table_1].[Product Category].&amp;[Office Supplies]","[Table_1].[Region]","[Table_1].[Region].&amp;[South]"),"")</f>
        <v>-2119.4586532000021</v>
      </c>
      <c r="AJ28" s="181">
        <f>IFERROR(GETPIVOTDATA("[Measures].[Sum of Sales]",$AD$5,"[Table_1].[Product Category]","[Table_1].[Product Category].&amp;[Office Supplies]","[Table_1].[Region]","[Table_1].[Region].&amp;[South]"),"")</f>
        <v>112566.34</v>
      </c>
      <c r="AK28" s="83"/>
      <c r="AL28" s="222"/>
      <c r="AM28" s="392">
        <v>42026</v>
      </c>
      <c r="AN28" s="348">
        <v>13513.64</v>
      </c>
      <c r="AO28" s="146">
        <v>4737.4732800000011</v>
      </c>
      <c r="AP28" s="147">
        <v>104</v>
      </c>
      <c r="AQ28" s="59">
        <v>42026</v>
      </c>
      <c r="AR28" s="180">
        <v>13513.64</v>
      </c>
      <c r="AS28" s="61">
        <f t="shared" si="11"/>
        <v>1</v>
      </c>
      <c r="AT28" s="185">
        <f t="shared" si="12"/>
        <v>4</v>
      </c>
      <c r="AU28" s="405" t="s">
        <v>72</v>
      </c>
      <c r="AV28" s="398">
        <v>185928.14</v>
      </c>
      <c r="AW28" s="399">
        <v>59296.389429999988</v>
      </c>
      <c r="AX28" s="400">
        <v>2554</v>
      </c>
      <c r="AY28" s="181">
        <v>185928.14</v>
      </c>
      <c r="AZ28" s="68"/>
      <c r="BB28" s="112" t="s">
        <v>3022</v>
      </c>
      <c r="BE28" s="55"/>
      <c r="BF28" s="55"/>
      <c r="BG28" s="55"/>
      <c r="BH28" s="55"/>
      <c r="BI28" s="55"/>
      <c r="BJ28" s="55"/>
      <c r="BT28" s="271"/>
      <c r="BU28" s="271"/>
      <c r="BV28" s="271"/>
      <c r="BW28" s="271"/>
      <c r="BX28" s="271"/>
      <c r="BY28" s="271"/>
      <c r="CI28" s="103"/>
      <c r="CJ28" s="298" t="s">
        <v>3100</v>
      </c>
      <c r="CK28" s="293"/>
      <c r="CL28" s="297"/>
      <c r="CM28" s="276" t="s">
        <v>3053</v>
      </c>
      <c r="CN28" s="279" t="str">
        <f>CHOOSE(Distribution!AH8,"Sales", "Profit")</f>
        <v>Profit</v>
      </c>
      <c r="CO28" s="280"/>
    </row>
    <row r="29" spans="2:93" ht="15.75" thickBot="1" x14ac:dyDescent="0.3">
      <c r="B29" s="340" t="s">
        <v>3044</v>
      </c>
      <c r="C29" s="134">
        <v>325502.44</v>
      </c>
      <c r="D29" s="330">
        <v>325502.44</v>
      </c>
      <c r="E29" s="118"/>
      <c r="F29" s="119" t="s">
        <v>3044</v>
      </c>
      <c r="G29" s="330">
        <v>36266.168780320018</v>
      </c>
      <c r="H29" s="118"/>
      <c r="I29" s="119" t="s">
        <v>111</v>
      </c>
      <c r="J29" s="330">
        <v>85577.445845999988</v>
      </c>
      <c r="K29" s="63"/>
      <c r="L29" s="63"/>
      <c r="M29" s="63"/>
      <c r="N29" s="63"/>
      <c r="O29" s="63"/>
      <c r="P29" s="63"/>
      <c r="Q29" s="65"/>
      <c r="R29" s="89"/>
      <c r="S29" s="90"/>
      <c r="T29" s="91"/>
      <c r="U29" s="222" t="s">
        <v>80</v>
      </c>
      <c r="V29" s="360">
        <v>10903.08</v>
      </c>
      <c r="W29" s="353">
        <v>7873.8834000000006</v>
      </c>
      <c r="X29" s="353">
        <v>284.70999999999998</v>
      </c>
      <c r="Y29" s="355">
        <v>2123.2119000000002</v>
      </c>
      <c r="Z29" s="78"/>
      <c r="AA29" s="158" t="str">
        <f t="shared" si="0"/>
        <v>Missouri</v>
      </c>
      <c r="AB29" s="168">
        <v>10903.08</v>
      </c>
      <c r="AC29" s="144">
        <f t="shared" si="16"/>
        <v>1</v>
      </c>
      <c r="AD29" s="179" t="s">
        <v>34</v>
      </c>
      <c r="AE29" s="146" t="s">
        <v>41</v>
      </c>
      <c r="AF29" s="180">
        <f>IFERROR(GETPIVOTDATA("[Measures].[Sum of Cumulative cost]",$AD$5,"[Table_1].[Product Category]","[Table_1].[Product Category].&amp;[Technology]","[Table_1].[Region]","[Table_1].[Region].&amp;[South]"),"")</f>
        <v>137240.41917999997</v>
      </c>
      <c r="AG29" s="180">
        <f>IFERROR(GETPIVOTDATA("[Measures].[Sum of Shipping Cost]",$AD$5,"[Table_1].[Product Category]","[Table_1].[Product Category].&amp;[Technology]","[Table_1].[Region]","[Table_1].[Region].&amp;[South]"),"")</f>
        <v>957.5</v>
      </c>
      <c r="AH29" s="180">
        <f>IFERROR(GETPIVOTDATA("[Measures].[Sum of Discount]",$AD$5,"[Table_1].[Product Category]","[Table_1].[Product Category].&amp;[Technology]","[Table_1].[Region]","[Table_1].[Region].&amp;[South]"),"")</f>
        <v>5.6299999999999937</v>
      </c>
      <c r="AI29" s="180">
        <f>IFERROR(GETPIVOTDATA("[Measures].[Sum of Profit]",$AD$5,"[Table_1].[Product Category]","[Table_1].[Product Category].&amp;[Technology]","[Table_1].[Region]","[Table_1].[Region].&amp;[South]"),"")</f>
        <v>-13449.778180000001</v>
      </c>
      <c r="AJ29" s="181">
        <f>IFERROR(GETPIVOTDATA("[Measures].[Sum of Sales]",$AD$5,"[Table_1].[Product Category]","[Table_1].[Product Category].&amp;[Technology]","[Table_1].[Region]","[Table_1].[Region].&amp;[South]"),"")</f>
        <v>131471.60999999999</v>
      </c>
      <c r="AK29" s="83"/>
      <c r="AL29" s="222"/>
      <c r="AM29" s="392">
        <v>42027</v>
      </c>
      <c r="AN29" s="348">
        <v>765.9</v>
      </c>
      <c r="AO29" s="146">
        <v>-181.04519999999999</v>
      </c>
      <c r="AP29" s="147">
        <v>21</v>
      </c>
      <c r="AQ29" s="59">
        <v>42027</v>
      </c>
      <c r="AR29" s="180">
        <v>765.9</v>
      </c>
      <c r="AS29" s="61">
        <f t="shared" si="11"/>
        <v>1</v>
      </c>
      <c r="AT29" s="185">
        <f t="shared" si="12"/>
        <v>4</v>
      </c>
      <c r="AU29" s="405" t="s">
        <v>117</v>
      </c>
      <c r="AV29" s="398">
        <v>107796.09</v>
      </c>
      <c r="AW29" s="399">
        <v>-930.43840000000046</v>
      </c>
      <c r="AX29" s="400">
        <v>536</v>
      </c>
      <c r="AY29" s="181">
        <v>107796.09</v>
      </c>
      <c r="AZ29" s="68"/>
      <c r="BB29" s="112" t="s">
        <v>3023</v>
      </c>
      <c r="BE29" s="55"/>
      <c r="BF29" s="55"/>
      <c r="BG29" s="55"/>
      <c r="BH29" s="55"/>
      <c r="BI29" s="55"/>
      <c r="BJ29" s="55"/>
      <c r="BT29" s="271"/>
      <c r="BU29" s="271"/>
      <c r="BV29" s="271"/>
      <c r="BW29" s="271"/>
      <c r="BX29" s="271"/>
      <c r="BY29" s="271"/>
      <c r="CI29" s="103"/>
      <c r="CJ29" s="314" t="s">
        <v>3104</v>
      </c>
      <c r="CK29" s="312" t="s">
        <v>22</v>
      </c>
      <c r="CL29" s="318" t="s">
        <v>3016</v>
      </c>
      <c r="CM29" s="299" t="s">
        <v>11</v>
      </c>
      <c r="CN29" s="275" t="str">
        <f>CN28</f>
        <v>Profit</v>
      </c>
      <c r="CO29" s="282" t="s">
        <v>3016</v>
      </c>
    </row>
    <row r="30" spans="2:93" x14ac:dyDescent="0.25">
      <c r="B30" s="340" t="s">
        <v>3045</v>
      </c>
      <c r="C30" s="134">
        <v>265167.13</v>
      </c>
      <c r="D30" s="330">
        <v>265167.13</v>
      </c>
      <c r="E30" s="118"/>
      <c r="F30" s="119" t="s">
        <v>3045</v>
      </c>
      <c r="G30" s="330">
        <v>1881.8305867500003</v>
      </c>
      <c r="H30" s="118"/>
      <c r="I30" s="119" t="s">
        <v>34</v>
      </c>
      <c r="J30" s="330">
        <v>-17431.355779449979</v>
      </c>
      <c r="K30" s="63"/>
      <c r="L30" s="63"/>
      <c r="M30" s="63"/>
      <c r="N30" s="63"/>
      <c r="O30" s="63"/>
      <c r="P30" s="63"/>
      <c r="Q30" s="65"/>
      <c r="R30" s="89"/>
      <c r="S30" s="90"/>
      <c r="T30" s="91"/>
      <c r="U30" s="222" t="s">
        <v>277</v>
      </c>
      <c r="V30" s="360">
        <v>12593.59</v>
      </c>
      <c r="W30" s="353">
        <v>25609.161688000004</v>
      </c>
      <c r="X30" s="353">
        <v>175.9</v>
      </c>
      <c r="Y30" s="355">
        <v>-13759.205488000001</v>
      </c>
      <c r="Z30" s="78"/>
      <c r="AA30" s="158" t="str">
        <f t="shared" si="0"/>
        <v>Montana</v>
      </c>
      <c r="AB30" s="168">
        <v>12593.59</v>
      </c>
      <c r="AC30" s="144">
        <f t="shared" si="16"/>
        <v>1</v>
      </c>
      <c r="AD30" s="179" t="s">
        <v>60</v>
      </c>
      <c r="AE30" s="146" t="s">
        <v>29</v>
      </c>
      <c r="AF30" s="180">
        <f>IFERROR(GETPIVOTDATA("[Measures].[Sum of Cumulative cost]",$AD$5,"[Table_1].[Product Category]","[Table_1].[Product Category].&amp;[Furniture]","[Table_1].[Region]","[Table_1].[Region].&amp;[West]"),"")</f>
        <v>127078.66102000001</v>
      </c>
      <c r="AG30" s="180">
        <f>IFERROR(GETPIVOTDATA("[Measures].[Sum of Shipping Cost]",$AD$5,"[Table_1].[Product Category]","[Table_1].[Product Category].&amp;[Furniture]","[Table_1].[Region]","[Table_1].[Region].&amp;[West]"),"")</f>
        <v>2702.04</v>
      </c>
      <c r="AH30" s="180">
        <f>IFERROR(GETPIVOTDATA("[Measures].[Sum of Discount]",$AD$5,"[Table_1].[Product Category]","[Table_1].[Product Category].&amp;[Furniture]","[Table_1].[Region]","[Table_1].[Region].&amp;[West]"),"")</f>
        <v>4.2399999999999984</v>
      </c>
      <c r="AI30" s="180">
        <f>IFERROR(GETPIVOTDATA("[Measures].[Sum of Profit]",$AD$5,"[Table_1].[Product Category]","[Table_1].[Product Category].&amp;[Furniture]","[Table_1].[Region]","[Table_1].[Region].&amp;[West]"),"")</f>
        <v>45999.542280000001</v>
      </c>
      <c r="AJ30" s="181">
        <f>IFERROR(GETPIVOTDATA("[Measures].[Sum of Sales]",$AD$5,"[Table_1].[Product Category]","[Table_1].[Product Category].&amp;[Furniture]","[Table_1].[Region]","[Table_1].[Region].&amp;[West]"),"")</f>
        <v>184155.86</v>
      </c>
      <c r="AK30" s="83"/>
      <c r="AL30" s="222"/>
      <c r="AM30" s="392">
        <v>42028</v>
      </c>
      <c r="AN30" s="348">
        <v>8376.58</v>
      </c>
      <c r="AO30" s="146">
        <v>729.50390000000004</v>
      </c>
      <c r="AP30" s="147">
        <v>123</v>
      </c>
      <c r="AQ30" s="59">
        <v>42028</v>
      </c>
      <c r="AR30" s="180">
        <v>8376.58</v>
      </c>
      <c r="AS30" s="61">
        <f t="shared" si="11"/>
        <v>1</v>
      </c>
      <c r="AT30" s="185">
        <f t="shared" si="12"/>
        <v>4</v>
      </c>
      <c r="AU30" s="405" t="s">
        <v>109</v>
      </c>
      <c r="AV30" s="398">
        <v>241200.42</v>
      </c>
      <c r="AW30" s="399">
        <v>39808.485999999997</v>
      </c>
      <c r="AX30" s="400">
        <v>1138</v>
      </c>
      <c r="AY30" s="181">
        <v>241200.42</v>
      </c>
      <c r="AZ30" s="68"/>
      <c r="BB30" s="112" t="s">
        <v>3039</v>
      </c>
      <c r="BE30" s="55"/>
      <c r="BF30" s="55"/>
      <c r="BG30" s="55"/>
      <c r="BH30" s="55"/>
      <c r="BI30" s="55"/>
      <c r="BJ30" s="55"/>
      <c r="BT30" s="271"/>
      <c r="BU30" s="271"/>
      <c r="BV30" s="271"/>
      <c r="BW30" s="271"/>
      <c r="BX30" s="271"/>
      <c r="BY30" s="271"/>
      <c r="CI30" s="103"/>
      <c r="CJ30" s="315" t="s">
        <v>100</v>
      </c>
      <c r="CK30" s="308">
        <v>154806.10999999999</v>
      </c>
      <c r="CL30" s="297">
        <v>1710</v>
      </c>
      <c r="CM30" s="288" t="str" cm="1">
        <f t="array" ref="CM30">IFERROR(_xlfn.IFS($CN$28="Sales",CJ30,$CN$28="Profit",CJ36),"")</f>
        <v>Los Angeles</v>
      </c>
      <c r="CN30" s="270" cm="1">
        <f t="array" ref="CN30">IFERROR(_xlfn.IFS($CN$28="Sales",CK30,$CN$28="Profit",CK36),"")</f>
        <v>7865.8371800000004</v>
      </c>
      <c r="CO30" s="300" cm="1">
        <f t="array" ref="CO30">IFERROR(_xlfn.IFS($CN$28="Sales",CL30,$CN$28="Profit",CL36),"")</f>
        <v>1710</v>
      </c>
    </row>
    <row r="31" spans="2:93" ht="15.75" thickBot="1" x14ac:dyDescent="0.3">
      <c r="B31" s="340" t="s">
        <v>3046</v>
      </c>
      <c r="C31" s="134">
        <v>384029.19</v>
      </c>
      <c r="D31" s="330">
        <v>384029.19</v>
      </c>
      <c r="E31" s="118" t="s">
        <v>3037</v>
      </c>
      <c r="F31" s="119" t="s">
        <v>3046</v>
      </c>
      <c r="G31" s="330">
        <v>50182.103101999965</v>
      </c>
      <c r="H31" s="118"/>
      <c r="I31" s="129" t="s">
        <v>60</v>
      </c>
      <c r="J31" s="330">
        <v>68231.53440199999</v>
      </c>
      <c r="K31" s="63"/>
      <c r="L31" s="63"/>
      <c r="M31" s="63"/>
      <c r="N31" s="63"/>
      <c r="O31" s="63"/>
      <c r="P31" s="63"/>
      <c r="Q31" s="65"/>
      <c r="R31" s="89"/>
      <c r="S31" s="89"/>
      <c r="T31" s="92"/>
      <c r="U31" s="222" t="s">
        <v>133</v>
      </c>
      <c r="V31" s="360">
        <v>15764.51</v>
      </c>
      <c r="W31" s="353">
        <v>10010.948770000001</v>
      </c>
      <c r="X31" s="353">
        <v>390.81</v>
      </c>
      <c r="Y31" s="355">
        <v>4675.6003300000002</v>
      </c>
      <c r="Z31" s="78"/>
      <c r="AA31" s="158" t="str">
        <f t="shared" si="0"/>
        <v>Nebraska</v>
      </c>
      <c r="AB31" s="168">
        <v>15764.51</v>
      </c>
      <c r="AC31" s="144">
        <f t="shared" si="16"/>
        <v>1</v>
      </c>
      <c r="AD31" s="179" t="s">
        <v>60</v>
      </c>
      <c r="AE31" s="146" t="s">
        <v>49</v>
      </c>
      <c r="AF31" s="180">
        <f>IFERROR(GETPIVOTDATA("[Measures].[Sum of Cumulative cost]",$AD$5,"[Table_1].[Product Category]","[Table_1].[Product Category].&amp;[Office Supplies]","[Table_1].[Region]","[Table_1].[Region].&amp;[West]"),"")</f>
        <v>91882.323870000007</v>
      </c>
      <c r="AG31" s="180">
        <f>IFERROR(GETPIVOTDATA("[Measures].[Sum of Shipping Cost]",$AD$5,"[Table_1].[Product Category]","[Table_1].[Product Category].&amp;[Office Supplies]","[Table_1].[Region]","[Table_1].[Region].&amp;[West]"),"")</f>
        <v>1813.46</v>
      </c>
      <c r="AH31" s="180">
        <f>IFERROR(GETPIVOTDATA("[Measures].[Sum of Discount]",$AD$5,"[Table_1].[Product Category]","[Table_1].[Product Category].&amp;[Office Supplies]","[Table_1].[Region]","[Table_1].[Region].&amp;[West]"),"")</f>
        <v>12.259999999999987</v>
      </c>
      <c r="AI31" s="180">
        <f>IFERROR(GETPIVOTDATA("[Measures].[Sum of Profit]",$AD$5,"[Table_1].[Product Category]","[Table_1].[Product Category].&amp;[Office Supplies]","[Table_1].[Region]","[Table_1].[Region].&amp;[West]"),"")</f>
        <v>12136.81913</v>
      </c>
      <c r="AJ31" s="181">
        <f>IFERROR(GETPIVOTDATA("[Measures].[Sum of Sales]",$AD$5,"[Table_1].[Product Category]","[Table_1].[Product Category].&amp;[Office Supplies]","[Table_1].[Region]","[Table_1].[Region].&amp;[West]"),"")</f>
        <v>111003.26</v>
      </c>
      <c r="AK31" s="83"/>
      <c r="AL31" s="222"/>
      <c r="AM31" s="392">
        <v>42029</v>
      </c>
      <c r="AN31" s="348">
        <v>445.25</v>
      </c>
      <c r="AO31" s="146">
        <v>-12.061199999999999</v>
      </c>
      <c r="AP31" s="147">
        <v>8</v>
      </c>
      <c r="AQ31" s="59">
        <v>42029</v>
      </c>
      <c r="AR31" s="180">
        <v>445.25</v>
      </c>
      <c r="AS31" s="61">
        <f t="shared" si="11"/>
        <v>1</v>
      </c>
      <c r="AT31" s="185">
        <f t="shared" si="12"/>
        <v>5</v>
      </c>
      <c r="AU31" s="405" t="s">
        <v>42</v>
      </c>
      <c r="AV31" s="398">
        <v>96261.3</v>
      </c>
      <c r="AW31" s="399">
        <v>1698.043979999999</v>
      </c>
      <c r="AX31" s="400">
        <v>2481</v>
      </c>
      <c r="AY31" s="181">
        <v>96261.3</v>
      </c>
      <c r="AZ31" s="68"/>
      <c r="BB31" s="112" t="s">
        <v>3072</v>
      </c>
      <c r="BE31" s="55"/>
      <c r="BF31" s="55"/>
      <c r="BG31" s="55"/>
      <c r="BH31" s="55"/>
      <c r="BI31" s="55"/>
      <c r="BJ31" s="55"/>
      <c r="BT31" s="271"/>
      <c r="BU31" s="271"/>
      <c r="BV31" s="271"/>
      <c r="BW31" s="271"/>
      <c r="BX31" s="271"/>
      <c r="BY31" s="271"/>
      <c r="CI31" s="103"/>
      <c r="CJ31" s="316" t="s">
        <v>113</v>
      </c>
      <c r="CK31" s="309">
        <v>145010.54</v>
      </c>
      <c r="CL31" s="296">
        <v>1642</v>
      </c>
      <c r="CM31" s="288" t="str" cm="1">
        <f t="array" ref="CM31">IFERROR(_xlfn.IFS($CN$28="Sales",CJ31,$CN$28="Profit",CJ37),"")</f>
        <v>New York City</v>
      </c>
      <c r="CN31" s="270" cm="1">
        <f t="array" ref="CN31">IFERROR(_xlfn.IFS($CN$28="Sales",CK31,$CN$28="Profit",CK37),"")</f>
        <v>4928.1599800000004</v>
      </c>
      <c r="CO31" s="300" cm="1">
        <f t="array" ref="CO31">IFERROR(_xlfn.IFS($CN$28="Sales",CL31,$CN$28="Profit",CL37),"")</f>
        <v>1642</v>
      </c>
    </row>
    <row r="32" spans="2:93" ht="15.75" thickBot="1" x14ac:dyDescent="0.3">
      <c r="B32" s="340" t="s">
        <v>3047</v>
      </c>
      <c r="C32" s="134">
        <v>290230.84999999998</v>
      </c>
      <c r="D32" s="330">
        <v>290230.84999999998</v>
      </c>
      <c r="E32" s="135">
        <f>GETPIVOTDATA("[Measures].[Sum of Profit]",$F$27)</f>
        <v>215023.39973715009</v>
      </c>
      <c r="F32" s="119" t="s">
        <v>3047</v>
      </c>
      <c r="G32" s="330">
        <v>61026.94915840005</v>
      </c>
      <c r="H32" s="136"/>
      <c r="I32" s="332" t="s">
        <v>3015</v>
      </c>
      <c r="J32" s="325">
        <v>215023.39973715009</v>
      </c>
      <c r="K32" s="63"/>
      <c r="L32" s="63"/>
      <c r="M32" s="63"/>
      <c r="N32" s="63"/>
      <c r="O32" s="63"/>
      <c r="P32" s="63"/>
      <c r="Q32" s="65"/>
      <c r="R32" s="89"/>
      <c r="S32" s="89"/>
      <c r="T32" s="92"/>
      <c r="U32" s="222" t="s">
        <v>296</v>
      </c>
      <c r="V32" s="360">
        <v>8864.5400000000009</v>
      </c>
      <c r="W32" s="353">
        <v>4598.3680040000008</v>
      </c>
      <c r="X32" s="353">
        <v>134.26</v>
      </c>
      <c r="Y32" s="355">
        <v>3788.8289959999997</v>
      </c>
      <c r="Z32" s="78"/>
      <c r="AA32" s="158" t="str">
        <f t="shared" si="0"/>
        <v>Nevada</v>
      </c>
      <c r="AB32" s="168">
        <v>8864.5400000000009</v>
      </c>
      <c r="AC32" s="144">
        <f t="shared" si="16"/>
        <v>1</v>
      </c>
      <c r="AD32" s="179" t="s">
        <v>60</v>
      </c>
      <c r="AE32" s="146" t="s">
        <v>41</v>
      </c>
      <c r="AF32" s="180">
        <f>IFERROR(GETPIVOTDATA("[Measures].[Sum of Cumulative cost]",$AD$5,"[Table_1].[Product Category]","[Table_1].[Product Category].&amp;[Technology]","[Table_1].[Region]","[Table_1].[Region].&amp;[West]"),"")</f>
        <v>195112.64050799998</v>
      </c>
      <c r="AG32" s="180">
        <f>IFERROR(GETPIVOTDATA("[Measures].[Sum of Shipping Cost]",$AD$5,"[Table_1].[Product Category]","[Table_1].[Product Category].&amp;[Technology]","[Table_1].[Region]","[Table_1].[Region].&amp;[West]"),"")</f>
        <v>1325.44</v>
      </c>
      <c r="AH32" s="180">
        <f>IFERROR(GETPIVOTDATA("[Measures].[Sum of Discount]",$AD$5,"[Table_1].[Product Category]","[Table_1].[Product Category].&amp;[Technology]","[Table_1].[Region]","[Table_1].[Region].&amp;[West]"),"")</f>
        <v>5.7099999999999937</v>
      </c>
      <c r="AI32" s="180">
        <f>IFERROR(GETPIVOTDATA("[Measures].[Sum of Profit]",$AD$5,"[Table_1].[Product Category]","[Table_1].[Product Category].&amp;[Technology]","[Table_1].[Region]","[Table_1].[Region].&amp;[West]"),"")</f>
        <v>10095.172992000003</v>
      </c>
      <c r="AJ32" s="181">
        <f>IFERROR(GETPIVOTDATA("[Measures].[Sum of Sales]",$AD$5,"[Table_1].[Product Category]","[Table_1].[Product Category].&amp;[Technology]","[Table_1].[Region]","[Table_1].[Region].&amp;[West]"),"")</f>
        <v>218867.52</v>
      </c>
      <c r="AK32" s="83"/>
      <c r="AL32" s="222"/>
      <c r="AM32" s="392">
        <v>42030</v>
      </c>
      <c r="AN32" s="348">
        <v>7035.73</v>
      </c>
      <c r="AO32" s="146">
        <v>-1561.5387000000005</v>
      </c>
      <c r="AP32" s="147">
        <v>134</v>
      </c>
      <c r="AQ32" s="59">
        <v>42030</v>
      </c>
      <c r="AR32" s="180">
        <v>7035.73</v>
      </c>
      <c r="AS32" s="61">
        <f t="shared" si="11"/>
        <v>1</v>
      </c>
      <c r="AT32" s="185">
        <f t="shared" si="12"/>
        <v>5</v>
      </c>
      <c r="AU32" s="405" t="s">
        <v>64</v>
      </c>
      <c r="AV32" s="398">
        <v>99069.48</v>
      </c>
      <c r="AW32" s="399">
        <v>23990.207579999998</v>
      </c>
      <c r="AX32" s="400">
        <v>181</v>
      </c>
      <c r="AY32" s="181">
        <v>99069.48</v>
      </c>
      <c r="AZ32" s="68"/>
      <c r="BB32" s="112" t="s">
        <v>3071</v>
      </c>
      <c r="BE32" s="55"/>
      <c r="BF32" s="55"/>
      <c r="BG32" s="55"/>
      <c r="BH32" s="55"/>
      <c r="BI32" s="55"/>
      <c r="BJ32" s="55"/>
      <c r="BT32" s="271"/>
      <c r="BU32" s="271"/>
      <c r="BV32" s="271"/>
      <c r="BW32" s="271"/>
      <c r="BX32" s="271"/>
      <c r="BY32" s="271"/>
      <c r="CI32" s="103"/>
      <c r="CJ32" s="317" t="s">
        <v>67</v>
      </c>
      <c r="CK32" s="310">
        <v>68946.66</v>
      </c>
      <c r="CL32" s="412">
        <v>600</v>
      </c>
      <c r="CM32" s="288" t="str" cm="1">
        <f t="array" ref="CM32">IFERROR(_xlfn.IFS($CN$28="Sales",CJ32,$CN$28="Profit",CJ38),"")</f>
        <v>Washington</v>
      </c>
      <c r="CN32" s="270" cm="1">
        <f t="array" ref="CN32">IFERROR(_xlfn.IFS($CN$28="Sales",CK32,$CN$28="Profit",CK38),"")</f>
        <v>11677.363099999999</v>
      </c>
      <c r="CO32" s="300" cm="1">
        <f t="array" ref="CO32">IFERROR(_xlfn.IFS($CN$28="Sales",CL32,$CN$28="Profit",CL38),"")</f>
        <v>600</v>
      </c>
    </row>
    <row r="33" spans="1:93" ht="15.75" thickBot="1" x14ac:dyDescent="0.3">
      <c r="B33" s="341" t="s">
        <v>3048</v>
      </c>
      <c r="C33" s="134">
        <v>351596.61</v>
      </c>
      <c r="D33" s="330">
        <v>351596.61</v>
      </c>
      <c r="E33" s="118"/>
      <c r="F33" s="129" t="s">
        <v>3048</v>
      </c>
      <c r="G33" s="330">
        <v>66323.886610000001</v>
      </c>
      <c r="H33" s="63"/>
      <c r="I33" s="63"/>
      <c r="J33" s="63"/>
      <c r="K33" s="63"/>
      <c r="L33" s="63"/>
      <c r="M33" s="63"/>
      <c r="N33" s="63"/>
      <c r="O33" s="63"/>
      <c r="P33" s="63"/>
      <c r="Q33" s="65"/>
      <c r="R33" s="89"/>
      <c r="S33" s="89"/>
      <c r="T33" s="92"/>
      <c r="U33" s="222" t="s">
        <v>1356</v>
      </c>
      <c r="V33" s="360">
        <v>7619.7</v>
      </c>
      <c r="W33" s="353">
        <v>3386.4947000000002</v>
      </c>
      <c r="X33" s="353">
        <v>144.16</v>
      </c>
      <c r="Y33" s="355">
        <v>3611.0573999999997</v>
      </c>
      <c r="Z33" s="78"/>
      <c r="AA33" s="158" t="str">
        <f t="shared" si="0"/>
        <v>New Hampshire</v>
      </c>
      <c r="AB33" s="168">
        <v>7619.7</v>
      </c>
      <c r="AC33" s="144">
        <f t="shared" si="16"/>
        <v>1</v>
      </c>
      <c r="AD33" s="145"/>
      <c r="AE33" s="146"/>
      <c r="AF33" s="180" t="s">
        <v>3020</v>
      </c>
      <c r="AG33" s="180" t="s">
        <v>5</v>
      </c>
      <c r="AH33" s="180" t="s">
        <v>3</v>
      </c>
      <c r="AI33" s="180" t="s">
        <v>20</v>
      </c>
      <c r="AJ33" s="144"/>
      <c r="AL33" s="222"/>
      <c r="AM33" s="392">
        <v>42031</v>
      </c>
      <c r="AN33" s="348">
        <v>4036.39</v>
      </c>
      <c r="AO33" s="146">
        <v>4441.4325399999998</v>
      </c>
      <c r="AP33" s="147">
        <v>196</v>
      </c>
      <c r="AQ33" s="59">
        <v>42031</v>
      </c>
      <c r="AR33" s="180">
        <v>4036.39</v>
      </c>
      <c r="AS33" s="61">
        <f t="shared" si="11"/>
        <v>1</v>
      </c>
      <c r="AT33" s="185">
        <f t="shared" si="12"/>
        <v>5</v>
      </c>
      <c r="AU33" s="405" t="s">
        <v>345</v>
      </c>
      <c r="AV33" s="398">
        <v>10479.77</v>
      </c>
      <c r="AW33" s="399">
        <v>-1194.4125000000008</v>
      </c>
      <c r="AX33" s="400">
        <v>590</v>
      </c>
      <c r="AY33" s="181">
        <v>10479.77</v>
      </c>
      <c r="AZ33" s="68"/>
      <c r="BE33" s="55"/>
      <c r="BF33" s="55"/>
      <c r="BG33" s="55"/>
      <c r="BH33" s="55"/>
      <c r="BI33" s="55"/>
      <c r="BJ33" s="55"/>
      <c r="BT33" s="271"/>
      <c r="BU33" s="271"/>
      <c r="BV33" s="271"/>
      <c r="BW33" s="271"/>
      <c r="BX33" s="271"/>
      <c r="BY33" s="271"/>
      <c r="CJ33" s="288"/>
      <c r="CL33" s="287"/>
      <c r="CM33" s="288"/>
      <c r="CO33" s="287"/>
    </row>
    <row r="34" spans="1:93" ht="15.75" thickBot="1" x14ac:dyDescent="0.3">
      <c r="B34" s="342" t="s">
        <v>3015</v>
      </c>
      <c r="C34" s="324">
        <v>1881524.77</v>
      </c>
      <c r="D34" s="325">
        <v>1881524.77</v>
      </c>
      <c r="E34" s="136"/>
      <c r="F34" s="332" t="s">
        <v>3015</v>
      </c>
      <c r="G34" s="325">
        <v>215023.39973715009</v>
      </c>
      <c r="H34" s="63"/>
      <c r="I34" s="63"/>
      <c r="J34" s="63"/>
      <c r="K34" s="63"/>
      <c r="L34" s="63"/>
      <c r="M34" s="63"/>
      <c r="N34" s="63"/>
      <c r="O34" s="63"/>
      <c r="P34" s="63"/>
      <c r="Q34" s="65"/>
      <c r="R34" s="89"/>
      <c r="S34" s="89"/>
      <c r="T34" s="92"/>
      <c r="U34" s="222" t="s">
        <v>397</v>
      </c>
      <c r="V34" s="360">
        <v>21943.91</v>
      </c>
      <c r="W34" s="353">
        <v>19284.279712</v>
      </c>
      <c r="X34" s="353">
        <v>404.49</v>
      </c>
      <c r="Y34" s="355">
        <v>770.9086880000001</v>
      </c>
      <c r="Z34" s="78"/>
      <c r="AA34" s="158" t="str">
        <f t="shared" si="0"/>
        <v>New Jersey</v>
      </c>
      <c r="AB34" s="168">
        <v>21943.91</v>
      </c>
      <c r="AC34" s="144">
        <f t="shared" si="16"/>
        <v>1</v>
      </c>
      <c r="AD34" s="145"/>
      <c r="AE34" s="146" t="s">
        <v>29</v>
      </c>
      <c r="AF34" s="180" cm="1">
        <f t="array" ref="AF34">IFERROR(_xlfn.IFS($AE$20=AD21,AF21,$AE$20=AD24,AF24,$AE$20=AD27,AF27,$AE$20=AD30,AF30),"")</f>
        <v>131268.74200539998</v>
      </c>
      <c r="AG34" s="180" cm="1">
        <f t="array" ref="AG34">IFERROR(_xlfn.IFS($AE$20=AD21,AG21,$AE$20=AD24,AG24,$AE$20=AD27,AG27,$AE$20=AD30,AG30),"")</f>
        <v>3295</v>
      </c>
      <c r="AH34" s="180" cm="1">
        <f t="array" ref="AH34">IFERROR(_xlfn.IFS($AE$20=AD21,AH21,$AE$20=AD24,AH24,$AE$20=AD27,AH27,$AE$20=AD30,AH30),"")</f>
        <v>5.8499999999999943</v>
      </c>
      <c r="AI34" s="180" cm="1">
        <f t="array" ref="AI34">IFERROR(_xlfn.IFS($AE$20=AD21,AI21,$AE$20=AD24,AI24,$AE$20=AD27,AI27,$AE$20=AD30,AI30),"")</f>
        <v>6301.754294600003</v>
      </c>
      <c r="AJ34" s="181" cm="1">
        <f t="array" ref="AJ34">IFERROR(_xlfn.IFS($AE$20=AD21,AJ21,$AE$20=AD24,AJ24,$AE$20=AD27,AJ27,$AE$20=AD30,AJ30),"")</f>
        <v>148455.14000000001</v>
      </c>
      <c r="AK34" s="83"/>
      <c r="AL34" s="222"/>
      <c r="AM34" s="392">
        <v>42032</v>
      </c>
      <c r="AN34" s="348">
        <v>6617.65</v>
      </c>
      <c r="AO34" s="146">
        <v>-9411.1713799999998</v>
      </c>
      <c r="AP34" s="147">
        <v>92</v>
      </c>
      <c r="AQ34" s="59">
        <v>42032</v>
      </c>
      <c r="AR34" s="180">
        <v>6617.65</v>
      </c>
      <c r="AS34" s="61">
        <f t="shared" si="11"/>
        <v>1</v>
      </c>
      <c r="AT34" s="185">
        <f t="shared" si="12"/>
        <v>5</v>
      </c>
      <c r="AU34" s="405" t="s">
        <v>152</v>
      </c>
      <c r="AV34" s="398">
        <v>4914.82</v>
      </c>
      <c r="AW34" s="399">
        <v>7028.1595000000016</v>
      </c>
      <c r="AX34" s="400">
        <v>903</v>
      </c>
      <c r="AY34" s="181">
        <v>4914.82</v>
      </c>
      <c r="AZ34" s="68"/>
      <c r="BE34" s="55"/>
      <c r="BF34" s="55"/>
      <c r="BG34" s="55"/>
      <c r="BH34" s="55"/>
      <c r="BI34" s="55"/>
      <c r="BJ34" s="55"/>
      <c r="BT34" s="271"/>
      <c r="BU34" s="271"/>
      <c r="BV34" s="271"/>
      <c r="BW34" s="271"/>
      <c r="BX34" s="271"/>
      <c r="BY34" s="271"/>
      <c r="CI34" s="103"/>
      <c r="CJ34" s="283" t="s">
        <v>3102</v>
      </c>
      <c r="CK34" s="281"/>
      <c r="CL34" s="296"/>
      <c r="CM34" s="288"/>
      <c r="CO34" s="287"/>
    </row>
    <row r="35" spans="1:93" ht="15.75" thickBot="1" x14ac:dyDescent="0.3">
      <c r="B35" s="68"/>
      <c r="C35" s="68"/>
      <c r="D35" s="68"/>
      <c r="E35" s="68"/>
      <c r="F35" s="68"/>
      <c r="G35" s="68"/>
      <c r="H35" s="93"/>
      <c r="I35" s="68"/>
      <c r="J35" s="68"/>
      <c r="K35" s="68"/>
      <c r="L35" s="68"/>
      <c r="M35" s="68"/>
      <c r="N35" s="68"/>
      <c r="O35" s="68"/>
      <c r="P35" s="68"/>
      <c r="Q35" s="67"/>
      <c r="R35" s="94"/>
      <c r="S35" s="94"/>
      <c r="T35" s="92"/>
      <c r="U35" s="222" t="s">
        <v>640</v>
      </c>
      <c r="V35" s="360">
        <v>5593.18</v>
      </c>
      <c r="W35" s="353">
        <v>925.6388199999999</v>
      </c>
      <c r="X35" s="353">
        <v>101.38</v>
      </c>
      <c r="Y35" s="355">
        <v>4215.9194799999996</v>
      </c>
      <c r="Z35" s="78"/>
      <c r="AA35" s="158" t="str">
        <f t="shared" si="0"/>
        <v>New Mexico</v>
      </c>
      <c r="AB35" s="168">
        <v>5593.18</v>
      </c>
      <c r="AC35" s="144">
        <f t="shared" si="16"/>
        <v>1</v>
      </c>
      <c r="AD35" s="145"/>
      <c r="AE35" s="146" t="s">
        <v>49</v>
      </c>
      <c r="AF35" s="180" cm="1">
        <f t="array" ref="AF35">IFERROR(_xlfn.IFS($AE$20=AD22,AF22,$AE$20=AD25,AF25,$AE$20=AD28,AF28,$AE$20=AD31,AF31),"")</f>
        <v>80084.997369999983</v>
      </c>
      <c r="AG35" s="180" cm="1">
        <f t="array" ref="AG35">IFERROR(_xlfn.IFS($AE$20=AD22,AG22,$AE$20=AD25,AG25,$AE$20=AD28,AG28,$AE$20=AD31,AG31),"")</f>
        <v>2496</v>
      </c>
      <c r="AH35" s="180" cm="1">
        <f t="array" ref="AH35">IFERROR(_xlfn.IFS($AE$20=AD22,AH22,$AE$20=AD25,AH25,$AE$20=AD28,AH28,$AE$20=AD31,AH31),"")</f>
        <v>15.109999999999983</v>
      </c>
      <c r="AI35" s="180" cm="1">
        <f t="array" ref="AI35">IFERROR(_xlfn.IFS($AE$20=AD22,AI22,$AE$20=AD25,AI25,$AE$20=AD28,AI28,$AE$20=AD31,AI31),"")</f>
        <v>28333.074329999999</v>
      </c>
      <c r="AJ35" s="181" cm="1">
        <f t="array" ref="AJ35">IFERROR(_xlfn.IFS($AE$20=AD22,AJ22,$AE$20=AD25,AJ25,$AE$20=AD28,AJ28,$AE$20=AD31,AJ31),"")</f>
        <v>115119.97</v>
      </c>
      <c r="AK35" s="83"/>
      <c r="AL35" s="222"/>
      <c r="AM35" s="392">
        <v>42033</v>
      </c>
      <c r="AN35" s="348">
        <v>11666.61</v>
      </c>
      <c r="AO35" s="146">
        <v>-1215.0591999999999</v>
      </c>
      <c r="AP35" s="147">
        <v>98</v>
      </c>
      <c r="AQ35" s="59">
        <v>42033</v>
      </c>
      <c r="AR35" s="180">
        <v>11666.61</v>
      </c>
      <c r="AS35" s="61">
        <f t="shared" si="11"/>
        <v>1</v>
      </c>
      <c r="AT35" s="185">
        <f t="shared" si="12"/>
        <v>5</v>
      </c>
      <c r="AU35" s="405" t="s">
        <v>126</v>
      </c>
      <c r="AV35" s="398">
        <v>98070.91</v>
      </c>
      <c r="AW35" s="399">
        <v>18724.1191</v>
      </c>
      <c r="AX35" s="400">
        <v>2356</v>
      </c>
      <c r="AY35" s="181">
        <v>98070.91</v>
      </c>
      <c r="AZ35" s="68"/>
      <c r="BE35" s="55"/>
      <c r="BF35" s="55"/>
      <c r="BG35" s="55"/>
      <c r="BH35" s="55"/>
      <c r="BI35" s="55"/>
      <c r="BJ35" s="55"/>
      <c r="BT35" s="271"/>
      <c r="BU35" s="271"/>
      <c r="BV35" s="271"/>
      <c r="BW35" s="271"/>
      <c r="BX35" s="271"/>
      <c r="BY35" s="271"/>
      <c r="CI35" s="269"/>
      <c r="CJ35" s="314" t="s">
        <v>3104</v>
      </c>
      <c r="CK35" s="312" t="s">
        <v>20</v>
      </c>
      <c r="CL35" s="318" t="s">
        <v>3016</v>
      </c>
      <c r="CM35" s="288"/>
      <c r="CO35" s="287"/>
    </row>
    <row r="36" spans="1:93" x14ac:dyDescent="0.25">
      <c r="B36" s="68"/>
      <c r="C36" s="68"/>
      <c r="D36" s="68"/>
      <c r="E36" s="68"/>
      <c r="F36" s="68"/>
      <c r="G36" s="68"/>
      <c r="H36" s="93"/>
      <c r="I36" s="68"/>
      <c r="J36" s="68"/>
      <c r="K36" s="68"/>
      <c r="L36" s="68"/>
      <c r="M36" s="68"/>
      <c r="N36" s="68"/>
      <c r="O36" s="68"/>
      <c r="P36" s="68"/>
      <c r="Q36" s="67"/>
      <c r="R36" s="94"/>
      <c r="S36" s="94"/>
      <c r="T36" s="92"/>
      <c r="U36" s="222" t="s">
        <v>112</v>
      </c>
      <c r="V36" s="360">
        <v>223930.48</v>
      </c>
      <c r="W36" s="353">
        <v>184662.40808139989</v>
      </c>
      <c r="X36" s="353">
        <v>1749.32</v>
      </c>
      <c r="Y36" s="355">
        <v>27611.943318600002</v>
      </c>
      <c r="Z36" s="78"/>
      <c r="AA36" s="158" t="str">
        <f t="shared" si="0"/>
        <v>New York</v>
      </c>
      <c r="AB36" s="168">
        <v>223930.48</v>
      </c>
      <c r="AC36" s="144">
        <f t="shared" si="16"/>
        <v>1</v>
      </c>
      <c r="AD36" s="145"/>
      <c r="AE36" s="146" t="s">
        <v>41</v>
      </c>
      <c r="AF36" s="180" cm="1">
        <f t="array" ref="AF36">IFERROR(_xlfn.IFS($AE$20=AD23,AF23,$AE$20=AD26,AF26,$AE$20=AD29,AF29,$AE$20=AD32,AF32),"")</f>
        <v>123747.83775599999</v>
      </c>
      <c r="AG36" s="180" cm="1">
        <f t="array" ref="AG36">IFERROR(_xlfn.IFS($AE$20=AD23,AG23,$AE$20=AD26,AG26,$AE$20=AD29,AG29,$AE$20=AD32,AG32),"")</f>
        <v>1229.6600000000001</v>
      </c>
      <c r="AH36" s="180" cm="1">
        <f t="array" ref="AH36">IFERROR(_xlfn.IFS($AE$20=AD23,AH23,$AE$20=AD26,AH26,$AE$20=AD29,AH29,$AE$20=AD32,AH32),"")</f>
        <v>6.4799999999999933</v>
      </c>
      <c r="AI36" s="180" cm="1">
        <f t="array" ref="AI36">IFERROR(_xlfn.IFS($AE$20=AD23,AI23,$AE$20=AD26,AI26,$AE$20=AD29,AI29,$AE$20=AD32,AI32),"")</f>
        <v>44010.946644000011</v>
      </c>
      <c r="AJ36" s="181" cm="1">
        <f t="array" ref="AJ36">IFERROR(_xlfn.IFS($AE$20=AD23,AJ23,$AE$20=AD26,AJ26,$AE$20=AD29,AJ29,$AE$20=AD32,AJ32),"")</f>
        <v>177870.51</v>
      </c>
      <c r="AK36" s="83"/>
      <c r="AL36" s="222"/>
      <c r="AM36" s="392">
        <v>42034</v>
      </c>
      <c r="AN36" s="348">
        <v>5276.23</v>
      </c>
      <c r="AO36" s="146">
        <v>3101.0900999999999</v>
      </c>
      <c r="AP36" s="147">
        <v>50</v>
      </c>
      <c r="AQ36" s="59">
        <v>42034</v>
      </c>
      <c r="AR36" s="180">
        <v>5276.23</v>
      </c>
      <c r="AS36" s="61">
        <f t="shared" si="11"/>
        <v>1</v>
      </c>
      <c r="AT36" s="185">
        <f t="shared" si="12"/>
        <v>5</v>
      </c>
      <c r="AU36" s="405" t="s">
        <v>57</v>
      </c>
      <c r="AV36" s="398">
        <v>318169.68</v>
      </c>
      <c r="AW36" s="399">
        <v>8824.3905639999939</v>
      </c>
      <c r="AX36" s="400">
        <v>898</v>
      </c>
      <c r="AY36" s="181">
        <v>318169.68</v>
      </c>
      <c r="AZ36" s="68"/>
      <c r="BE36" s="55"/>
      <c r="BF36" s="55"/>
      <c r="BG36" s="55"/>
      <c r="BH36" s="55"/>
      <c r="BI36" s="55"/>
      <c r="BJ36" s="55"/>
      <c r="BT36" s="271"/>
      <c r="BU36" s="271"/>
      <c r="BV36" s="271"/>
      <c r="BW36" s="271"/>
      <c r="BX36" s="271"/>
      <c r="BY36" s="271"/>
      <c r="CI36" s="103"/>
      <c r="CJ36" s="315" t="s">
        <v>100</v>
      </c>
      <c r="CK36" s="308">
        <v>7865.8371800000004</v>
      </c>
      <c r="CL36" s="297">
        <v>1710</v>
      </c>
      <c r="CM36" s="288"/>
      <c r="CO36" s="287"/>
    </row>
    <row r="37" spans="1:93" ht="15.75" thickBot="1" x14ac:dyDescent="0.3">
      <c r="B37" s="68"/>
      <c r="C37" s="68"/>
      <c r="D37" s="68"/>
      <c r="E37" s="68"/>
      <c r="F37" s="68"/>
      <c r="G37" s="95"/>
      <c r="H37" s="96"/>
      <c r="I37" s="68"/>
      <c r="J37" s="68"/>
      <c r="K37" s="68"/>
      <c r="L37" s="68"/>
      <c r="M37" s="68"/>
      <c r="N37" s="68"/>
      <c r="O37" s="68"/>
      <c r="P37" s="68"/>
      <c r="Q37" s="67"/>
      <c r="R37" s="94"/>
      <c r="S37" s="94"/>
      <c r="T37" s="92"/>
      <c r="U37" s="222" t="s">
        <v>97</v>
      </c>
      <c r="V37" s="360">
        <v>38147.89</v>
      </c>
      <c r="W37" s="353">
        <v>54770.866340000015</v>
      </c>
      <c r="X37" s="353">
        <v>503.25</v>
      </c>
      <c r="Y37" s="355">
        <v>-19337.166839999991</v>
      </c>
      <c r="Z37" s="78"/>
      <c r="AA37" s="158" t="str">
        <f t="shared" ref="AA37:AA53" si="18">U37</f>
        <v>North Carolina</v>
      </c>
      <c r="AB37" s="168">
        <v>38147.89</v>
      </c>
      <c r="AC37" s="144">
        <f t="shared" si="16"/>
        <v>1</v>
      </c>
      <c r="AD37" s="148"/>
      <c r="AE37" s="175" t="s">
        <v>3054</v>
      </c>
      <c r="AF37" s="149">
        <f>IFERROR(SUM(AF34:AF36),"-")</f>
        <v>335101.57713139994</v>
      </c>
      <c r="AG37" s="149">
        <f>IFERROR(SUM(AG34:AG36),"-")</f>
        <v>7020.66</v>
      </c>
      <c r="AH37" s="149">
        <f>IFERROR(SUM(AH34:AH36),"-")</f>
        <v>27.439999999999973</v>
      </c>
      <c r="AI37" s="149">
        <f>IFERROR(SUM(AI34:AI36),"-")</f>
        <v>78645.775268600017</v>
      </c>
      <c r="AJ37" s="150">
        <f>IFERROR(SUM(AJ34:AJ36),"-")</f>
        <v>441445.62</v>
      </c>
      <c r="AK37" s="73"/>
      <c r="AL37" s="222"/>
      <c r="AM37" s="393">
        <v>42035</v>
      </c>
      <c r="AN37" s="348">
        <v>16299.11</v>
      </c>
      <c r="AO37" s="146">
        <v>7714.6917749999993</v>
      </c>
      <c r="AP37" s="147">
        <v>133</v>
      </c>
      <c r="AQ37" s="59">
        <v>42035</v>
      </c>
      <c r="AR37" s="180">
        <v>16299.11</v>
      </c>
      <c r="AS37" s="61">
        <f t="shared" si="11"/>
        <v>1</v>
      </c>
      <c r="AT37" s="185">
        <f t="shared" si="12"/>
        <v>5</v>
      </c>
      <c r="AU37" s="405" t="s">
        <v>88</v>
      </c>
      <c r="AV37" s="398">
        <v>55813.919999999998</v>
      </c>
      <c r="AW37" s="399">
        <v>7769.3150700000015</v>
      </c>
      <c r="AX37" s="400">
        <v>3481</v>
      </c>
      <c r="AY37" s="181">
        <v>55813.919999999998</v>
      </c>
      <c r="AZ37" s="68"/>
      <c r="BE37" s="55"/>
      <c r="BF37" s="55"/>
      <c r="BG37" s="55"/>
      <c r="BH37" s="55"/>
      <c r="BI37" s="55"/>
      <c r="BJ37" s="55"/>
      <c r="BT37" s="271"/>
      <c r="BU37" s="271"/>
      <c r="BV37" s="271"/>
      <c r="BW37" s="271"/>
      <c r="BX37" s="271"/>
      <c r="BY37" s="271"/>
      <c r="CI37" s="103"/>
      <c r="CJ37" s="316" t="s">
        <v>113</v>
      </c>
      <c r="CK37" s="309">
        <v>4928.1599800000004</v>
      </c>
      <c r="CL37" s="296">
        <v>1642</v>
      </c>
      <c r="CM37" s="288"/>
      <c r="CO37" s="287"/>
    </row>
    <row r="38" spans="1:93" ht="15.75" thickBot="1" x14ac:dyDescent="0.3">
      <c r="B38" s="139" t="s">
        <v>3081</v>
      </c>
      <c r="C38" s="140"/>
      <c r="D38" s="140"/>
      <c r="E38" s="140"/>
      <c r="F38" s="140"/>
      <c r="G38" s="140"/>
      <c r="H38" s="141"/>
      <c r="I38" s="140"/>
      <c r="J38" s="140"/>
      <c r="K38" s="140"/>
      <c r="L38" s="140"/>
      <c r="M38" s="140"/>
      <c r="N38" s="140"/>
      <c r="O38" s="140"/>
      <c r="P38" s="140"/>
      <c r="Q38" s="140"/>
      <c r="R38" s="140"/>
      <c r="S38" s="142"/>
      <c r="T38" s="55"/>
      <c r="U38" s="222" t="s">
        <v>565</v>
      </c>
      <c r="V38" s="360">
        <v>5300.23</v>
      </c>
      <c r="W38" s="353">
        <v>1832.6151000000007</v>
      </c>
      <c r="X38" s="353">
        <v>72.28</v>
      </c>
      <c r="Y38" s="355">
        <v>3012.1560999999997</v>
      </c>
      <c r="Z38" s="78"/>
      <c r="AA38" s="158" t="str">
        <f t="shared" si="18"/>
        <v>North Dakota</v>
      </c>
      <c r="AB38" s="168">
        <v>5300.23</v>
      </c>
      <c r="AC38" s="144">
        <f t="shared" si="16"/>
        <v>1</v>
      </c>
      <c r="AD38" s="67"/>
      <c r="AE38" s="68"/>
      <c r="AF38" s="68"/>
      <c r="AG38" s="68"/>
      <c r="AH38" s="68"/>
      <c r="AI38" s="68"/>
      <c r="AJ38" s="68"/>
      <c r="AL38" s="225" t="s">
        <v>3044</v>
      </c>
      <c r="AM38" s="391">
        <v>42036</v>
      </c>
      <c r="AN38" s="409">
        <v>7529.03</v>
      </c>
      <c r="AO38" s="365">
        <v>918.25949999999989</v>
      </c>
      <c r="AP38" s="367">
        <v>97</v>
      </c>
      <c r="AQ38" s="59">
        <v>42036</v>
      </c>
      <c r="AR38" s="180">
        <v>7529.03</v>
      </c>
      <c r="AS38" s="61">
        <f t="shared" si="11"/>
        <v>1</v>
      </c>
      <c r="AT38" s="185">
        <f t="shared" si="12"/>
        <v>6</v>
      </c>
      <c r="AU38" s="405" t="s">
        <v>50</v>
      </c>
      <c r="AV38" s="398">
        <v>26071.61</v>
      </c>
      <c r="AW38" s="399">
        <v>-257.62879999999967</v>
      </c>
      <c r="AX38" s="400">
        <v>2744</v>
      </c>
      <c r="AY38" s="181">
        <v>26071.61</v>
      </c>
      <c r="AZ38" s="68"/>
      <c r="BE38" s="55"/>
      <c r="BF38" s="55"/>
      <c r="BG38" s="55"/>
      <c r="BH38" s="55"/>
      <c r="BI38" s="55"/>
      <c r="BJ38" s="55"/>
      <c r="BT38" s="271"/>
      <c r="BU38" s="271"/>
      <c r="BV38" s="271"/>
      <c r="BW38" s="271"/>
      <c r="BX38" s="271"/>
      <c r="BY38" s="271"/>
      <c r="CI38" s="103"/>
      <c r="CJ38" s="317" t="s">
        <v>67</v>
      </c>
      <c r="CK38" s="310">
        <v>11677.363099999999</v>
      </c>
      <c r="CL38" s="412">
        <v>600</v>
      </c>
      <c r="CM38" s="301"/>
      <c r="CN38" s="291"/>
      <c r="CO38" s="292"/>
    </row>
    <row r="39" spans="1:93" ht="15.75" thickBot="1" x14ac:dyDescent="0.3">
      <c r="B39" s="217"/>
      <c r="C39" s="217" t="s">
        <v>3065</v>
      </c>
      <c r="D39" s="218"/>
      <c r="E39" s="219"/>
      <c r="F39" s="219"/>
      <c r="G39" s="219"/>
      <c r="H39" s="219"/>
      <c r="I39" s="219"/>
      <c r="J39" s="219"/>
      <c r="K39" s="219"/>
      <c r="L39" s="219"/>
      <c r="M39" s="219"/>
      <c r="N39" s="219"/>
      <c r="O39" s="219"/>
      <c r="P39" s="219"/>
      <c r="Q39" s="219"/>
      <c r="R39" s="219"/>
      <c r="S39" s="220"/>
      <c r="T39" s="55"/>
      <c r="U39" s="222" t="s">
        <v>317</v>
      </c>
      <c r="V39" s="360">
        <v>69452.820000000007</v>
      </c>
      <c r="W39" s="353">
        <v>41357.092073999993</v>
      </c>
      <c r="X39" s="353">
        <v>1117.99</v>
      </c>
      <c r="Y39" s="355">
        <v>23410.842026000006</v>
      </c>
      <c r="Z39" s="78"/>
      <c r="AA39" s="158" t="str">
        <f t="shared" si="18"/>
        <v>Ohio</v>
      </c>
      <c r="AB39" s="168">
        <v>69452.820000000007</v>
      </c>
      <c r="AC39" s="144">
        <f t="shared" si="16"/>
        <v>1</v>
      </c>
      <c r="AD39" s="67"/>
      <c r="AE39" s="68"/>
      <c r="AF39" s="68"/>
      <c r="AG39" s="68"/>
      <c r="AH39" s="68"/>
      <c r="AI39" s="68"/>
      <c r="AJ39" s="68"/>
      <c r="AL39" s="222"/>
      <c r="AM39" s="392">
        <v>42037</v>
      </c>
      <c r="AN39" s="348">
        <v>20691.02</v>
      </c>
      <c r="AO39" s="146">
        <v>-1674.3463710000005</v>
      </c>
      <c r="AP39" s="147">
        <v>309</v>
      </c>
      <c r="AQ39" s="59">
        <v>42037</v>
      </c>
      <c r="AR39" s="180">
        <v>20691.02</v>
      </c>
      <c r="AS39" s="61">
        <f t="shared" si="11"/>
        <v>1</v>
      </c>
      <c r="AT39" s="185">
        <f t="shared" si="12"/>
        <v>6</v>
      </c>
      <c r="AU39" s="405" t="s">
        <v>176</v>
      </c>
      <c r="AV39" s="398">
        <v>1789.43</v>
      </c>
      <c r="AW39" s="399">
        <v>-1544.8260631999995</v>
      </c>
      <c r="AX39" s="400">
        <v>501</v>
      </c>
      <c r="AY39" s="181">
        <v>1789.43</v>
      </c>
      <c r="AZ39" s="68"/>
      <c r="BE39" s="55"/>
      <c r="BF39" s="55"/>
      <c r="BG39" s="55"/>
      <c r="BH39" s="55"/>
      <c r="BI39" s="55"/>
      <c r="BJ39" s="55"/>
      <c r="BT39" s="271"/>
      <c r="BU39" s="271"/>
      <c r="BV39" s="271"/>
      <c r="BW39" s="271"/>
      <c r="BX39" s="271"/>
      <c r="BY39" s="271"/>
    </row>
    <row r="40" spans="1:93" ht="15.75" thickBot="1" x14ac:dyDescent="0.3">
      <c r="B40" s="217" t="s">
        <v>3052</v>
      </c>
      <c r="C40" s="218" t="s">
        <v>95</v>
      </c>
      <c r="D40" s="219" t="s">
        <v>72</v>
      </c>
      <c r="E40" s="219" t="s">
        <v>117</v>
      </c>
      <c r="F40" s="219" t="s">
        <v>109</v>
      </c>
      <c r="G40" s="219" t="s">
        <v>42</v>
      </c>
      <c r="H40" s="219" t="s">
        <v>64</v>
      </c>
      <c r="I40" s="219" t="s">
        <v>345</v>
      </c>
      <c r="J40" s="219" t="s">
        <v>152</v>
      </c>
      <c r="K40" s="219" t="s">
        <v>126</v>
      </c>
      <c r="L40" s="219" t="s">
        <v>57</v>
      </c>
      <c r="M40" s="219" t="s">
        <v>88</v>
      </c>
      <c r="N40" s="219" t="s">
        <v>50</v>
      </c>
      <c r="O40" s="219" t="s">
        <v>176</v>
      </c>
      <c r="P40" s="219" t="s">
        <v>568</v>
      </c>
      <c r="Q40" s="219" t="s">
        <v>78</v>
      </c>
      <c r="R40" s="219" t="s">
        <v>30</v>
      </c>
      <c r="S40" s="220" t="s">
        <v>135</v>
      </c>
      <c r="T40" s="55"/>
      <c r="U40" s="222" t="s">
        <v>207</v>
      </c>
      <c r="V40" s="360">
        <v>6884.04</v>
      </c>
      <c r="W40" s="353">
        <v>3875.7087799999999</v>
      </c>
      <c r="X40" s="353">
        <v>245.17</v>
      </c>
      <c r="Y40" s="355">
        <v>2555.9895200000001</v>
      </c>
      <c r="Z40" s="78"/>
      <c r="AA40" s="158" t="str">
        <f t="shared" si="18"/>
        <v>Oklahoma</v>
      </c>
      <c r="AB40" s="168">
        <v>6884.04</v>
      </c>
      <c r="AC40" s="144">
        <f t="shared" si="16"/>
        <v>1</v>
      </c>
      <c r="AD40" s="67"/>
      <c r="AE40" s="68"/>
      <c r="AF40" s="68"/>
      <c r="AG40" s="68"/>
      <c r="AH40" s="68"/>
      <c r="AI40" s="68"/>
      <c r="AJ40" s="68"/>
      <c r="AL40" s="222"/>
      <c r="AM40" s="392">
        <v>42038</v>
      </c>
      <c r="AN40" s="348">
        <v>3485.71</v>
      </c>
      <c r="AO40" s="146">
        <v>290.33600000000001</v>
      </c>
      <c r="AP40" s="147">
        <v>29</v>
      </c>
      <c r="AQ40" s="59">
        <v>42038</v>
      </c>
      <c r="AR40" s="180">
        <v>3485.71</v>
      </c>
      <c r="AS40" s="61">
        <f t="shared" si="11"/>
        <v>1</v>
      </c>
      <c r="AT40" s="185">
        <f t="shared" si="12"/>
        <v>6</v>
      </c>
      <c r="AU40" s="405" t="s">
        <v>568</v>
      </c>
      <c r="AV40" s="398">
        <v>6752.18</v>
      </c>
      <c r="AW40" s="399">
        <v>-1291.0959000000003</v>
      </c>
      <c r="AX40" s="400">
        <v>423</v>
      </c>
      <c r="AY40" s="181">
        <v>6752.18</v>
      </c>
      <c r="AZ40" s="68"/>
      <c r="BE40" s="55"/>
      <c r="BF40" s="55"/>
      <c r="BG40" s="55"/>
      <c r="BH40" s="55"/>
      <c r="BI40" s="55"/>
      <c r="BJ40" s="55"/>
      <c r="BT40" s="271"/>
      <c r="BU40" s="271"/>
      <c r="BV40" s="271"/>
      <c r="BW40" s="271"/>
      <c r="BX40" s="271"/>
      <c r="BY40" s="271"/>
      <c r="CI40" s="103"/>
      <c r="CJ40" s="298" t="s">
        <v>3101</v>
      </c>
      <c r="CK40" s="293"/>
      <c r="CL40" s="294"/>
      <c r="CM40" s="305" t="s">
        <v>3053</v>
      </c>
      <c r="CN40" s="306" t="str">
        <f>CHOOSE(Distribution!AH9,"Sales", "Profit")</f>
        <v>Profit</v>
      </c>
      <c r="CO40" s="307"/>
    </row>
    <row r="41" spans="1:93" ht="15.75" thickBot="1" x14ac:dyDescent="0.3">
      <c r="B41" s="350" t="s">
        <v>3068</v>
      </c>
      <c r="C41" s="345">
        <v>4441.3719000000001</v>
      </c>
      <c r="D41" s="346">
        <v>6401.7309999999979</v>
      </c>
      <c r="E41" s="346">
        <v>4536.7698000000019</v>
      </c>
      <c r="F41" s="346">
        <v>12252.623699999998</v>
      </c>
      <c r="G41" s="346">
        <v>5405.0749999999971</v>
      </c>
      <c r="H41" s="346">
        <v>5175.9114</v>
      </c>
      <c r="I41" s="346">
        <v>500.76230000000004</v>
      </c>
      <c r="J41" s="346">
        <v>243.28150000000002</v>
      </c>
      <c r="K41" s="346">
        <v>3529.8900000000012</v>
      </c>
      <c r="L41" s="346">
        <v>15849.907800000001</v>
      </c>
      <c r="M41" s="346">
        <v>2747.3200000000006</v>
      </c>
      <c r="N41" s="346">
        <v>1366.8413999999998</v>
      </c>
      <c r="O41" s="346">
        <v>84.712400000000017</v>
      </c>
      <c r="P41" s="346">
        <v>286.62939999999992</v>
      </c>
      <c r="Q41" s="346">
        <v>7077.5603999999976</v>
      </c>
      <c r="R41" s="346">
        <v>10207.171399999997</v>
      </c>
      <c r="S41" s="347">
        <v>11011.929799999998</v>
      </c>
      <c r="T41" s="55"/>
      <c r="U41" s="222" t="s">
        <v>139</v>
      </c>
      <c r="V41" s="360">
        <v>21821.83</v>
      </c>
      <c r="W41" s="353">
        <v>5343.4571999999989</v>
      </c>
      <c r="X41" s="353">
        <v>216.11</v>
      </c>
      <c r="Y41" s="355">
        <v>15291.572600000001</v>
      </c>
      <c r="Z41" s="78"/>
      <c r="AA41" s="158" t="str">
        <f t="shared" si="18"/>
        <v>Oregon</v>
      </c>
      <c r="AB41" s="168">
        <v>21821.83</v>
      </c>
      <c r="AC41" s="144">
        <f t="shared" si="16"/>
        <v>1</v>
      </c>
      <c r="AD41" s="67"/>
      <c r="AE41" s="68"/>
      <c r="AF41" s="68"/>
      <c r="AG41" s="68"/>
      <c r="AH41" s="68"/>
      <c r="AI41" s="68"/>
      <c r="AJ41" s="68"/>
      <c r="AL41" s="222"/>
      <c r="AM41" s="392">
        <v>42039</v>
      </c>
      <c r="AN41" s="348">
        <v>8893.91</v>
      </c>
      <c r="AO41" s="146">
        <v>-2903.3084920000001</v>
      </c>
      <c r="AP41" s="147">
        <v>192</v>
      </c>
      <c r="AQ41" s="59">
        <v>42039</v>
      </c>
      <c r="AR41" s="180">
        <v>8893.91</v>
      </c>
      <c r="AS41" s="61">
        <f t="shared" si="11"/>
        <v>1</v>
      </c>
      <c r="AT41" s="185">
        <f t="shared" si="12"/>
        <v>6</v>
      </c>
      <c r="AU41" s="405" t="s">
        <v>78</v>
      </c>
      <c r="AV41" s="398">
        <v>175730.05</v>
      </c>
      <c r="AW41" s="399">
        <v>7803.9946</v>
      </c>
      <c r="AX41" s="400">
        <v>1889</v>
      </c>
      <c r="AY41" s="181">
        <v>175730.05</v>
      </c>
      <c r="AZ41" s="68"/>
      <c r="BE41" s="55"/>
      <c r="BF41" s="55"/>
      <c r="BG41" s="55"/>
      <c r="BH41" s="55"/>
      <c r="BI41" s="55"/>
      <c r="BJ41" s="55"/>
      <c r="BT41" s="271"/>
      <c r="BU41" s="271"/>
      <c r="BV41" s="271"/>
      <c r="BW41" s="271"/>
      <c r="BX41" s="271"/>
      <c r="BY41" s="271"/>
      <c r="CI41" s="103"/>
      <c r="CJ41" s="311" t="s">
        <v>3104</v>
      </c>
      <c r="CK41" s="312" t="s">
        <v>22</v>
      </c>
      <c r="CL41" s="313" t="s">
        <v>3016</v>
      </c>
      <c r="CM41" s="302" t="s">
        <v>11</v>
      </c>
      <c r="CN41" s="303" t="str">
        <f>CN40</f>
        <v>Profit</v>
      </c>
      <c r="CO41" s="304" t="s">
        <v>3016</v>
      </c>
    </row>
    <row r="42" spans="1:93" x14ac:dyDescent="0.25">
      <c r="B42" s="351" t="s">
        <v>3069</v>
      </c>
      <c r="C42" s="348">
        <v>12594.820600000001</v>
      </c>
      <c r="D42" s="146">
        <v>59296.389429999988</v>
      </c>
      <c r="E42" s="146">
        <v>-930.43840000000046</v>
      </c>
      <c r="F42" s="146">
        <v>39808.485999999997</v>
      </c>
      <c r="G42" s="146">
        <v>1698.043979999999</v>
      </c>
      <c r="H42" s="146">
        <v>23990.207579999998</v>
      </c>
      <c r="I42" s="146">
        <v>-1194.4125000000008</v>
      </c>
      <c r="J42" s="146">
        <v>7028.1595000000016</v>
      </c>
      <c r="K42" s="146">
        <v>18724.1191</v>
      </c>
      <c r="L42" s="146">
        <v>8824.3905639999939</v>
      </c>
      <c r="M42" s="146">
        <v>7769.3150700000015</v>
      </c>
      <c r="N42" s="146">
        <v>-257.62879999999967</v>
      </c>
      <c r="O42" s="146">
        <v>-1544.8260631999995</v>
      </c>
      <c r="P42" s="146">
        <v>-1291.0959000000003</v>
      </c>
      <c r="Q42" s="146">
        <v>7803.9946</v>
      </c>
      <c r="R42" s="146">
        <v>-8086.6392636499968</v>
      </c>
      <c r="S42" s="147">
        <v>40790.514240000011</v>
      </c>
      <c r="T42" s="55"/>
      <c r="U42" s="222" t="s">
        <v>320</v>
      </c>
      <c r="V42" s="360">
        <v>45780.85</v>
      </c>
      <c r="W42" s="353">
        <v>44643.700624600002</v>
      </c>
      <c r="X42" s="353">
        <v>693.2</v>
      </c>
      <c r="Y42" s="355">
        <v>-1556.1825245999987</v>
      </c>
      <c r="Z42" s="78"/>
      <c r="AA42" s="158" t="str">
        <f t="shared" si="18"/>
        <v>Pennsylvania</v>
      </c>
      <c r="AB42" s="168">
        <v>45780.85</v>
      </c>
      <c r="AC42" s="144">
        <f t="shared" si="16"/>
        <v>1</v>
      </c>
      <c r="AD42" s="67"/>
      <c r="AE42" s="68"/>
      <c r="AF42" s="68"/>
      <c r="AG42" s="68"/>
      <c r="AH42" s="68"/>
      <c r="AI42" s="68"/>
      <c r="AJ42" s="68"/>
      <c r="AL42" s="222"/>
      <c r="AM42" s="392">
        <v>42040</v>
      </c>
      <c r="AN42" s="348">
        <v>17906.150000000001</v>
      </c>
      <c r="AO42" s="146">
        <v>7315.8927000000003</v>
      </c>
      <c r="AP42" s="147">
        <v>304</v>
      </c>
      <c r="AQ42" s="59">
        <v>42040</v>
      </c>
      <c r="AR42" s="180">
        <v>17906.150000000001</v>
      </c>
      <c r="AS42" s="61">
        <f t="shared" si="11"/>
        <v>1</v>
      </c>
      <c r="AT42" s="185">
        <f t="shared" si="12"/>
        <v>6</v>
      </c>
      <c r="AU42" s="405" t="s">
        <v>30</v>
      </c>
      <c r="AV42" s="398">
        <v>172511.33</v>
      </c>
      <c r="AW42" s="399">
        <v>-8086.6392636499968</v>
      </c>
      <c r="AX42" s="400">
        <v>882</v>
      </c>
      <c r="AY42" s="181">
        <v>172511.33</v>
      </c>
      <c r="AZ42" s="68"/>
      <c r="BE42" s="55"/>
      <c r="BF42" s="55"/>
      <c r="BG42" s="55"/>
      <c r="BH42" s="55"/>
      <c r="BI42" s="55"/>
      <c r="BJ42" s="55"/>
      <c r="BT42" s="271"/>
      <c r="BU42" s="271"/>
      <c r="BV42" s="271"/>
      <c r="BW42" s="271"/>
      <c r="BX42" s="271"/>
      <c r="BY42" s="271"/>
      <c r="CI42" s="103"/>
      <c r="CJ42" s="298" t="s">
        <v>2645</v>
      </c>
      <c r="CK42" s="308">
        <v>4.21</v>
      </c>
      <c r="CL42" s="294">
        <v>1</v>
      </c>
      <c r="CM42" s="288" t="str" cm="1">
        <f t="array" ref="CM42">IFERROR(_xlfn.IFS($CN$40="Sales",CJ42,$CN$40="Profit",CJ48),"")</f>
        <v>Walla Walla</v>
      </c>
      <c r="CN42" s="270" cm="1">
        <f t="array" ref="CN42">IFERROR(_xlfn.IFS($CN$40="Sales",CK42,$CN$40="Profit",CK48),"")</f>
        <v>-2.87</v>
      </c>
      <c r="CO42" s="287" cm="1">
        <f t="array" ref="CO42">IFERROR(_xlfn.IFS($CN$40="Sales",CL42,$CN$40="Profit",CL48),"")</f>
        <v>1</v>
      </c>
    </row>
    <row r="43" spans="1:93" ht="15.75" thickBot="1" x14ac:dyDescent="0.3">
      <c r="B43" s="351" t="s">
        <v>3070</v>
      </c>
      <c r="C43" s="348">
        <v>1589.65</v>
      </c>
      <c r="D43" s="146">
        <v>1493.36</v>
      </c>
      <c r="E43" s="146">
        <v>1957.71</v>
      </c>
      <c r="F43" s="146">
        <v>3560.59</v>
      </c>
      <c r="G43" s="146">
        <v>1094.8399999999999</v>
      </c>
      <c r="H43" s="146">
        <v>476.99</v>
      </c>
      <c r="I43" s="146">
        <v>334.03</v>
      </c>
      <c r="J43" s="146">
        <v>93.03</v>
      </c>
      <c r="K43" s="146">
        <v>1942.03</v>
      </c>
      <c r="L43" s="146">
        <v>1903.64</v>
      </c>
      <c r="M43" s="146">
        <v>1777.19</v>
      </c>
      <c r="N43" s="146">
        <v>498.16</v>
      </c>
      <c r="O43" s="146">
        <v>46.54</v>
      </c>
      <c r="P43" s="146">
        <v>163.95</v>
      </c>
      <c r="Q43" s="146">
        <v>2349.54</v>
      </c>
      <c r="R43" s="146">
        <v>4397.51</v>
      </c>
      <c r="S43" s="147">
        <v>1069.67</v>
      </c>
      <c r="T43" s="55"/>
      <c r="U43" s="222" t="s">
        <v>584</v>
      </c>
      <c r="V43" s="360">
        <v>10027.83</v>
      </c>
      <c r="W43" s="353">
        <v>4236.1898000000019</v>
      </c>
      <c r="X43" s="353">
        <v>137.12</v>
      </c>
      <c r="Y43" s="355">
        <v>5073.0013999999992</v>
      </c>
      <c r="Z43" s="78"/>
      <c r="AA43" s="158" t="str">
        <f t="shared" si="18"/>
        <v>Rhode Island</v>
      </c>
      <c r="AB43" s="168">
        <v>10027.83</v>
      </c>
      <c r="AC43" s="144">
        <f t="shared" si="16"/>
        <v>1</v>
      </c>
      <c r="AD43" s="67"/>
      <c r="AE43" s="68"/>
      <c r="AF43" s="68"/>
      <c r="AG43" s="68"/>
      <c r="AH43" s="68"/>
      <c r="AI43" s="68"/>
      <c r="AJ43" s="68"/>
      <c r="AL43" s="222"/>
      <c r="AM43" s="392">
        <v>42041</v>
      </c>
      <c r="AN43" s="348">
        <v>9149.27</v>
      </c>
      <c r="AO43" s="146">
        <v>-1083.0096832000004</v>
      </c>
      <c r="AP43" s="147">
        <v>167</v>
      </c>
      <c r="AQ43" s="59">
        <v>42041</v>
      </c>
      <c r="AR43" s="180">
        <v>9149.27</v>
      </c>
      <c r="AS43" s="61">
        <f t="shared" si="11"/>
        <v>1</v>
      </c>
      <c r="AT43" s="185">
        <f t="shared" si="12"/>
        <v>6</v>
      </c>
      <c r="AU43" s="406" t="s">
        <v>135</v>
      </c>
      <c r="AV43" s="401">
        <v>198764.49</v>
      </c>
      <c r="AW43" s="402">
        <v>40790.514240000011</v>
      </c>
      <c r="AX43" s="403">
        <v>2358</v>
      </c>
      <c r="AY43" s="195">
        <v>198764.49</v>
      </c>
      <c r="AZ43" s="68"/>
      <c r="BE43" s="55"/>
      <c r="BF43" s="55"/>
      <c r="BG43" s="55"/>
      <c r="BH43" s="55"/>
      <c r="BI43" s="55"/>
      <c r="BJ43" s="55"/>
      <c r="BT43" s="271"/>
      <c r="BU43" s="271"/>
      <c r="BV43" s="271"/>
      <c r="BW43" s="271"/>
      <c r="BX43" s="271"/>
      <c r="BY43" s="271"/>
      <c r="CI43" s="103"/>
      <c r="CJ43" s="283" t="s">
        <v>1385</v>
      </c>
      <c r="CK43" s="309">
        <v>6.97</v>
      </c>
      <c r="CL43" s="271">
        <v>2</v>
      </c>
      <c r="CM43" s="288" t="str" cm="1">
        <f t="array" ref="CM43">IFERROR(_xlfn.IFS($CN$40="Sales",CJ43,$CN$40="Profit",CJ49),"")</f>
        <v>Laguna Hills</v>
      </c>
      <c r="CN43" s="270" cm="1">
        <f t="array" ref="CN43">IFERROR(_xlfn.IFS($CN$40="Sales",CK43,$CN$40="Profit",CK49),"")</f>
        <v>-8.2799999999999994</v>
      </c>
      <c r="CO43" s="287" cm="1">
        <f t="array" ref="CO43">IFERROR(_xlfn.IFS($CN$40="Sales",CL43,$CN$40="Profit",CL49),"")</f>
        <v>2</v>
      </c>
    </row>
    <row r="44" spans="1:93" ht="15.75" thickBot="1" x14ac:dyDescent="0.3">
      <c r="B44" s="352" t="s">
        <v>3067</v>
      </c>
      <c r="C44" s="349">
        <v>63575.30750000001</v>
      </c>
      <c r="D44" s="149">
        <v>118736.65956999996</v>
      </c>
      <c r="E44" s="149">
        <v>102232.04860000002</v>
      </c>
      <c r="F44" s="149">
        <v>185578.72030000004</v>
      </c>
      <c r="G44" s="149">
        <v>88063.341020000007</v>
      </c>
      <c r="H44" s="149">
        <v>69426.371020000006</v>
      </c>
      <c r="I44" s="149">
        <v>10839.390200000003</v>
      </c>
      <c r="J44" s="149">
        <v>-2449.6509999999998</v>
      </c>
      <c r="K44" s="149">
        <v>73874.870899999951</v>
      </c>
      <c r="L44" s="149">
        <v>291591.74163600011</v>
      </c>
      <c r="M44" s="149">
        <v>43520.094930000014</v>
      </c>
      <c r="N44" s="149">
        <v>24464.237400000024</v>
      </c>
      <c r="O44" s="149">
        <v>3203.0036631999988</v>
      </c>
      <c r="P44" s="149">
        <v>7592.6965000000009</v>
      </c>
      <c r="Q44" s="149">
        <v>158498.95500000005</v>
      </c>
      <c r="R44" s="149">
        <v>165993.28786364995</v>
      </c>
      <c r="S44" s="150">
        <v>145892.37596</v>
      </c>
      <c r="T44" s="55"/>
      <c r="U44" s="222" t="s">
        <v>271</v>
      </c>
      <c r="V44" s="360">
        <v>16544.63</v>
      </c>
      <c r="W44" s="353">
        <v>13558.719863200004</v>
      </c>
      <c r="X44" s="353">
        <v>333.17</v>
      </c>
      <c r="Y44" s="355">
        <v>1695.7832368000002</v>
      </c>
      <c r="Z44" s="78"/>
      <c r="AA44" s="158" t="str">
        <f t="shared" si="18"/>
        <v>South Carolina</v>
      </c>
      <c r="AB44" s="168">
        <v>16544.63</v>
      </c>
      <c r="AC44" s="144">
        <f t="shared" si="16"/>
        <v>1</v>
      </c>
      <c r="AD44" s="67"/>
      <c r="AE44" s="68"/>
      <c r="AF44" s="68"/>
      <c r="AG44" s="68"/>
      <c r="AH44" s="68"/>
      <c r="AI44" s="68"/>
      <c r="AJ44" s="68"/>
      <c r="AL44" s="222"/>
      <c r="AM44" s="392">
        <v>42042</v>
      </c>
      <c r="AN44" s="348">
        <v>4720.29</v>
      </c>
      <c r="AO44" s="146">
        <v>715.13743999999997</v>
      </c>
      <c r="AP44" s="147">
        <v>226</v>
      </c>
      <c r="AQ44" s="59">
        <v>42042</v>
      </c>
      <c r="AR44" s="180">
        <v>4720.29</v>
      </c>
      <c r="AS44" s="61">
        <f t="shared" si="11"/>
        <v>1</v>
      </c>
      <c r="AT44" s="185">
        <f t="shared" si="12"/>
        <v>6</v>
      </c>
      <c r="AU44" s="68"/>
      <c r="AV44" s="68"/>
      <c r="AW44" s="68"/>
      <c r="AX44" s="68"/>
      <c r="AY44" s="68"/>
      <c r="AZ44" s="68"/>
      <c r="BE44" s="55"/>
      <c r="BF44" s="55"/>
      <c r="BG44" s="55"/>
      <c r="BH44" s="55"/>
      <c r="BI44" s="55"/>
      <c r="BJ44" s="55"/>
      <c r="BT44" s="271"/>
      <c r="BU44" s="271"/>
      <c r="BV44" s="271"/>
      <c r="BW44" s="271"/>
      <c r="BX44" s="271"/>
      <c r="BY44" s="271"/>
      <c r="CI44" s="103"/>
      <c r="CJ44" s="289" t="s">
        <v>2607</v>
      </c>
      <c r="CK44" s="310">
        <v>5.9</v>
      </c>
      <c r="CL44" s="411">
        <v>1</v>
      </c>
      <c r="CM44" s="288" t="str" cm="1">
        <f t="array" ref="CM44">IFERROR(_xlfn.IFS($CN$40="Sales",CJ44,$CN$40="Profit",CJ50),"")</f>
        <v>Janesville</v>
      </c>
      <c r="CN44" s="270" cm="1">
        <f t="array" ref="CN44">IFERROR(_xlfn.IFS($CN$40="Sales",CK44,$CN$40="Profit",CK50),"")</f>
        <v>-5.54</v>
      </c>
      <c r="CO44" s="287" cm="1">
        <f t="array" ref="CO44">IFERROR(_xlfn.IFS($CN$40="Sales",CL44,$CN$40="Profit",CL50),"")</f>
        <v>1</v>
      </c>
    </row>
    <row r="45" spans="1:93" x14ac:dyDescent="0.25">
      <c r="B45" s="157"/>
      <c r="C45" s="140"/>
      <c r="D45" s="142"/>
      <c r="E45" s="68"/>
      <c r="F45" s="68"/>
      <c r="G45" s="68"/>
      <c r="H45" s="60"/>
      <c r="I45" s="68"/>
      <c r="J45" s="68"/>
      <c r="K45" s="68"/>
      <c r="L45" s="68"/>
      <c r="M45" s="68"/>
      <c r="N45" s="68"/>
      <c r="O45" s="68"/>
      <c r="P45" s="68"/>
      <c r="Q45" s="68"/>
      <c r="R45" s="68"/>
      <c r="S45" s="68"/>
      <c r="T45" s="55"/>
      <c r="U45" s="222" t="s">
        <v>1071</v>
      </c>
      <c r="V45" s="360">
        <v>1550.49</v>
      </c>
      <c r="W45" s="353">
        <v>1003.3662</v>
      </c>
      <c r="X45" s="353">
        <v>89.87</v>
      </c>
      <c r="Y45" s="355">
        <v>431.18619999999999</v>
      </c>
      <c r="Z45" s="78"/>
      <c r="AA45" s="158" t="str">
        <f t="shared" si="18"/>
        <v>South Dakota</v>
      </c>
      <c r="AB45" s="168">
        <v>1550.49</v>
      </c>
      <c r="AC45" s="144">
        <f t="shared" si="16"/>
        <v>1</v>
      </c>
      <c r="AD45" s="67"/>
      <c r="AE45" s="68"/>
      <c r="AF45" s="68"/>
      <c r="AG45" s="68"/>
      <c r="AH45" s="68"/>
      <c r="AI45" s="68"/>
      <c r="AJ45" s="68"/>
      <c r="AL45" s="222"/>
      <c r="AM45" s="392">
        <v>42043</v>
      </c>
      <c r="AN45" s="348">
        <v>1404.04</v>
      </c>
      <c r="AO45" s="146">
        <v>-646.52010000000007</v>
      </c>
      <c r="AP45" s="147">
        <v>10</v>
      </c>
      <c r="AQ45" s="59">
        <v>42043</v>
      </c>
      <c r="AR45" s="180">
        <v>1404.04</v>
      </c>
      <c r="AS45" s="61">
        <f t="shared" si="11"/>
        <v>1</v>
      </c>
      <c r="AT45" s="185">
        <f t="shared" si="12"/>
        <v>7</v>
      </c>
      <c r="AU45" s="68"/>
      <c r="AV45" s="68"/>
      <c r="AW45" s="68"/>
      <c r="AX45" s="68"/>
      <c r="AY45" s="68"/>
      <c r="AZ45" s="68"/>
      <c r="BE45" s="55"/>
      <c r="BF45" s="55"/>
      <c r="BG45" s="55"/>
      <c r="BH45" s="55"/>
      <c r="BI45" s="55"/>
      <c r="BJ45" s="55"/>
      <c r="BT45" s="271"/>
      <c r="BU45" s="271"/>
      <c r="BV45" s="271"/>
      <c r="BW45" s="271"/>
      <c r="BX45" s="271"/>
      <c r="BY45" s="271"/>
      <c r="CJ45" s="288"/>
      <c r="CM45" s="288"/>
      <c r="CO45" s="287"/>
    </row>
    <row r="46" spans="1:93" ht="15.75" thickBot="1" x14ac:dyDescent="0.3">
      <c r="A46" s="416"/>
      <c r="B46" s="418" t="s">
        <v>3066</v>
      </c>
      <c r="C46" s="416" t="s">
        <v>95</v>
      </c>
      <c r="D46" s="419"/>
      <c r="E46" s="416"/>
      <c r="F46" s="68"/>
      <c r="G46" s="68"/>
      <c r="H46" s="60"/>
      <c r="I46" s="68"/>
      <c r="J46" s="68"/>
      <c r="K46" s="68"/>
      <c r="L46" s="68"/>
      <c r="M46" s="68"/>
      <c r="N46" s="68"/>
      <c r="O46" s="68"/>
      <c r="P46" s="68"/>
      <c r="Q46" s="68"/>
      <c r="R46" s="68"/>
      <c r="S46" s="68"/>
      <c r="T46" s="55"/>
      <c r="U46" s="222" t="s">
        <v>400</v>
      </c>
      <c r="V46" s="360">
        <v>33209.760000000002</v>
      </c>
      <c r="W46" s="353">
        <v>32290.383500000004</v>
      </c>
      <c r="X46" s="353">
        <v>632.63</v>
      </c>
      <c r="Y46" s="355">
        <v>-1603.4634000000008</v>
      </c>
      <c r="Z46" s="78"/>
      <c r="AA46" s="158" t="str">
        <f t="shared" si="18"/>
        <v>Tennessee</v>
      </c>
      <c r="AB46" s="168">
        <v>33209.760000000002</v>
      </c>
      <c r="AC46" s="144">
        <f t="shared" si="16"/>
        <v>1</v>
      </c>
      <c r="AD46" s="67"/>
      <c r="AE46" s="68"/>
      <c r="AF46" s="68"/>
      <c r="AG46" s="68"/>
      <c r="AH46" s="68"/>
      <c r="AI46" s="68"/>
      <c r="AJ46" s="68"/>
      <c r="AL46" s="222"/>
      <c r="AM46" s="392">
        <v>42044</v>
      </c>
      <c r="AN46" s="348">
        <v>570.14</v>
      </c>
      <c r="AO46" s="146">
        <v>-40.449619999999996</v>
      </c>
      <c r="AP46" s="147">
        <v>37</v>
      </c>
      <c r="AQ46" s="59">
        <v>42044</v>
      </c>
      <c r="AR46" s="180">
        <v>570.14</v>
      </c>
      <c r="AS46" s="61">
        <f t="shared" si="11"/>
        <v>1</v>
      </c>
      <c r="AT46" s="185">
        <f t="shared" si="12"/>
        <v>7</v>
      </c>
      <c r="AU46" s="68"/>
      <c r="AV46" s="68"/>
      <c r="AW46" s="68"/>
      <c r="AX46" s="68"/>
      <c r="AY46" s="68"/>
      <c r="AZ46" s="68"/>
      <c r="BE46" s="55"/>
      <c r="BF46" s="55"/>
      <c r="BG46" s="55"/>
      <c r="BH46" s="55"/>
      <c r="BI46" s="55"/>
      <c r="BJ46" s="55"/>
      <c r="BT46" s="271"/>
      <c r="BU46" s="271"/>
      <c r="BV46" s="271"/>
      <c r="BW46" s="271"/>
      <c r="BX46" s="271"/>
      <c r="BY46" s="271"/>
      <c r="CI46" s="103"/>
      <c r="CJ46" s="283" t="s">
        <v>3103</v>
      </c>
      <c r="CK46" s="281"/>
      <c r="CL46" s="271"/>
      <c r="CM46" s="288"/>
      <c r="CO46" s="287"/>
    </row>
    <row r="47" spans="1:93" s="153" customFormat="1" ht="24" thickBot="1" x14ac:dyDescent="0.3">
      <c r="A47" s="417"/>
      <c r="B47" s="421" t="s">
        <v>176</v>
      </c>
      <c r="C47" s="422"/>
      <c r="D47" s="423" t="s">
        <v>3112</v>
      </c>
      <c r="E47" s="417"/>
      <c r="F47" s="215">
        <v>12</v>
      </c>
      <c r="G47" s="154"/>
      <c r="H47" s="155"/>
      <c r="I47" s="154"/>
      <c r="J47" s="154"/>
      <c r="K47" s="154"/>
      <c r="L47" s="154"/>
      <c r="M47" s="154"/>
      <c r="N47" s="154"/>
      <c r="O47" s="154"/>
      <c r="P47" s="154"/>
      <c r="Q47" s="154"/>
      <c r="R47" s="154"/>
      <c r="S47" s="154"/>
      <c r="U47" s="363" t="s">
        <v>187</v>
      </c>
      <c r="V47" s="361">
        <v>91937.13</v>
      </c>
      <c r="W47" s="354">
        <v>58783.030040000012</v>
      </c>
      <c r="X47" s="354">
        <v>1408.72</v>
      </c>
      <c r="Y47" s="356">
        <v>27288.386660000004</v>
      </c>
      <c r="Z47" s="156"/>
      <c r="AA47" s="169" t="str">
        <f t="shared" si="18"/>
        <v>Texas</v>
      </c>
      <c r="AB47" s="170">
        <v>91937.13</v>
      </c>
      <c r="AC47" s="171">
        <f t="shared" si="16"/>
        <v>1</v>
      </c>
      <c r="AD47" s="154"/>
      <c r="AE47" s="154"/>
      <c r="AF47" s="154"/>
      <c r="AG47" s="154"/>
      <c r="AH47" s="154"/>
      <c r="AI47" s="154"/>
      <c r="AJ47" s="154"/>
      <c r="AL47" s="222"/>
      <c r="AM47" s="392">
        <v>42045</v>
      </c>
      <c r="AN47" s="410">
        <v>13160.58</v>
      </c>
      <c r="AO47" s="407">
        <v>1029.4508600000001</v>
      </c>
      <c r="AP47" s="408">
        <v>341</v>
      </c>
      <c r="AQ47" s="187">
        <v>42045</v>
      </c>
      <c r="AR47" s="188">
        <v>13160.58</v>
      </c>
      <c r="AS47" s="189">
        <f t="shared" si="11"/>
        <v>1</v>
      </c>
      <c r="AT47" s="190">
        <f t="shared" si="12"/>
        <v>7</v>
      </c>
      <c r="AU47" s="154"/>
      <c r="AV47" s="154"/>
      <c r="AW47" s="154"/>
      <c r="AX47" s="154"/>
      <c r="AY47" s="154"/>
      <c r="AZ47" s="154"/>
      <c r="BT47" s="271"/>
      <c r="BU47" s="271"/>
      <c r="BV47" s="271"/>
      <c r="BW47" s="271"/>
      <c r="BX47" s="271"/>
      <c r="BY47" s="271"/>
      <c r="CI47" s="103"/>
      <c r="CJ47" s="311" t="s">
        <v>3104</v>
      </c>
      <c r="CK47" s="312" t="s">
        <v>20</v>
      </c>
      <c r="CL47" s="313" t="s">
        <v>3016</v>
      </c>
      <c r="CM47" s="288"/>
      <c r="CN47" s="56"/>
      <c r="CO47" s="287"/>
    </row>
    <row r="48" spans="1:93" ht="18.75" x14ac:dyDescent="0.25">
      <c r="A48" s="416"/>
      <c r="B48" s="151" t="str">
        <f>B41</f>
        <v>Σ Discount</v>
      </c>
      <c r="C48" s="200" cm="1">
        <f t="array" ref="C48:C51">INDEX($C$41:$S$44,,_xlfn.XMATCH(B47,C40:S40))</f>
        <v>84.712400000000017</v>
      </c>
      <c r="D48" s="152">
        <f>C48/$C$53</f>
        <v>4.7340438016575136E-2</v>
      </c>
      <c r="E48" s="420" t="s">
        <v>3112</v>
      </c>
      <c r="F48" s="215" t="s">
        <v>3090</v>
      </c>
      <c r="G48" s="68"/>
      <c r="H48" s="60"/>
      <c r="I48" s="68"/>
      <c r="J48" s="68"/>
      <c r="K48" s="68"/>
      <c r="L48" s="68"/>
      <c r="M48" s="68"/>
      <c r="N48" s="68"/>
      <c r="O48" s="68"/>
      <c r="P48" s="68"/>
      <c r="Q48" s="68"/>
      <c r="R48" s="68"/>
      <c r="S48" s="68"/>
      <c r="T48" s="55"/>
      <c r="U48" s="222" t="s">
        <v>146</v>
      </c>
      <c r="V48" s="360">
        <v>26981.67</v>
      </c>
      <c r="W48" s="353">
        <v>20730.453920000004</v>
      </c>
      <c r="X48" s="353">
        <v>568.74</v>
      </c>
      <c r="Y48" s="355">
        <v>3931.8369799999996</v>
      </c>
      <c r="Z48" s="78"/>
      <c r="AA48" s="158" t="str">
        <f t="shared" si="18"/>
        <v>Utah</v>
      </c>
      <c r="AB48" s="168">
        <v>26981.67</v>
      </c>
      <c r="AC48" s="144">
        <f t="shared" si="16"/>
        <v>1</v>
      </c>
      <c r="AD48" s="67"/>
      <c r="AE48" s="68"/>
      <c r="AF48" s="68"/>
      <c r="AG48" s="68"/>
      <c r="AH48" s="68"/>
      <c r="AI48" s="68"/>
      <c r="AJ48" s="68"/>
      <c r="AL48" s="222"/>
      <c r="AM48" s="392">
        <v>42046</v>
      </c>
      <c r="AN48" s="348">
        <v>23856.93</v>
      </c>
      <c r="AO48" s="146">
        <v>-2239.0020999999992</v>
      </c>
      <c r="AP48" s="147">
        <v>122</v>
      </c>
      <c r="AQ48" s="59">
        <v>42046</v>
      </c>
      <c r="AR48" s="180">
        <v>23856.93</v>
      </c>
      <c r="AS48" s="61">
        <f t="shared" si="11"/>
        <v>1</v>
      </c>
      <c r="AT48" s="185">
        <f t="shared" si="12"/>
        <v>7</v>
      </c>
      <c r="AU48" s="68"/>
      <c r="AV48" s="68"/>
      <c r="AW48" s="68"/>
      <c r="AX48" s="68"/>
      <c r="AY48" s="68"/>
      <c r="AZ48" s="68"/>
      <c r="BE48" s="55"/>
      <c r="BF48" s="55"/>
      <c r="BG48" s="55"/>
      <c r="BH48" s="55"/>
      <c r="BI48" s="55"/>
      <c r="BJ48" s="55"/>
      <c r="BT48" s="271"/>
      <c r="BU48" s="271"/>
      <c r="BV48" s="271"/>
      <c r="BW48" s="271"/>
      <c r="BX48" s="271"/>
      <c r="BY48" s="271"/>
      <c r="CI48" s="103"/>
      <c r="CJ48" s="298" t="s">
        <v>2607</v>
      </c>
      <c r="CK48" s="308">
        <v>-2.87</v>
      </c>
      <c r="CL48" s="294">
        <v>1</v>
      </c>
      <c r="CM48" s="288"/>
      <c r="CO48" s="287"/>
    </row>
    <row r="49" spans="1:93" ht="18.75" x14ac:dyDescent="0.25">
      <c r="A49" s="416"/>
      <c r="B49" s="151" t="str">
        <f>IF(C49&lt;0,"Σ Loss",B42)</f>
        <v>Σ Loss</v>
      </c>
      <c r="C49" s="200">
        <v>-1544.8260631999995</v>
      </c>
      <c r="D49" s="152">
        <f>C49/$C$53</f>
        <v>-0.86330622779320787</v>
      </c>
      <c r="E49" s="420" t="s">
        <v>3112</v>
      </c>
      <c r="F49" s="215" t="s">
        <v>3090</v>
      </c>
      <c r="G49" s="68"/>
      <c r="H49" s="60"/>
      <c r="I49" s="68"/>
      <c r="J49" s="68"/>
      <c r="K49" s="68"/>
      <c r="L49" s="68"/>
      <c r="M49" s="68"/>
      <c r="N49" s="68"/>
      <c r="O49" s="68"/>
      <c r="P49" s="68"/>
      <c r="Q49" s="68"/>
      <c r="R49" s="68"/>
      <c r="S49" s="68"/>
      <c r="T49" s="55"/>
      <c r="U49" s="222" t="s">
        <v>633</v>
      </c>
      <c r="V49" s="360">
        <v>13491</v>
      </c>
      <c r="W49" s="353">
        <v>12072.956819999999</v>
      </c>
      <c r="X49" s="353">
        <v>236.06</v>
      </c>
      <c r="Y49" s="355">
        <v>530.14978000000019</v>
      </c>
      <c r="Z49" s="78"/>
      <c r="AA49" s="158" t="str">
        <f t="shared" si="18"/>
        <v>Vermont</v>
      </c>
      <c r="AB49" s="168">
        <v>13491</v>
      </c>
      <c r="AC49" s="144">
        <f t="shared" si="16"/>
        <v>1</v>
      </c>
      <c r="AD49" s="67"/>
      <c r="AE49" s="68"/>
      <c r="AF49" s="68"/>
      <c r="AG49" s="68"/>
      <c r="AH49" s="68"/>
      <c r="AI49" s="68"/>
      <c r="AJ49" s="68"/>
      <c r="AL49" s="222"/>
      <c r="AM49" s="392">
        <v>42047</v>
      </c>
      <c r="AN49" s="348">
        <v>3233.9</v>
      </c>
      <c r="AO49" s="146">
        <v>1262.82962</v>
      </c>
      <c r="AP49" s="147">
        <v>56</v>
      </c>
      <c r="AQ49" s="59">
        <v>42047</v>
      </c>
      <c r="AR49" s="180">
        <v>3233.9</v>
      </c>
      <c r="AS49" s="61">
        <f t="shared" si="11"/>
        <v>1</v>
      </c>
      <c r="AT49" s="185">
        <f t="shared" si="12"/>
        <v>7</v>
      </c>
      <c r="AU49" s="68"/>
      <c r="AV49" s="68"/>
      <c r="AW49" s="68"/>
      <c r="AX49" s="68"/>
      <c r="AY49" s="68"/>
      <c r="AZ49" s="68"/>
      <c r="BE49" s="55"/>
      <c r="BF49" s="55"/>
      <c r="BG49" s="55"/>
      <c r="BH49" s="55"/>
      <c r="BI49" s="55"/>
      <c r="BJ49" s="55"/>
      <c r="BT49" s="271"/>
      <c r="BU49" s="271"/>
      <c r="BV49" s="271"/>
      <c r="BW49" s="271"/>
      <c r="BX49" s="271"/>
      <c r="BY49" s="271"/>
      <c r="CI49" s="103"/>
      <c r="CJ49" s="283" t="s">
        <v>1385</v>
      </c>
      <c r="CK49" s="309">
        <v>-8.2799999999999994</v>
      </c>
      <c r="CL49" s="271">
        <v>2</v>
      </c>
      <c r="CM49" s="288"/>
      <c r="CO49" s="287"/>
    </row>
    <row r="50" spans="1:93" ht="19.5" thickBot="1" x14ac:dyDescent="0.3">
      <c r="A50" s="416"/>
      <c r="B50" s="151" t="str">
        <f>B43</f>
        <v>Σ Shipping</v>
      </c>
      <c r="C50" s="200">
        <v>46.54</v>
      </c>
      <c r="D50" s="152">
        <f>C50/$C$53</f>
        <v>2.6008281966883318E-2</v>
      </c>
      <c r="E50" s="420" t="s">
        <v>3112</v>
      </c>
      <c r="F50" s="215" t="s">
        <v>3090</v>
      </c>
      <c r="G50" s="68"/>
      <c r="H50" s="60"/>
      <c r="I50" s="68"/>
      <c r="J50" s="68"/>
      <c r="K50" s="68"/>
      <c r="L50" s="68"/>
      <c r="M50" s="68"/>
      <c r="N50" s="68"/>
      <c r="O50" s="68"/>
      <c r="P50" s="68"/>
      <c r="Q50" s="68"/>
      <c r="R50" s="68"/>
      <c r="S50" s="68"/>
      <c r="T50" s="55"/>
      <c r="U50" s="222" t="s">
        <v>242</v>
      </c>
      <c r="V50" s="360">
        <v>45282.87</v>
      </c>
      <c r="W50" s="353">
        <v>44165.229599999999</v>
      </c>
      <c r="X50" s="353">
        <v>810.01</v>
      </c>
      <c r="Y50" s="355">
        <v>-1748.5516999999995</v>
      </c>
      <c r="Z50" s="78"/>
      <c r="AA50" s="158" t="str">
        <f t="shared" si="18"/>
        <v>Virginia</v>
      </c>
      <c r="AB50" s="168">
        <v>45282.87</v>
      </c>
      <c r="AC50" s="144">
        <f t="shared" si="16"/>
        <v>1</v>
      </c>
      <c r="AD50" s="67"/>
      <c r="AE50" s="68"/>
      <c r="AF50" s="68"/>
      <c r="AG50" s="68"/>
      <c r="AH50" s="68"/>
      <c r="AI50" s="68"/>
      <c r="AJ50" s="68"/>
      <c r="AL50" s="222"/>
      <c r="AM50" s="392">
        <v>42048</v>
      </c>
      <c r="AN50" s="348">
        <v>14090.4</v>
      </c>
      <c r="AO50" s="146">
        <v>3811.8667</v>
      </c>
      <c r="AP50" s="147">
        <v>101</v>
      </c>
      <c r="AQ50" s="59">
        <v>42048</v>
      </c>
      <c r="AR50" s="180">
        <v>14090.4</v>
      </c>
      <c r="AS50" s="61">
        <f t="shared" si="11"/>
        <v>1</v>
      </c>
      <c r="AT50" s="185">
        <f t="shared" si="12"/>
        <v>7</v>
      </c>
      <c r="AU50" s="68"/>
      <c r="AV50" s="68"/>
      <c r="AW50" s="68"/>
      <c r="AX50" s="68"/>
      <c r="AY50" s="68"/>
      <c r="AZ50" s="68"/>
      <c r="BE50" s="55"/>
      <c r="BF50" s="55"/>
      <c r="BG50" s="55"/>
      <c r="BH50" s="55"/>
      <c r="BI50" s="55"/>
      <c r="BJ50" s="55"/>
      <c r="BT50" s="271"/>
      <c r="BU50" s="271"/>
      <c r="BV50" s="271"/>
      <c r="BW50" s="271"/>
      <c r="BX50" s="271"/>
      <c r="BY50" s="271"/>
      <c r="CI50" s="103"/>
      <c r="CJ50" s="289" t="s">
        <v>2645</v>
      </c>
      <c r="CK50" s="310">
        <v>-5.54</v>
      </c>
      <c r="CL50" s="411">
        <v>1</v>
      </c>
      <c r="CM50" s="301"/>
      <c r="CN50" s="291"/>
      <c r="CO50" s="292"/>
    </row>
    <row r="51" spans="1:93" ht="18.75" x14ac:dyDescent="0.25">
      <c r="A51" s="416"/>
      <c r="B51" s="151" t="str">
        <f>B44</f>
        <v>Σ Costs</v>
      </c>
      <c r="C51" s="200">
        <v>3203.0036631999988</v>
      </c>
      <c r="D51" s="152">
        <f>C51/$C$53</f>
        <v>1.7899575078097494</v>
      </c>
      <c r="E51" s="420" t="s">
        <v>3112</v>
      </c>
      <c r="F51" s="215" t="s">
        <v>3090</v>
      </c>
      <c r="G51" s="68"/>
      <c r="H51" s="60"/>
      <c r="I51" s="68"/>
      <c r="J51" s="68"/>
      <c r="K51" s="68"/>
      <c r="L51" s="68"/>
      <c r="M51" s="68"/>
      <c r="N51" s="68"/>
      <c r="O51" s="68"/>
      <c r="P51" s="68"/>
      <c r="Q51" s="68"/>
      <c r="R51" s="68"/>
      <c r="S51" s="68"/>
      <c r="T51" s="55"/>
      <c r="U51" s="222" t="s">
        <v>67</v>
      </c>
      <c r="V51" s="360">
        <v>78048.649999999994</v>
      </c>
      <c r="W51" s="353">
        <v>73868.766250000001</v>
      </c>
      <c r="X51" s="353">
        <v>601.91</v>
      </c>
      <c r="Y51" s="355">
        <v>116.21885000000084</v>
      </c>
      <c r="Z51" s="78"/>
      <c r="AA51" s="158" t="str">
        <f t="shared" si="18"/>
        <v>Washington</v>
      </c>
      <c r="AB51" s="168">
        <v>78048.649999999994</v>
      </c>
      <c r="AC51" s="144">
        <f t="shared" si="16"/>
        <v>1</v>
      </c>
      <c r="AD51" s="67"/>
      <c r="AE51" s="68"/>
      <c r="AF51" s="68"/>
      <c r="AG51" s="68"/>
      <c r="AH51" s="68"/>
      <c r="AI51" s="68"/>
      <c r="AJ51" s="68"/>
      <c r="AL51" s="222"/>
      <c r="AM51" s="392">
        <v>42049</v>
      </c>
      <c r="AN51" s="348">
        <v>22401.48</v>
      </c>
      <c r="AO51" s="146">
        <v>3537.2705800000003</v>
      </c>
      <c r="AP51" s="147">
        <v>353</v>
      </c>
      <c r="AQ51" s="59">
        <v>42049</v>
      </c>
      <c r="AR51" s="180">
        <v>22401.48</v>
      </c>
      <c r="AS51" s="61">
        <f t="shared" si="11"/>
        <v>1</v>
      </c>
      <c r="AT51" s="185">
        <f t="shared" si="12"/>
        <v>7</v>
      </c>
      <c r="AU51" s="68"/>
      <c r="AV51" s="68"/>
      <c r="AW51" s="68"/>
      <c r="AX51" s="68"/>
      <c r="AY51" s="68"/>
      <c r="AZ51" s="68"/>
      <c r="BE51" s="55"/>
      <c r="BF51" s="55"/>
      <c r="BG51" s="55"/>
      <c r="BH51" s="55"/>
      <c r="BI51" s="55"/>
      <c r="BJ51" s="55"/>
      <c r="BT51" s="271"/>
      <c r="BU51" s="271"/>
      <c r="BV51" s="271"/>
      <c r="BW51" s="271"/>
      <c r="BX51" s="271"/>
      <c r="BY51" s="271"/>
      <c r="CI51" s="103"/>
      <c r="CJ51" s="271"/>
      <c r="CK51" s="271"/>
      <c r="CL51" s="271"/>
    </row>
    <row r="52" spans="1:93" ht="15.75" thickBot="1" x14ac:dyDescent="0.3">
      <c r="A52" s="416"/>
      <c r="B52" s="413"/>
      <c r="C52" s="414"/>
      <c r="D52" s="415"/>
      <c r="E52" s="6"/>
      <c r="F52" s="68"/>
      <c r="G52" s="68"/>
      <c r="H52" s="60"/>
      <c r="I52" s="68"/>
      <c r="J52" s="68"/>
      <c r="K52" s="68"/>
      <c r="L52" s="68"/>
      <c r="M52" s="68"/>
      <c r="N52" s="68"/>
      <c r="O52" s="68"/>
      <c r="P52" s="68"/>
      <c r="Q52" s="68"/>
      <c r="R52" s="68"/>
      <c r="S52" s="68"/>
      <c r="T52" s="55"/>
      <c r="U52" s="222" t="s">
        <v>903</v>
      </c>
      <c r="V52" s="360">
        <v>10681.55</v>
      </c>
      <c r="W52" s="353">
        <v>5578.1517749999985</v>
      </c>
      <c r="X52" s="353">
        <v>132.79</v>
      </c>
      <c r="Y52" s="355">
        <v>4771.4638249999989</v>
      </c>
      <c r="Z52" s="78"/>
      <c r="AA52" s="158" t="str">
        <f t="shared" si="18"/>
        <v>West Virginia</v>
      </c>
      <c r="AB52" s="168">
        <v>10681.55</v>
      </c>
      <c r="AC52" s="144">
        <f t="shared" si="16"/>
        <v>1</v>
      </c>
      <c r="AD52" s="67"/>
      <c r="AE52" s="68"/>
      <c r="AF52" s="68"/>
      <c r="AG52" s="68"/>
      <c r="AH52" s="68"/>
      <c r="AI52" s="68"/>
      <c r="AJ52" s="68"/>
      <c r="AL52" s="222"/>
      <c r="AM52" s="392">
        <v>42050</v>
      </c>
      <c r="AN52" s="348">
        <v>16533.18</v>
      </c>
      <c r="AO52" s="146">
        <v>2709.6407160000008</v>
      </c>
      <c r="AP52" s="147">
        <v>189</v>
      </c>
      <c r="AQ52" s="59">
        <v>42050</v>
      </c>
      <c r="AR52" s="180">
        <v>16533.18</v>
      </c>
      <c r="AS52" s="61">
        <f t="shared" si="11"/>
        <v>1</v>
      </c>
      <c r="AT52" s="185">
        <f t="shared" si="12"/>
        <v>8</v>
      </c>
      <c r="AU52" s="68"/>
      <c r="AV52" s="68"/>
      <c r="AW52" s="68"/>
      <c r="AX52" s="68"/>
      <c r="AY52" s="68"/>
      <c r="AZ52" s="68"/>
      <c r="BE52" s="55"/>
      <c r="BF52" s="55"/>
      <c r="BG52" s="55"/>
      <c r="BH52" s="55"/>
      <c r="BI52" s="55"/>
      <c r="BJ52" s="55"/>
      <c r="BT52" s="271"/>
      <c r="BU52" s="271"/>
      <c r="BV52" s="271"/>
      <c r="BW52" s="271"/>
      <c r="BX52" s="271"/>
      <c r="BY52" s="271"/>
    </row>
    <row r="53" spans="1:93" ht="15.75" thickBot="1" x14ac:dyDescent="0.3">
      <c r="B53" s="159"/>
      <c r="C53" s="160">
        <f>SUM(_xlfn.ANCHORARRAY(C48))</f>
        <v>1789.4299999999994</v>
      </c>
      <c r="D53" s="161">
        <f>SUM(D48:D51)</f>
        <v>1</v>
      </c>
      <c r="E53" s="68"/>
      <c r="F53" s="68"/>
      <c r="G53" s="68"/>
      <c r="H53" s="60"/>
      <c r="I53" s="68"/>
      <c r="J53" s="68"/>
      <c r="K53" s="68"/>
      <c r="L53" s="68"/>
      <c r="M53" s="68"/>
      <c r="N53" s="68"/>
      <c r="O53" s="68"/>
      <c r="P53" s="68"/>
      <c r="Q53" s="68"/>
      <c r="R53" s="68"/>
      <c r="S53" s="68"/>
      <c r="T53" s="55"/>
      <c r="U53" s="222" t="s">
        <v>357</v>
      </c>
      <c r="V53" s="360">
        <v>22770.35</v>
      </c>
      <c r="W53" s="353">
        <v>17155.860839999994</v>
      </c>
      <c r="X53" s="353">
        <v>404.98</v>
      </c>
      <c r="Y53" s="355">
        <v>3986.4100599999974</v>
      </c>
      <c r="Z53" s="78"/>
      <c r="AA53" s="158" t="str">
        <f t="shared" si="18"/>
        <v>Wisconsin</v>
      </c>
      <c r="AB53" s="168">
        <v>22770.35</v>
      </c>
      <c r="AC53" s="144">
        <f t="shared" si="16"/>
        <v>1</v>
      </c>
      <c r="AD53" s="67"/>
      <c r="AE53" s="68"/>
      <c r="AF53" s="68"/>
      <c r="AG53" s="68"/>
      <c r="AH53" s="68"/>
      <c r="AI53" s="68"/>
      <c r="AJ53" s="68"/>
      <c r="AL53" s="222"/>
      <c r="AM53" s="392">
        <v>42051</v>
      </c>
      <c r="AN53" s="348">
        <v>16120.57</v>
      </c>
      <c r="AO53" s="146">
        <v>170.10927092000014</v>
      </c>
      <c r="AP53" s="147">
        <v>199</v>
      </c>
      <c r="AQ53" s="59">
        <v>42051</v>
      </c>
      <c r="AR53" s="180">
        <v>16120.57</v>
      </c>
      <c r="AS53" s="61">
        <f t="shared" si="11"/>
        <v>1</v>
      </c>
      <c r="AT53" s="185">
        <f t="shared" si="12"/>
        <v>8</v>
      </c>
      <c r="AU53" s="68"/>
      <c r="AV53" s="68"/>
      <c r="AW53" s="68"/>
      <c r="AX53" s="68"/>
      <c r="AY53" s="68"/>
      <c r="AZ53" s="68"/>
      <c r="BE53" s="55"/>
      <c r="BF53" s="55"/>
      <c r="BG53" s="55"/>
      <c r="BH53" s="55"/>
      <c r="BI53" s="55"/>
      <c r="BJ53" s="55"/>
      <c r="BT53" s="271"/>
      <c r="BU53" s="271"/>
      <c r="BV53" s="271"/>
      <c r="BW53" s="271"/>
      <c r="BX53" s="271"/>
      <c r="BY53" s="271"/>
    </row>
    <row r="54" spans="1:93" ht="15.75" thickBot="1" x14ac:dyDescent="0.3">
      <c r="B54" s="97"/>
      <c r="C54" s="97"/>
      <c r="D54" s="98"/>
      <c r="E54" s="98"/>
      <c r="F54" s="98"/>
      <c r="G54" s="98"/>
      <c r="H54" s="99"/>
      <c r="I54" s="98"/>
      <c r="J54" s="98"/>
      <c r="K54" s="98"/>
      <c r="L54" s="98"/>
      <c r="M54" s="98"/>
      <c r="N54" s="98"/>
      <c r="O54" s="98"/>
      <c r="P54" s="98"/>
      <c r="Q54" s="98"/>
      <c r="R54" s="98"/>
      <c r="S54" s="98"/>
      <c r="T54" s="55"/>
      <c r="U54" s="223" t="s">
        <v>1060</v>
      </c>
      <c r="V54" s="362">
        <v>1183.54</v>
      </c>
      <c r="W54" s="357">
        <v>372.01139999999998</v>
      </c>
      <c r="X54" s="357">
        <v>22.8</v>
      </c>
      <c r="Y54" s="358">
        <v>735.22500000000002</v>
      </c>
      <c r="Z54" s="100"/>
      <c r="AA54" s="101" t="str">
        <f>U54</f>
        <v>Wyoming</v>
      </c>
      <c r="AB54" s="102">
        <v>1183.54</v>
      </c>
      <c r="AC54" s="172">
        <f t="shared" si="16"/>
        <v>1</v>
      </c>
      <c r="AD54" s="67"/>
      <c r="AE54" s="68"/>
      <c r="AF54" s="68"/>
      <c r="AG54" s="68"/>
      <c r="AH54" s="68"/>
      <c r="AI54" s="68"/>
      <c r="AJ54" s="68"/>
      <c r="AL54" s="222"/>
      <c r="AM54" s="392">
        <v>42052</v>
      </c>
      <c r="AN54" s="348">
        <v>1076.3900000000001</v>
      </c>
      <c r="AO54" s="146">
        <v>516.97569999999996</v>
      </c>
      <c r="AP54" s="147">
        <v>25</v>
      </c>
      <c r="AQ54" s="59">
        <v>42052</v>
      </c>
      <c r="AR54" s="180">
        <v>1076.3900000000001</v>
      </c>
      <c r="AS54" s="61">
        <f t="shared" si="11"/>
        <v>1</v>
      </c>
      <c r="AT54" s="185">
        <f t="shared" si="12"/>
        <v>8</v>
      </c>
      <c r="AU54" s="68"/>
      <c r="AV54" s="68"/>
      <c r="AW54" s="68"/>
      <c r="AX54" s="68"/>
      <c r="AY54" s="68"/>
      <c r="AZ54" s="68"/>
      <c r="BE54" s="55"/>
      <c r="BF54" s="55"/>
      <c r="BG54" s="55"/>
      <c r="BH54" s="55"/>
      <c r="BI54" s="55"/>
      <c r="BJ54" s="55"/>
      <c r="BT54" s="271"/>
      <c r="BU54" s="271"/>
      <c r="BV54" s="271"/>
      <c r="BW54" s="271"/>
      <c r="BX54" s="271"/>
      <c r="BY54" s="271"/>
    </row>
    <row r="55" spans="1:93" x14ac:dyDescent="0.25">
      <c r="B55" s="97"/>
      <c r="C55" s="97"/>
      <c r="D55" s="98"/>
      <c r="E55" s="98"/>
      <c r="F55" s="98"/>
      <c r="G55" s="98"/>
      <c r="H55" s="98"/>
      <c r="I55" s="98"/>
      <c r="J55" s="98"/>
      <c r="K55" s="98"/>
      <c r="L55" s="98"/>
      <c r="M55" s="98"/>
      <c r="N55" s="98"/>
      <c r="O55" s="98"/>
      <c r="P55" s="98"/>
      <c r="Q55" s="98"/>
      <c r="R55" s="98"/>
      <c r="S55" s="98"/>
      <c r="T55" s="55"/>
      <c r="U55" s="143"/>
      <c r="V55" s="68"/>
      <c r="W55" s="68"/>
      <c r="X55" s="68"/>
      <c r="Y55" s="68"/>
      <c r="Z55" s="68"/>
      <c r="AA55" s="158" t="s">
        <v>3051</v>
      </c>
      <c r="AB55" s="168">
        <f>SUM(_xlfn.ANCHORARRAY(AB6))</f>
        <v>1881524.7700000003</v>
      </c>
      <c r="AC55" s="144">
        <f>SUM(AC6:AC54)</f>
        <v>49</v>
      </c>
      <c r="AD55" s="67"/>
      <c r="AE55" s="68"/>
      <c r="AF55" s="68"/>
      <c r="AG55" s="68"/>
      <c r="AH55" s="68"/>
      <c r="AI55" s="68"/>
      <c r="AJ55" s="68"/>
      <c r="AL55" s="222"/>
      <c r="AM55" s="392">
        <v>42053</v>
      </c>
      <c r="AN55" s="348">
        <v>28264.33</v>
      </c>
      <c r="AO55" s="146">
        <v>3792.8698599999998</v>
      </c>
      <c r="AP55" s="147">
        <v>131</v>
      </c>
      <c r="AQ55" s="59">
        <v>42053</v>
      </c>
      <c r="AR55" s="180">
        <v>28264.33</v>
      </c>
      <c r="AS55" s="61">
        <f t="shared" si="11"/>
        <v>1</v>
      </c>
      <c r="AT55" s="185">
        <f t="shared" si="12"/>
        <v>8</v>
      </c>
      <c r="AU55" s="68"/>
      <c r="AV55" s="68"/>
      <c r="AW55" s="68"/>
      <c r="AX55" s="68"/>
      <c r="AY55" s="68"/>
      <c r="AZ55" s="68"/>
      <c r="BE55" s="55"/>
      <c r="BF55" s="55"/>
      <c r="BG55" s="55"/>
      <c r="BH55" s="55"/>
      <c r="BI55" s="55"/>
      <c r="BJ55" s="55"/>
      <c r="BT55" s="271"/>
      <c r="BU55" s="271"/>
      <c r="BV55" s="271"/>
      <c r="BW55" s="271"/>
      <c r="BX55" s="271"/>
      <c r="BY55" s="271"/>
    </row>
    <row r="56" spans="1:93" ht="15.75" thickBot="1" x14ac:dyDescent="0.3">
      <c r="B56" s="97"/>
      <c r="C56" s="97"/>
      <c r="D56" s="98"/>
      <c r="E56" s="98"/>
      <c r="F56" s="98"/>
      <c r="G56" s="98"/>
      <c r="H56" s="98"/>
      <c r="I56" s="98"/>
      <c r="J56" s="98"/>
      <c r="K56" s="98"/>
      <c r="L56" s="98"/>
      <c r="M56" s="98"/>
      <c r="N56" s="98"/>
      <c r="O56" s="98"/>
      <c r="P56" s="98"/>
      <c r="Q56" s="98"/>
      <c r="R56" s="98"/>
      <c r="S56" s="98"/>
      <c r="T56" s="55"/>
      <c r="U56" s="173"/>
      <c r="V56" s="174"/>
      <c r="W56" s="174"/>
      <c r="X56" s="174"/>
      <c r="Y56" s="174"/>
      <c r="Z56" s="175"/>
      <c r="AA56" s="176" t="s">
        <v>3042</v>
      </c>
      <c r="AB56" s="177">
        <f>SUM(AB6:AB54)/AC55</f>
        <v>38398.464693877555</v>
      </c>
      <c r="AC56" s="178"/>
      <c r="AD56" s="67"/>
      <c r="AE56" s="68"/>
      <c r="AF56" s="68"/>
      <c r="AG56" s="68"/>
      <c r="AH56" s="68"/>
      <c r="AI56" s="68"/>
      <c r="AJ56" s="68"/>
      <c r="AL56" s="222"/>
      <c r="AM56" s="392">
        <v>42054</v>
      </c>
      <c r="AN56" s="348">
        <v>2676.23</v>
      </c>
      <c r="AO56" s="146">
        <v>1117.3809200000001</v>
      </c>
      <c r="AP56" s="147">
        <v>100</v>
      </c>
      <c r="AQ56" s="59">
        <v>42054</v>
      </c>
      <c r="AR56" s="180">
        <v>2676.23</v>
      </c>
      <c r="AS56" s="61">
        <f t="shared" si="11"/>
        <v>1</v>
      </c>
      <c r="AT56" s="185">
        <f t="shared" si="12"/>
        <v>8</v>
      </c>
      <c r="AU56" s="68"/>
      <c r="AV56" s="68"/>
      <c r="AW56" s="68"/>
      <c r="AX56" s="68"/>
      <c r="AY56" s="68"/>
      <c r="AZ56" s="68"/>
      <c r="BE56" s="55"/>
      <c r="BF56" s="55"/>
      <c r="BG56" s="55"/>
      <c r="BH56" s="55"/>
      <c r="BI56" s="55"/>
      <c r="BJ56" s="55"/>
      <c r="BT56" s="271"/>
      <c r="BU56" s="271"/>
      <c r="BV56" s="271"/>
      <c r="BW56" s="271"/>
      <c r="BX56" s="271"/>
      <c r="BY56" s="271"/>
    </row>
    <row r="57" spans="1:93" x14ac:dyDescent="0.25">
      <c r="B57" s="97"/>
      <c r="C57" s="97"/>
      <c r="D57" s="98"/>
      <c r="E57" s="98"/>
      <c r="F57" s="98"/>
      <c r="G57" s="98"/>
      <c r="H57" s="98"/>
      <c r="I57" s="98"/>
      <c r="J57" s="98"/>
      <c r="K57" s="98"/>
      <c r="L57" s="98"/>
      <c r="M57" s="98"/>
      <c r="N57" s="98"/>
      <c r="O57" s="98"/>
      <c r="P57" s="98"/>
      <c r="Q57" s="98"/>
      <c r="R57" s="98"/>
      <c r="S57" s="98"/>
      <c r="T57" s="55"/>
      <c r="U57" s="103"/>
      <c r="V57" s="104"/>
      <c r="W57" s="104"/>
      <c r="X57" s="104"/>
      <c r="Y57" s="104"/>
      <c r="AB57" s="105"/>
      <c r="AL57" s="222"/>
      <c r="AM57" s="392">
        <v>42055</v>
      </c>
      <c r="AN57" s="348">
        <v>5978.24</v>
      </c>
      <c r="AO57" s="146">
        <v>-1926.2887799999996</v>
      </c>
      <c r="AP57" s="147">
        <v>209</v>
      </c>
      <c r="AQ57" s="59">
        <v>42055</v>
      </c>
      <c r="AR57" s="180">
        <v>5978.24</v>
      </c>
      <c r="AS57" s="61">
        <f t="shared" si="11"/>
        <v>1</v>
      </c>
      <c r="AT57" s="185">
        <f t="shared" si="12"/>
        <v>8</v>
      </c>
      <c r="AU57" s="68"/>
      <c r="AV57" s="68"/>
      <c r="AW57" s="68"/>
      <c r="AX57" s="68"/>
      <c r="AY57" s="68"/>
      <c r="AZ57" s="68"/>
      <c r="BE57" s="55"/>
      <c r="BF57" s="55"/>
      <c r="BG57" s="55"/>
      <c r="BH57" s="55"/>
      <c r="BI57" s="55"/>
      <c r="BJ57" s="55"/>
      <c r="BT57" s="271"/>
      <c r="BU57" s="271"/>
      <c r="BV57" s="271"/>
      <c r="BW57" s="271"/>
      <c r="BX57" s="271"/>
      <c r="BY57" s="271"/>
    </row>
    <row r="58" spans="1:93" x14ac:dyDescent="0.25">
      <c r="B58" s="97"/>
      <c r="C58" s="97"/>
      <c r="D58" s="98"/>
      <c r="E58" s="98"/>
      <c r="F58" s="98"/>
      <c r="G58" s="98"/>
      <c r="H58" s="106"/>
      <c r="I58" s="106"/>
      <c r="J58" s="98"/>
      <c r="K58" s="98"/>
      <c r="L58" s="98"/>
      <c r="M58" s="98"/>
      <c r="N58" s="98"/>
      <c r="O58" s="98"/>
      <c r="P58" s="98"/>
      <c r="Q58" s="98"/>
      <c r="R58" s="107"/>
      <c r="S58" s="107"/>
      <c r="AL58" s="222"/>
      <c r="AM58" s="392">
        <v>42056</v>
      </c>
      <c r="AN58" s="348">
        <v>56764.54</v>
      </c>
      <c r="AO58" s="146">
        <v>11176.579539999999</v>
      </c>
      <c r="AP58" s="147">
        <v>101</v>
      </c>
      <c r="AQ58" s="59">
        <v>42056</v>
      </c>
      <c r="AR58" s="180">
        <v>56764.54</v>
      </c>
      <c r="AS58" s="61">
        <f t="shared" si="11"/>
        <v>1</v>
      </c>
      <c r="AT58" s="185">
        <f t="shared" si="12"/>
        <v>8</v>
      </c>
      <c r="AU58" s="68"/>
      <c r="AV58" s="68"/>
      <c r="AW58" s="68"/>
      <c r="AX58" s="68"/>
      <c r="AY58" s="68"/>
      <c r="AZ58" s="68"/>
      <c r="BE58" s="55"/>
      <c r="BF58" s="55"/>
      <c r="BG58" s="55"/>
      <c r="BH58" s="55"/>
      <c r="BI58" s="55"/>
      <c r="BJ58" s="55"/>
      <c r="BT58" s="271"/>
      <c r="BU58" s="271"/>
      <c r="BV58" s="271"/>
      <c r="BW58" s="271"/>
      <c r="BX58" s="271"/>
      <c r="BY58" s="271"/>
      <c r="CI58" s="103"/>
      <c r="CJ58" s="271"/>
      <c r="CK58" s="271"/>
      <c r="CL58" s="271"/>
    </row>
    <row r="59" spans="1:93" x14ac:dyDescent="0.25">
      <c r="B59" s="97"/>
      <c r="C59" s="97"/>
      <c r="D59" s="98"/>
      <c r="E59" s="98"/>
      <c r="F59" s="98"/>
      <c r="G59" s="98"/>
      <c r="H59" s="106"/>
      <c r="I59" s="106"/>
      <c r="J59" s="98"/>
      <c r="K59" s="98"/>
      <c r="L59" s="98"/>
      <c r="M59" s="98"/>
      <c r="N59" s="98"/>
      <c r="O59" s="98"/>
      <c r="P59" s="98"/>
      <c r="Q59" s="98"/>
      <c r="R59" s="107"/>
      <c r="S59" s="107"/>
      <c r="AL59" s="222"/>
      <c r="AM59" s="392">
        <v>42057</v>
      </c>
      <c r="AN59" s="348">
        <v>11464.77</v>
      </c>
      <c r="AO59" s="146">
        <v>3269.5944</v>
      </c>
      <c r="AP59" s="147">
        <v>103</v>
      </c>
      <c r="AQ59" s="59">
        <v>42057</v>
      </c>
      <c r="AR59" s="180">
        <v>11464.77</v>
      </c>
      <c r="AS59" s="61">
        <f t="shared" si="11"/>
        <v>1</v>
      </c>
      <c r="AT59" s="185">
        <f t="shared" si="12"/>
        <v>9</v>
      </c>
      <c r="AU59" s="68"/>
      <c r="AV59" s="68"/>
      <c r="AW59" s="68"/>
      <c r="AX59" s="68"/>
      <c r="AY59" s="68"/>
      <c r="AZ59" s="68"/>
      <c r="BE59" s="55"/>
      <c r="BF59" s="55"/>
      <c r="BG59" s="55"/>
      <c r="BH59" s="55"/>
      <c r="BI59" s="55"/>
      <c r="BJ59" s="55"/>
      <c r="BT59" s="271"/>
      <c r="BU59" s="271"/>
      <c r="BV59" s="271"/>
      <c r="BW59" s="271"/>
      <c r="BX59" s="271"/>
      <c r="BY59" s="271"/>
    </row>
    <row r="60" spans="1:93" x14ac:dyDescent="0.25">
      <c r="B60" s="97"/>
      <c r="C60" s="97"/>
      <c r="D60" s="98"/>
      <c r="E60" s="98"/>
      <c r="F60" s="98"/>
      <c r="G60" s="98"/>
      <c r="H60" s="106"/>
      <c r="I60" s="106"/>
      <c r="J60" s="98"/>
      <c r="K60" s="98"/>
      <c r="L60" s="98"/>
      <c r="M60" s="98"/>
      <c r="N60" s="98"/>
      <c r="O60" s="98"/>
      <c r="P60" s="98"/>
      <c r="Q60" s="98"/>
      <c r="R60" s="107"/>
      <c r="S60" s="107"/>
      <c r="AL60" s="222"/>
      <c r="AM60" s="392">
        <v>42058</v>
      </c>
      <c r="AN60" s="348">
        <v>6812.64</v>
      </c>
      <c r="AO60" s="146">
        <v>-1711.4147204000001</v>
      </c>
      <c r="AP60" s="147">
        <v>93</v>
      </c>
      <c r="AQ60" s="59">
        <v>42058</v>
      </c>
      <c r="AR60" s="180">
        <v>6812.64</v>
      </c>
      <c r="AS60" s="61">
        <f t="shared" si="11"/>
        <v>1</v>
      </c>
      <c r="AT60" s="185">
        <f t="shared" si="12"/>
        <v>9</v>
      </c>
      <c r="AU60" s="68"/>
      <c r="AV60" s="68"/>
      <c r="AW60" s="68"/>
      <c r="AX60" s="68"/>
      <c r="AY60" s="68"/>
      <c r="AZ60" s="68"/>
      <c r="BE60" s="55"/>
      <c r="BF60" s="55"/>
      <c r="BG60" s="55"/>
      <c r="BH60" s="55"/>
      <c r="BI60" s="55"/>
      <c r="BJ60" s="55"/>
      <c r="BT60" s="271"/>
      <c r="BU60" s="271"/>
      <c r="BV60" s="271"/>
      <c r="BW60" s="271"/>
      <c r="BX60" s="271"/>
      <c r="BY60" s="271"/>
    </row>
    <row r="61" spans="1:93" x14ac:dyDescent="0.25">
      <c r="B61" s="97"/>
      <c r="C61" s="97"/>
      <c r="D61" s="98"/>
      <c r="E61" s="98"/>
      <c r="F61" s="98"/>
      <c r="G61" s="98"/>
      <c r="H61" s="106"/>
      <c r="I61" s="106"/>
      <c r="J61" s="98"/>
      <c r="K61" s="98"/>
      <c r="L61" s="98"/>
      <c r="M61" s="98"/>
      <c r="N61" s="98"/>
      <c r="O61" s="98"/>
      <c r="P61" s="98"/>
      <c r="Q61" s="98"/>
      <c r="R61" s="107"/>
      <c r="S61" s="107"/>
      <c r="AL61" s="222"/>
      <c r="AM61" s="392">
        <v>42059</v>
      </c>
      <c r="AN61" s="348">
        <v>5160.96</v>
      </c>
      <c r="AO61" s="146">
        <v>2713.4770999999996</v>
      </c>
      <c r="AP61" s="147">
        <v>50</v>
      </c>
      <c r="AQ61" s="59">
        <v>42059</v>
      </c>
      <c r="AR61" s="180">
        <v>5160.96</v>
      </c>
      <c r="AS61" s="61">
        <f t="shared" si="11"/>
        <v>1</v>
      </c>
      <c r="AT61" s="185">
        <f t="shared" si="12"/>
        <v>9</v>
      </c>
      <c r="AU61" s="68"/>
      <c r="AV61" s="68"/>
      <c r="AW61" s="68"/>
      <c r="AX61" s="68"/>
      <c r="AY61" s="68"/>
      <c r="AZ61" s="68"/>
      <c r="BE61" s="55"/>
      <c r="BF61" s="55"/>
      <c r="BG61" s="55"/>
      <c r="BH61" s="55"/>
      <c r="BI61" s="55"/>
      <c r="BJ61" s="55"/>
      <c r="BT61" s="271"/>
      <c r="BU61" s="271"/>
      <c r="BV61" s="271"/>
      <c r="BW61" s="271"/>
      <c r="BX61" s="271"/>
      <c r="BY61" s="271"/>
    </row>
    <row r="62" spans="1:93" x14ac:dyDescent="0.25">
      <c r="B62" s="97"/>
      <c r="C62" s="97"/>
      <c r="D62" s="98"/>
      <c r="E62" s="98"/>
      <c r="F62" s="98"/>
      <c r="G62" s="98"/>
      <c r="H62" s="106"/>
      <c r="I62" s="106"/>
      <c r="J62" s="98"/>
      <c r="K62" s="98"/>
      <c r="L62" s="98"/>
      <c r="M62" s="98"/>
      <c r="N62" s="98"/>
      <c r="O62" s="98"/>
      <c r="P62" s="98"/>
      <c r="Q62" s="98"/>
      <c r="R62" s="107"/>
      <c r="S62" s="107"/>
      <c r="AL62" s="222"/>
      <c r="AM62" s="392">
        <v>42060</v>
      </c>
      <c r="AN62" s="348">
        <v>10752.13</v>
      </c>
      <c r="AO62" s="146">
        <v>1202.8011000000006</v>
      </c>
      <c r="AP62" s="147">
        <v>246</v>
      </c>
      <c r="AQ62" s="59">
        <v>42060</v>
      </c>
      <c r="AR62" s="180">
        <v>10752.13</v>
      </c>
      <c r="AS62" s="61">
        <f t="shared" si="11"/>
        <v>1</v>
      </c>
      <c r="AT62" s="185">
        <f t="shared" si="12"/>
        <v>9</v>
      </c>
      <c r="AU62" s="68"/>
      <c r="AV62" s="68"/>
      <c r="AW62" s="68"/>
      <c r="AX62" s="68"/>
      <c r="AY62" s="68"/>
      <c r="AZ62" s="68"/>
      <c r="BE62" s="55"/>
      <c r="BF62" s="55"/>
      <c r="BG62" s="55"/>
      <c r="BH62" s="55"/>
      <c r="BI62" s="55"/>
      <c r="BJ62" s="55"/>
      <c r="BT62" s="271"/>
      <c r="BU62" s="271"/>
      <c r="BV62" s="271"/>
      <c r="BW62" s="271"/>
      <c r="BX62" s="271"/>
      <c r="BY62" s="271"/>
    </row>
    <row r="63" spans="1:93" x14ac:dyDescent="0.25">
      <c r="B63" s="97"/>
      <c r="C63" s="97"/>
      <c r="D63" s="98"/>
      <c r="E63" s="98"/>
      <c r="F63" s="98"/>
      <c r="G63" s="98"/>
      <c r="H63" s="106"/>
      <c r="I63" s="106"/>
      <c r="J63" s="98"/>
      <c r="K63" s="98"/>
      <c r="L63" s="98"/>
      <c r="M63" s="98"/>
      <c r="N63" s="98"/>
      <c r="O63" s="98"/>
      <c r="P63" s="98"/>
      <c r="Q63" s="98"/>
      <c r="R63" s="107"/>
      <c r="S63" s="107"/>
      <c r="AL63" s="222"/>
      <c r="AM63" s="392">
        <v>42061</v>
      </c>
      <c r="AN63" s="348">
        <v>5425.5</v>
      </c>
      <c r="AO63" s="146">
        <v>2364.9735999999998</v>
      </c>
      <c r="AP63" s="147">
        <v>79</v>
      </c>
      <c r="AQ63" s="59">
        <v>42061</v>
      </c>
      <c r="AR63" s="180">
        <v>5425.5</v>
      </c>
      <c r="AS63" s="61">
        <f t="shared" si="11"/>
        <v>1</v>
      </c>
      <c r="AT63" s="185">
        <f t="shared" si="12"/>
        <v>9</v>
      </c>
      <c r="AU63" s="68"/>
      <c r="AV63" s="68"/>
      <c r="AW63" s="68"/>
      <c r="AX63" s="68"/>
      <c r="AY63" s="68"/>
      <c r="AZ63" s="68"/>
      <c r="BE63" s="55"/>
      <c r="BF63" s="55"/>
      <c r="BG63" s="55"/>
      <c r="BH63" s="55"/>
      <c r="BI63" s="55"/>
      <c r="BJ63" s="55"/>
      <c r="BT63" s="271"/>
      <c r="BU63" s="271"/>
      <c r="BV63" s="271"/>
      <c r="BW63" s="271"/>
      <c r="BX63" s="271"/>
      <c r="BY63" s="271"/>
    </row>
    <row r="64" spans="1:93" x14ac:dyDescent="0.25">
      <c r="B64" s="97"/>
      <c r="C64" s="97"/>
      <c r="D64" s="98"/>
      <c r="E64" s="98"/>
      <c r="F64" s="98"/>
      <c r="G64" s="98"/>
      <c r="H64" s="106"/>
      <c r="I64" s="106"/>
      <c r="J64" s="98"/>
      <c r="K64" s="98"/>
      <c r="L64" s="98"/>
      <c r="M64" s="98"/>
      <c r="N64" s="98"/>
      <c r="O64" s="98"/>
      <c r="P64" s="98"/>
      <c r="Q64" s="98"/>
      <c r="R64" s="107"/>
      <c r="S64" s="107"/>
      <c r="AL64" s="222"/>
      <c r="AM64" s="392">
        <v>42062</v>
      </c>
      <c r="AN64" s="348">
        <v>3537.5</v>
      </c>
      <c r="AO64" s="146">
        <v>328.58538000000016</v>
      </c>
      <c r="AP64" s="147">
        <v>195</v>
      </c>
      <c r="AQ64" s="59">
        <v>42062</v>
      </c>
      <c r="AR64" s="180">
        <v>3537.5</v>
      </c>
      <c r="AS64" s="61">
        <f t="shared" si="11"/>
        <v>1</v>
      </c>
      <c r="AT64" s="185">
        <f t="shared" si="12"/>
        <v>9</v>
      </c>
      <c r="AU64" s="68"/>
      <c r="AV64" s="68"/>
      <c r="AW64" s="68"/>
      <c r="AX64" s="68"/>
      <c r="AY64" s="68"/>
      <c r="AZ64" s="68"/>
      <c r="BE64" s="55"/>
      <c r="BF64" s="55"/>
      <c r="BG64" s="55"/>
      <c r="BH64" s="55"/>
      <c r="BI64" s="55"/>
      <c r="BJ64" s="55"/>
      <c r="BT64" s="271"/>
      <c r="BU64" s="271"/>
      <c r="BV64" s="271"/>
      <c r="BW64" s="271"/>
      <c r="BX64" s="271"/>
      <c r="BY64" s="271"/>
    </row>
    <row r="65" spans="2:77" ht="15.75" thickBot="1" x14ac:dyDescent="0.3">
      <c r="B65" s="97"/>
      <c r="C65" s="97"/>
      <c r="D65" s="98"/>
      <c r="E65" s="98"/>
      <c r="F65" s="98"/>
      <c r="G65" s="98"/>
      <c r="H65" s="106"/>
      <c r="I65" s="106"/>
      <c r="J65" s="98"/>
      <c r="K65" s="98"/>
      <c r="L65" s="98"/>
      <c r="M65" s="98"/>
      <c r="N65" s="98"/>
      <c r="O65" s="98"/>
      <c r="P65" s="98"/>
      <c r="Q65" s="98"/>
      <c r="R65" s="107"/>
      <c r="S65" s="107"/>
      <c r="AL65" s="222"/>
      <c r="AM65" s="393">
        <v>42063</v>
      </c>
      <c r="AN65" s="348">
        <v>3842.61</v>
      </c>
      <c r="AO65" s="146">
        <v>246.47766000000004</v>
      </c>
      <c r="AP65" s="147">
        <v>152</v>
      </c>
      <c r="AQ65" s="59">
        <v>42063</v>
      </c>
      <c r="AR65" s="180">
        <v>3842.61</v>
      </c>
      <c r="AS65" s="61">
        <f t="shared" si="11"/>
        <v>1</v>
      </c>
      <c r="AT65" s="185">
        <f t="shared" si="12"/>
        <v>9</v>
      </c>
      <c r="AU65" s="68"/>
      <c r="AV65" s="68"/>
      <c r="AW65" s="68"/>
      <c r="AX65" s="68"/>
      <c r="AY65" s="68"/>
      <c r="AZ65" s="68"/>
      <c r="BE65" s="55"/>
      <c r="BF65" s="55"/>
      <c r="BG65" s="55"/>
      <c r="BH65" s="55"/>
      <c r="BI65" s="55"/>
      <c r="BJ65" s="55"/>
      <c r="BT65" s="271"/>
      <c r="BU65" s="271"/>
      <c r="BV65" s="271"/>
      <c r="BW65" s="271"/>
      <c r="BX65" s="271"/>
      <c r="BY65" s="271"/>
    </row>
    <row r="66" spans="2:77" x14ac:dyDescent="0.25">
      <c r="B66" s="62"/>
      <c r="C66" s="62"/>
      <c r="AL66" s="225" t="s">
        <v>3045</v>
      </c>
      <c r="AM66" s="391">
        <v>42064</v>
      </c>
      <c r="AN66" s="409">
        <v>14138.97</v>
      </c>
      <c r="AO66" s="365">
        <v>3159.7701999999995</v>
      </c>
      <c r="AP66" s="367">
        <v>131</v>
      </c>
      <c r="AQ66" s="59">
        <v>42064</v>
      </c>
      <c r="AR66" s="180">
        <v>14138.97</v>
      </c>
      <c r="AS66" s="61">
        <f t="shared" si="11"/>
        <v>1</v>
      </c>
      <c r="AT66" s="185">
        <f t="shared" si="12"/>
        <v>10</v>
      </c>
      <c r="AU66" s="68"/>
      <c r="AV66" s="68"/>
      <c r="AW66" s="68"/>
      <c r="AX66" s="68"/>
      <c r="AY66" s="68"/>
      <c r="AZ66" s="68"/>
      <c r="BE66" s="55"/>
      <c r="BF66" s="55"/>
      <c r="BG66" s="55"/>
      <c r="BH66" s="55"/>
      <c r="BI66" s="55"/>
      <c r="BJ66" s="55"/>
    </row>
    <row r="67" spans="2:77" x14ac:dyDescent="0.25">
      <c r="B67" s="62"/>
      <c r="C67" s="62"/>
      <c r="AL67" s="222"/>
      <c r="AM67" s="392">
        <v>42065</v>
      </c>
      <c r="AN67" s="348">
        <v>6407.95</v>
      </c>
      <c r="AO67" s="146">
        <v>1761.5608000000002</v>
      </c>
      <c r="AP67" s="147">
        <v>79</v>
      </c>
      <c r="AQ67" s="59">
        <v>42065</v>
      </c>
      <c r="AR67" s="180">
        <v>6407.95</v>
      </c>
      <c r="AS67" s="61">
        <f t="shared" si="11"/>
        <v>1</v>
      </c>
      <c r="AT67" s="185">
        <f t="shared" si="12"/>
        <v>10</v>
      </c>
      <c r="AU67" s="68"/>
      <c r="AV67" s="68"/>
      <c r="AW67" s="68"/>
      <c r="AX67" s="68"/>
      <c r="AY67" s="68"/>
      <c r="AZ67" s="68"/>
      <c r="BE67" s="55"/>
      <c r="BF67" s="55"/>
      <c r="BG67" s="55"/>
      <c r="BH67" s="55"/>
      <c r="BI67" s="55"/>
      <c r="BJ67" s="55"/>
    </row>
    <row r="68" spans="2:77" x14ac:dyDescent="0.25">
      <c r="AL68" s="222"/>
      <c r="AM68" s="392">
        <v>42066</v>
      </c>
      <c r="AN68" s="348">
        <v>262.77999999999997</v>
      </c>
      <c r="AO68" s="146">
        <v>-38.389999999999986</v>
      </c>
      <c r="AP68" s="147">
        <v>31</v>
      </c>
      <c r="AQ68" s="59">
        <v>42066</v>
      </c>
      <c r="AR68" s="180">
        <v>262.77999999999997</v>
      </c>
      <c r="AS68" s="61">
        <f t="shared" si="11"/>
        <v>1</v>
      </c>
      <c r="AT68" s="185">
        <f t="shared" si="12"/>
        <v>10</v>
      </c>
      <c r="AU68" s="68"/>
      <c r="AV68" s="68"/>
      <c r="AW68" s="68"/>
      <c r="AX68" s="68"/>
      <c r="AY68" s="68"/>
      <c r="AZ68" s="68"/>
      <c r="BE68" s="55"/>
      <c r="BF68" s="55"/>
      <c r="BG68" s="55"/>
      <c r="BH68" s="55"/>
      <c r="BI68" s="55"/>
      <c r="BJ68" s="55"/>
    </row>
    <row r="69" spans="2:77" x14ac:dyDescent="0.25">
      <c r="AL69" s="222"/>
      <c r="AM69" s="392">
        <v>42067</v>
      </c>
      <c r="AN69" s="348">
        <v>14738.71</v>
      </c>
      <c r="AO69" s="146">
        <v>8819.4933000000001</v>
      </c>
      <c r="AP69" s="147">
        <v>93</v>
      </c>
      <c r="AQ69" s="59">
        <v>42067</v>
      </c>
      <c r="AR69" s="180">
        <v>14738.71</v>
      </c>
      <c r="AS69" s="61">
        <f t="shared" si="11"/>
        <v>1</v>
      </c>
      <c r="AT69" s="185">
        <f t="shared" si="12"/>
        <v>10</v>
      </c>
      <c r="AU69" s="68"/>
      <c r="AV69" s="68"/>
      <c r="AW69" s="68"/>
      <c r="AX69" s="68"/>
      <c r="AY69" s="68"/>
      <c r="AZ69" s="68"/>
      <c r="BE69" s="55"/>
      <c r="BF69" s="55"/>
      <c r="BG69" s="55"/>
      <c r="BH69" s="55"/>
      <c r="BI69" s="55"/>
      <c r="BJ69" s="55"/>
    </row>
    <row r="70" spans="2:77" x14ac:dyDescent="0.25">
      <c r="AL70" s="222"/>
      <c r="AM70" s="392">
        <v>42068</v>
      </c>
      <c r="AN70" s="348">
        <v>6541.13</v>
      </c>
      <c r="AO70" s="146">
        <v>738.11099999999976</v>
      </c>
      <c r="AP70" s="147">
        <v>129</v>
      </c>
      <c r="AQ70" s="59">
        <v>42068</v>
      </c>
      <c r="AR70" s="180">
        <v>6541.13</v>
      </c>
      <c r="AS70" s="61">
        <f t="shared" si="11"/>
        <v>1</v>
      </c>
      <c r="AT70" s="185">
        <f t="shared" si="12"/>
        <v>10</v>
      </c>
      <c r="AU70" s="68"/>
      <c r="AV70" s="68"/>
      <c r="AW70" s="68"/>
      <c r="AX70" s="68"/>
      <c r="AY70" s="68"/>
      <c r="AZ70" s="68"/>
      <c r="BE70" s="55"/>
      <c r="BF70" s="55"/>
      <c r="BG70" s="55"/>
      <c r="BH70" s="55"/>
      <c r="BI70" s="55"/>
      <c r="BJ70" s="55"/>
    </row>
    <row r="71" spans="2:77" x14ac:dyDescent="0.25">
      <c r="AL71" s="222"/>
      <c r="AM71" s="392">
        <v>42069</v>
      </c>
      <c r="AN71" s="348">
        <v>2218.25</v>
      </c>
      <c r="AO71" s="146">
        <v>-761.69</v>
      </c>
      <c r="AP71" s="147">
        <v>74</v>
      </c>
      <c r="AQ71" s="59">
        <v>42069</v>
      </c>
      <c r="AR71" s="180">
        <v>2218.25</v>
      </c>
      <c r="AS71" s="61">
        <f t="shared" si="11"/>
        <v>1</v>
      </c>
      <c r="AT71" s="185">
        <f t="shared" si="12"/>
        <v>10</v>
      </c>
      <c r="AU71" s="68"/>
      <c r="AV71" s="68"/>
      <c r="AW71" s="68"/>
      <c r="AX71" s="68"/>
      <c r="AY71" s="68"/>
      <c r="AZ71" s="68"/>
      <c r="BE71" s="55"/>
      <c r="BF71" s="55"/>
      <c r="BG71" s="55"/>
      <c r="BH71" s="55"/>
      <c r="BI71" s="55"/>
      <c r="BJ71" s="55"/>
    </row>
    <row r="72" spans="2:77" x14ac:dyDescent="0.25">
      <c r="AL72" s="222"/>
      <c r="AM72" s="392">
        <v>42070</v>
      </c>
      <c r="AN72" s="348">
        <v>2711.04</v>
      </c>
      <c r="AO72" s="146">
        <v>819.88600000000008</v>
      </c>
      <c r="AP72" s="147">
        <v>46</v>
      </c>
      <c r="AQ72" s="59">
        <v>42070</v>
      </c>
      <c r="AR72" s="180">
        <v>2711.04</v>
      </c>
      <c r="AS72" s="61">
        <f>IF(AR72=0,0,1)</f>
        <v>1</v>
      </c>
      <c r="AT72" s="185">
        <f t="shared" ref="AT72:AT135" si="19">WEEKNUM(AQ72)</f>
        <v>10</v>
      </c>
      <c r="AU72" s="68"/>
      <c r="AV72" s="68"/>
      <c r="AW72" s="68"/>
      <c r="AX72" s="68"/>
      <c r="AY72" s="68"/>
      <c r="AZ72" s="68"/>
      <c r="BE72" s="55"/>
      <c r="BF72" s="55"/>
      <c r="BG72" s="55"/>
      <c r="BH72" s="55"/>
      <c r="BI72" s="55"/>
      <c r="BJ72" s="55"/>
    </row>
    <row r="73" spans="2:77" x14ac:dyDescent="0.25">
      <c r="AL73" s="222"/>
      <c r="AM73" s="392">
        <v>42071</v>
      </c>
      <c r="AN73" s="348">
        <v>5373.52</v>
      </c>
      <c r="AO73" s="146">
        <v>2831.3710000000001</v>
      </c>
      <c r="AP73" s="147">
        <v>70</v>
      </c>
      <c r="AQ73" s="59">
        <v>42071</v>
      </c>
      <c r="AR73" s="180">
        <v>5373.52</v>
      </c>
      <c r="AS73" s="61">
        <f t="shared" si="11"/>
        <v>1</v>
      </c>
      <c r="AT73" s="185">
        <f t="shared" si="19"/>
        <v>11</v>
      </c>
      <c r="AU73" s="68"/>
      <c r="AV73" s="68"/>
      <c r="AW73" s="68"/>
      <c r="AX73" s="68"/>
      <c r="AY73" s="68"/>
      <c r="AZ73" s="68"/>
      <c r="BE73" s="55"/>
      <c r="BF73" s="55"/>
      <c r="BG73" s="55"/>
      <c r="BH73" s="55"/>
      <c r="BI73" s="55"/>
      <c r="BJ73" s="55"/>
    </row>
    <row r="74" spans="2:77" x14ac:dyDescent="0.25">
      <c r="AL74" s="222"/>
      <c r="AM74" s="392">
        <v>42072</v>
      </c>
      <c r="AN74" s="348">
        <v>3255.53</v>
      </c>
      <c r="AO74" s="146">
        <v>-1479.0494000000001</v>
      </c>
      <c r="AP74" s="147">
        <v>28</v>
      </c>
      <c r="AQ74" s="59">
        <v>42072</v>
      </c>
      <c r="AR74" s="180">
        <v>3255.53</v>
      </c>
      <c r="AS74" s="61">
        <f t="shared" ref="AS74:AS137" si="20">IF(AR74=0,0,1)</f>
        <v>1</v>
      </c>
      <c r="AT74" s="185">
        <f t="shared" si="19"/>
        <v>11</v>
      </c>
      <c r="AU74" s="68"/>
      <c r="AV74" s="68"/>
      <c r="AW74" s="68"/>
      <c r="AX74" s="68"/>
      <c r="AY74" s="68"/>
      <c r="AZ74" s="68"/>
      <c r="BE74" s="55"/>
      <c r="BF74" s="55"/>
      <c r="BG74" s="55"/>
      <c r="BH74" s="55"/>
      <c r="BI74" s="55"/>
      <c r="BJ74" s="55"/>
    </row>
    <row r="75" spans="2:77" x14ac:dyDescent="0.25">
      <c r="AL75" s="222"/>
      <c r="AM75" s="392">
        <v>42073</v>
      </c>
      <c r="AN75" s="348">
        <v>7421.79</v>
      </c>
      <c r="AO75" s="146">
        <v>-14020.799600000002</v>
      </c>
      <c r="AP75" s="147">
        <v>41</v>
      </c>
      <c r="AQ75" s="59">
        <v>42073</v>
      </c>
      <c r="AR75" s="180">
        <v>7421.79</v>
      </c>
      <c r="AS75" s="61">
        <f t="shared" si="20"/>
        <v>1</v>
      </c>
      <c r="AT75" s="185">
        <f t="shared" si="19"/>
        <v>11</v>
      </c>
      <c r="AU75" s="68"/>
      <c r="AV75" s="68"/>
      <c r="AW75" s="68"/>
      <c r="AX75" s="68"/>
      <c r="AY75" s="68"/>
      <c r="AZ75" s="68"/>
      <c r="BE75" s="55"/>
      <c r="BF75" s="55"/>
      <c r="BG75" s="55"/>
      <c r="BH75" s="55"/>
      <c r="BI75" s="55"/>
      <c r="BJ75" s="55"/>
    </row>
    <row r="76" spans="2:77" x14ac:dyDescent="0.25">
      <c r="AL76" s="222"/>
      <c r="AM76" s="392">
        <v>42074</v>
      </c>
      <c r="AN76" s="348">
        <v>2619.37</v>
      </c>
      <c r="AO76" s="146">
        <v>-608.8664</v>
      </c>
      <c r="AP76" s="147">
        <v>160</v>
      </c>
      <c r="AQ76" s="59">
        <v>42074</v>
      </c>
      <c r="AR76" s="180">
        <v>2619.37</v>
      </c>
      <c r="AS76" s="61">
        <f t="shared" si="20"/>
        <v>1</v>
      </c>
      <c r="AT76" s="185">
        <f t="shared" si="19"/>
        <v>11</v>
      </c>
      <c r="AU76" s="68"/>
      <c r="AV76" s="68"/>
      <c r="AW76" s="68"/>
      <c r="AX76" s="68"/>
      <c r="AY76" s="68"/>
      <c r="AZ76" s="68"/>
      <c r="BE76" s="55"/>
      <c r="BF76" s="55"/>
      <c r="BG76" s="55"/>
      <c r="BH76" s="55"/>
      <c r="BI76" s="55"/>
      <c r="BJ76" s="55"/>
    </row>
    <row r="77" spans="2:77" x14ac:dyDescent="0.25">
      <c r="AL77" s="222"/>
      <c r="AM77" s="392">
        <v>42075</v>
      </c>
      <c r="AN77" s="348">
        <v>6679.66</v>
      </c>
      <c r="AO77" s="146">
        <v>3976.8537999999999</v>
      </c>
      <c r="AP77" s="147">
        <v>99</v>
      </c>
      <c r="AQ77" s="59">
        <v>42075</v>
      </c>
      <c r="AR77" s="180">
        <v>6679.66</v>
      </c>
      <c r="AS77" s="61">
        <f t="shared" si="20"/>
        <v>1</v>
      </c>
      <c r="AT77" s="185">
        <f t="shared" si="19"/>
        <v>11</v>
      </c>
      <c r="AU77" s="68"/>
      <c r="AV77" s="68"/>
      <c r="AW77" s="68"/>
      <c r="AX77" s="68"/>
      <c r="AY77" s="68"/>
      <c r="AZ77" s="68"/>
      <c r="BE77" s="55"/>
      <c r="BF77" s="55"/>
      <c r="BG77" s="55"/>
      <c r="BH77" s="55"/>
      <c r="BI77" s="55"/>
      <c r="BJ77" s="55"/>
    </row>
    <row r="78" spans="2:77" x14ac:dyDescent="0.25">
      <c r="AL78" s="222"/>
      <c r="AM78" s="392">
        <v>42076</v>
      </c>
      <c r="AN78" s="348">
        <v>6648.49</v>
      </c>
      <c r="AO78" s="146">
        <v>2137.4774999999995</v>
      </c>
      <c r="AP78" s="147">
        <v>93</v>
      </c>
      <c r="AQ78" s="59">
        <v>42076</v>
      </c>
      <c r="AR78" s="180">
        <v>6648.49</v>
      </c>
      <c r="AS78" s="61">
        <f t="shared" si="20"/>
        <v>1</v>
      </c>
      <c r="AT78" s="185">
        <f t="shared" si="19"/>
        <v>11</v>
      </c>
      <c r="AU78" s="68"/>
      <c r="AV78" s="68"/>
      <c r="AW78" s="68"/>
      <c r="AX78" s="68"/>
      <c r="AY78" s="68"/>
      <c r="AZ78" s="68"/>
      <c r="BE78" s="55"/>
      <c r="BF78" s="55"/>
      <c r="BG78" s="55"/>
      <c r="BH78" s="55"/>
      <c r="BI78" s="55"/>
      <c r="BJ78" s="55"/>
    </row>
    <row r="79" spans="2:77" x14ac:dyDescent="0.25">
      <c r="AL79" s="222"/>
      <c r="AM79" s="392">
        <v>42077</v>
      </c>
      <c r="AN79" s="348">
        <v>25783.09</v>
      </c>
      <c r="AO79" s="146">
        <v>-5722.5105659999999</v>
      </c>
      <c r="AP79" s="147">
        <v>265</v>
      </c>
      <c r="AQ79" s="59">
        <v>42077</v>
      </c>
      <c r="AR79" s="180">
        <v>25783.09</v>
      </c>
      <c r="AS79" s="61">
        <f t="shared" si="20"/>
        <v>1</v>
      </c>
      <c r="AT79" s="185">
        <f t="shared" si="19"/>
        <v>11</v>
      </c>
      <c r="AU79" s="68"/>
      <c r="AV79" s="68"/>
      <c r="AW79" s="68"/>
      <c r="AX79" s="68"/>
      <c r="AY79" s="68"/>
      <c r="AZ79" s="68"/>
      <c r="BE79" s="55"/>
      <c r="BF79" s="55"/>
      <c r="BG79" s="55"/>
      <c r="BH79" s="55"/>
      <c r="BI79" s="55"/>
      <c r="BJ79" s="55"/>
    </row>
    <row r="80" spans="2:77" x14ac:dyDescent="0.25">
      <c r="AL80" s="222"/>
      <c r="AM80" s="392">
        <v>42078</v>
      </c>
      <c r="AN80" s="348">
        <v>2943.82</v>
      </c>
      <c r="AO80" s="146">
        <v>-1092.919506</v>
      </c>
      <c r="AP80" s="147">
        <v>68</v>
      </c>
      <c r="AQ80" s="59">
        <v>42078</v>
      </c>
      <c r="AR80" s="180">
        <v>2943.82</v>
      </c>
      <c r="AS80" s="61">
        <f t="shared" si="20"/>
        <v>1</v>
      </c>
      <c r="AT80" s="185">
        <f t="shared" si="19"/>
        <v>12</v>
      </c>
      <c r="AU80" s="68"/>
      <c r="AV80" s="68"/>
      <c r="AW80" s="68"/>
      <c r="AX80" s="68"/>
      <c r="AY80" s="68"/>
      <c r="AZ80" s="68"/>
      <c r="BE80" s="55"/>
      <c r="BF80" s="55"/>
      <c r="BG80" s="55"/>
      <c r="BH80" s="55"/>
      <c r="BI80" s="55"/>
      <c r="BJ80" s="55"/>
    </row>
    <row r="81" spans="38:62" x14ac:dyDescent="0.25">
      <c r="AL81" s="222"/>
      <c r="AM81" s="392">
        <v>42079</v>
      </c>
      <c r="AN81" s="348">
        <v>16728.53</v>
      </c>
      <c r="AO81" s="146">
        <v>1146.3709000000003</v>
      </c>
      <c r="AP81" s="147">
        <v>85</v>
      </c>
      <c r="AQ81" s="59">
        <v>42079</v>
      </c>
      <c r="AR81" s="180">
        <v>16728.53</v>
      </c>
      <c r="AS81" s="61">
        <f t="shared" si="20"/>
        <v>1</v>
      </c>
      <c r="AT81" s="185">
        <f t="shared" si="19"/>
        <v>12</v>
      </c>
      <c r="AU81" s="68"/>
      <c r="AV81" s="68"/>
      <c r="AW81" s="68"/>
      <c r="AX81" s="68"/>
      <c r="AY81" s="68"/>
      <c r="AZ81" s="68"/>
      <c r="BE81" s="55"/>
      <c r="BF81" s="55"/>
      <c r="BG81" s="55"/>
      <c r="BH81" s="55"/>
      <c r="BI81" s="55"/>
      <c r="BJ81" s="55"/>
    </row>
    <row r="82" spans="38:62" x14ac:dyDescent="0.25">
      <c r="AL82" s="222"/>
      <c r="AM82" s="392">
        <v>42080</v>
      </c>
      <c r="AN82" s="348">
        <v>5244.52</v>
      </c>
      <c r="AO82" s="146">
        <v>2574.719399999999</v>
      </c>
      <c r="AP82" s="147">
        <v>102</v>
      </c>
      <c r="AQ82" s="59">
        <v>42080</v>
      </c>
      <c r="AR82" s="180">
        <v>5244.52</v>
      </c>
      <c r="AS82" s="61">
        <f t="shared" si="20"/>
        <v>1</v>
      </c>
      <c r="AT82" s="185">
        <f t="shared" si="19"/>
        <v>12</v>
      </c>
      <c r="AU82" s="68"/>
      <c r="AV82" s="68"/>
      <c r="AW82" s="68"/>
      <c r="AX82" s="68"/>
      <c r="AY82" s="68"/>
      <c r="AZ82" s="68"/>
      <c r="BE82" s="55"/>
      <c r="BF82" s="55"/>
      <c r="BG82" s="55"/>
      <c r="BH82" s="55"/>
      <c r="BI82" s="55"/>
      <c r="BJ82" s="55"/>
    </row>
    <row r="83" spans="38:62" x14ac:dyDescent="0.25">
      <c r="AL83" s="222"/>
      <c r="AM83" s="392">
        <v>42081</v>
      </c>
      <c r="AN83" s="348">
        <v>16840.650000000001</v>
      </c>
      <c r="AO83" s="146">
        <v>4184.2209999999995</v>
      </c>
      <c r="AP83" s="147">
        <v>121</v>
      </c>
      <c r="AQ83" s="59">
        <v>42081</v>
      </c>
      <c r="AR83" s="180">
        <v>16840.650000000001</v>
      </c>
      <c r="AS83" s="61">
        <f t="shared" si="20"/>
        <v>1</v>
      </c>
      <c r="AT83" s="185">
        <f t="shared" si="19"/>
        <v>12</v>
      </c>
      <c r="AU83" s="68"/>
      <c r="AV83" s="68"/>
      <c r="AW83" s="68"/>
      <c r="AX83" s="68"/>
      <c r="AY83" s="68"/>
      <c r="AZ83" s="68"/>
      <c r="BE83" s="55"/>
      <c r="BF83" s="55"/>
      <c r="BG83" s="55"/>
      <c r="BH83" s="55"/>
      <c r="BI83" s="55"/>
      <c r="BJ83" s="55"/>
    </row>
    <row r="84" spans="38:62" x14ac:dyDescent="0.25">
      <c r="AL84" s="222"/>
      <c r="AM84" s="392">
        <v>42082</v>
      </c>
      <c r="AN84" s="348">
        <v>5402.48</v>
      </c>
      <c r="AO84" s="146">
        <v>-1589.3171400000001</v>
      </c>
      <c r="AP84" s="147">
        <v>168</v>
      </c>
      <c r="AQ84" s="59">
        <v>42082</v>
      </c>
      <c r="AR84" s="180">
        <v>5402.48</v>
      </c>
      <c r="AS84" s="61">
        <f t="shared" si="20"/>
        <v>1</v>
      </c>
      <c r="AT84" s="185">
        <f t="shared" si="19"/>
        <v>12</v>
      </c>
      <c r="AU84" s="68"/>
      <c r="AV84" s="68"/>
      <c r="AW84" s="68"/>
      <c r="AX84" s="68"/>
      <c r="AY84" s="68"/>
      <c r="AZ84" s="68"/>
      <c r="BE84" s="55"/>
      <c r="BF84" s="55"/>
      <c r="BG84" s="55"/>
      <c r="BH84" s="55"/>
      <c r="BI84" s="55"/>
      <c r="BJ84" s="55"/>
    </row>
    <row r="85" spans="38:62" x14ac:dyDescent="0.25">
      <c r="AL85" s="222"/>
      <c r="AM85" s="392">
        <v>42083</v>
      </c>
      <c r="AN85" s="348">
        <v>16675.580000000002</v>
      </c>
      <c r="AO85" s="146">
        <v>-1875.1018000000004</v>
      </c>
      <c r="AP85" s="147">
        <v>319</v>
      </c>
      <c r="AQ85" s="59">
        <v>42083</v>
      </c>
      <c r="AR85" s="180">
        <v>16675.580000000002</v>
      </c>
      <c r="AS85" s="61">
        <f t="shared" si="20"/>
        <v>1</v>
      </c>
      <c r="AT85" s="185">
        <f t="shared" si="19"/>
        <v>12</v>
      </c>
      <c r="AU85" s="68"/>
      <c r="AV85" s="68"/>
      <c r="AW85" s="68"/>
      <c r="AX85" s="68"/>
      <c r="AY85" s="68"/>
      <c r="AZ85" s="68"/>
      <c r="BE85" s="55"/>
      <c r="BF85" s="55"/>
      <c r="BG85" s="55"/>
      <c r="BH85" s="55"/>
      <c r="BI85" s="55"/>
      <c r="BJ85" s="55"/>
    </row>
    <row r="86" spans="38:62" x14ac:dyDescent="0.25">
      <c r="AL86" s="222"/>
      <c r="AM86" s="392">
        <v>42084</v>
      </c>
      <c r="AN86" s="348">
        <v>25857.3</v>
      </c>
      <c r="AO86" s="146">
        <v>3199.0791000000004</v>
      </c>
      <c r="AP86" s="147">
        <v>58</v>
      </c>
      <c r="AQ86" s="59">
        <v>42084</v>
      </c>
      <c r="AR86" s="180">
        <v>25857.3</v>
      </c>
      <c r="AS86" s="61">
        <f t="shared" si="20"/>
        <v>1</v>
      </c>
      <c r="AT86" s="185">
        <f t="shared" si="19"/>
        <v>12</v>
      </c>
      <c r="AU86" s="68"/>
      <c r="AV86" s="68"/>
      <c r="AW86" s="68"/>
      <c r="AX86" s="68"/>
      <c r="AY86" s="68"/>
      <c r="AZ86" s="68"/>
      <c r="BE86" s="55"/>
      <c r="BF86" s="55"/>
      <c r="BG86" s="55"/>
      <c r="BH86" s="55"/>
      <c r="BI86" s="55"/>
      <c r="BJ86" s="55"/>
    </row>
    <row r="87" spans="38:62" x14ac:dyDescent="0.25">
      <c r="AL87" s="222"/>
      <c r="AM87" s="392">
        <v>42085</v>
      </c>
      <c r="AN87" s="348">
        <v>9403.56</v>
      </c>
      <c r="AO87" s="146">
        <v>-109.37839999999991</v>
      </c>
      <c r="AP87" s="147">
        <v>80</v>
      </c>
      <c r="AQ87" s="59">
        <v>42085</v>
      </c>
      <c r="AR87" s="180">
        <v>9403.56</v>
      </c>
      <c r="AS87" s="61">
        <f t="shared" si="20"/>
        <v>1</v>
      </c>
      <c r="AT87" s="185">
        <f t="shared" si="19"/>
        <v>13</v>
      </c>
      <c r="AU87" s="68"/>
      <c r="AV87" s="68"/>
      <c r="AW87" s="68"/>
      <c r="AX87" s="68"/>
      <c r="AY87" s="68"/>
      <c r="AZ87" s="68"/>
      <c r="BE87" s="55"/>
      <c r="BF87" s="55"/>
      <c r="BG87" s="55"/>
      <c r="BH87" s="55"/>
      <c r="BI87" s="55"/>
      <c r="BJ87" s="55"/>
    </row>
    <row r="88" spans="38:62" x14ac:dyDescent="0.25">
      <c r="AL88" s="222"/>
      <c r="AM88" s="392">
        <v>42086</v>
      </c>
      <c r="AN88" s="348">
        <v>3850.97</v>
      </c>
      <c r="AO88" s="146">
        <v>1368.4157</v>
      </c>
      <c r="AP88" s="147">
        <v>185</v>
      </c>
      <c r="AQ88" s="59">
        <v>42086</v>
      </c>
      <c r="AR88" s="180">
        <v>3850.97</v>
      </c>
      <c r="AS88" s="61">
        <f t="shared" si="20"/>
        <v>1</v>
      </c>
      <c r="AT88" s="185">
        <f t="shared" si="19"/>
        <v>13</v>
      </c>
      <c r="AU88" s="68"/>
      <c r="AV88" s="68"/>
      <c r="AW88" s="68"/>
      <c r="AX88" s="68"/>
      <c r="AY88" s="68"/>
      <c r="AZ88" s="68"/>
      <c r="BE88" s="55"/>
      <c r="BF88" s="55"/>
      <c r="BG88" s="55"/>
      <c r="BH88" s="55"/>
      <c r="BI88" s="55"/>
      <c r="BJ88" s="55"/>
    </row>
    <row r="89" spans="38:62" x14ac:dyDescent="0.25">
      <c r="AL89" s="222"/>
      <c r="AM89" s="392">
        <v>42087</v>
      </c>
      <c r="AN89" s="348">
        <v>7449.45</v>
      </c>
      <c r="AO89" s="146">
        <v>-1726.25170125</v>
      </c>
      <c r="AP89" s="147">
        <v>104</v>
      </c>
      <c r="AQ89" s="59">
        <v>42087</v>
      </c>
      <c r="AR89" s="180">
        <v>7449.45</v>
      </c>
      <c r="AS89" s="61">
        <f t="shared" si="20"/>
        <v>1</v>
      </c>
      <c r="AT89" s="185">
        <f t="shared" si="19"/>
        <v>13</v>
      </c>
      <c r="AU89" s="68"/>
      <c r="AV89" s="68"/>
      <c r="AW89" s="68"/>
      <c r="AX89" s="68"/>
      <c r="AY89" s="68"/>
      <c r="AZ89" s="68"/>
      <c r="BE89" s="55"/>
      <c r="BF89" s="55"/>
      <c r="BG89" s="55"/>
      <c r="BH89" s="55"/>
      <c r="BI89" s="55"/>
      <c r="BJ89" s="55"/>
    </row>
    <row r="90" spans="38:62" x14ac:dyDescent="0.25">
      <c r="AL90" s="222"/>
      <c r="AM90" s="392">
        <v>42088</v>
      </c>
      <c r="AN90" s="348">
        <v>9686.07</v>
      </c>
      <c r="AO90" s="146">
        <v>2354.2009999999996</v>
      </c>
      <c r="AP90" s="147">
        <v>168</v>
      </c>
      <c r="AQ90" s="59">
        <v>42088</v>
      </c>
      <c r="AR90" s="180">
        <v>9686.07</v>
      </c>
      <c r="AS90" s="61">
        <f t="shared" si="20"/>
        <v>1</v>
      </c>
      <c r="AT90" s="185">
        <f t="shared" si="19"/>
        <v>13</v>
      </c>
      <c r="AU90" s="68"/>
      <c r="AV90" s="68"/>
      <c r="AW90" s="68"/>
      <c r="AX90" s="68"/>
      <c r="AY90" s="68"/>
      <c r="AZ90" s="68"/>
      <c r="BE90" s="55"/>
      <c r="BF90" s="55"/>
      <c r="BG90" s="55"/>
      <c r="BH90" s="55"/>
      <c r="BI90" s="55"/>
      <c r="BJ90" s="55"/>
    </row>
    <row r="91" spans="38:62" x14ac:dyDescent="0.25">
      <c r="AL91" s="222"/>
      <c r="AM91" s="392">
        <v>42089</v>
      </c>
      <c r="AN91" s="348">
        <v>5237.6000000000004</v>
      </c>
      <c r="AO91" s="146">
        <v>-233.75349999999997</v>
      </c>
      <c r="AP91" s="147">
        <v>80</v>
      </c>
      <c r="AQ91" s="59">
        <v>42089</v>
      </c>
      <c r="AR91" s="180">
        <v>5237.6000000000004</v>
      </c>
      <c r="AS91" s="61">
        <f t="shared" si="20"/>
        <v>1</v>
      </c>
      <c r="AT91" s="185">
        <f t="shared" si="19"/>
        <v>13</v>
      </c>
      <c r="AU91" s="68"/>
      <c r="AV91" s="68"/>
      <c r="AW91" s="68"/>
      <c r="AX91" s="68"/>
      <c r="AY91" s="68"/>
      <c r="AZ91" s="68"/>
      <c r="BE91" s="55"/>
      <c r="BF91" s="55"/>
      <c r="BG91" s="55"/>
      <c r="BH91" s="55"/>
      <c r="BI91" s="55"/>
      <c r="BJ91" s="55"/>
    </row>
    <row r="92" spans="38:62" x14ac:dyDescent="0.25">
      <c r="AL92" s="222"/>
      <c r="AM92" s="392">
        <v>42090</v>
      </c>
      <c r="AN92" s="348">
        <v>15468.49</v>
      </c>
      <c r="AO92" s="146">
        <v>3420.5684999999999</v>
      </c>
      <c r="AP92" s="147">
        <v>297</v>
      </c>
      <c r="AQ92" s="59">
        <v>42090</v>
      </c>
      <c r="AR92" s="180">
        <v>15468.49</v>
      </c>
      <c r="AS92" s="61">
        <f t="shared" si="20"/>
        <v>1</v>
      </c>
      <c r="AT92" s="185">
        <f t="shared" si="19"/>
        <v>13</v>
      </c>
      <c r="AU92" s="68"/>
      <c r="AV92" s="68"/>
      <c r="AW92" s="68"/>
      <c r="AX92" s="68"/>
      <c r="AY92" s="68"/>
      <c r="AZ92" s="68"/>
      <c r="BE92" s="55"/>
      <c r="BF92" s="55"/>
      <c r="BG92" s="55"/>
      <c r="BH92" s="55"/>
      <c r="BI92" s="55"/>
      <c r="BJ92" s="55"/>
    </row>
    <row r="93" spans="38:62" x14ac:dyDescent="0.25">
      <c r="AL93" s="222"/>
      <c r="AM93" s="392">
        <v>42091</v>
      </c>
      <c r="AN93" s="348">
        <v>2783.93</v>
      </c>
      <c r="AO93" s="146">
        <v>-16596.205899999997</v>
      </c>
      <c r="AP93" s="147">
        <v>76</v>
      </c>
      <c r="AQ93" s="59">
        <v>42091</v>
      </c>
      <c r="AR93" s="180">
        <v>2783.93</v>
      </c>
      <c r="AS93" s="61">
        <f t="shared" si="20"/>
        <v>1</v>
      </c>
      <c r="AT93" s="185">
        <f t="shared" si="19"/>
        <v>13</v>
      </c>
      <c r="AU93" s="68"/>
      <c r="AV93" s="68"/>
      <c r="AW93" s="68"/>
      <c r="AX93" s="68"/>
      <c r="AY93" s="68"/>
      <c r="AZ93" s="68"/>
      <c r="BE93" s="55"/>
      <c r="BF93" s="55"/>
      <c r="BG93" s="55"/>
      <c r="BH93" s="55"/>
      <c r="BI93" s="55"/>
      <c r="BJ93" s="55"/>
    </row>
    <row r="94" spans="38:62" x14ac:dyDescent="0.25">
      <c r="AL94" s="222"/>
      <c r="AM94" s="392">
        <v>42092</v>
      </c>
      <c r="AN94" s="348">
        <v>1516.49</v>
      </c>
      <c r="AO94" s="146">
        <v>-536.11419999999998</v>
      </c>
      <c r="AP94" s="147">
        <v>85</v>
      </c>
      <c r="AQ94" s="59">
        <v>42092</v>
      </c>
      <c r="AR94" s="180">
        <v>1516.49</v>
      </c>
      <c r="AS94" s="61">
        <f t="shared" si="20"/>
        <v>1</v>
      </c>
      <c r="AT94" s="185">
        <f t="shared" si="19"/>
        <v>14</v>
      </c>
      <c r="AU94" s="68"/>
      <c r="AV94" s="68"/>
      <c r="AW94" s="68"/>
      <c r="AX94" s="68"/>
      <c r="AY94" s="68"/>
      <c r="AZ94" s="68"/>
      <c r="BE94" s="55"/>
      <c r="BF94" s="55"/>
      <c r="BG94" s="55"/>
      <c r="BH94" s="55"/>
      <c r="BI94" s="55"/>
      <c r="BJ94" s="55"/>
    </row>
    <row r="95" spans="38:62" x14ac:dyDescent="0.25">
      <c r="AL95" s="222"/>
      <c r="AM95" s="392">
        <v>42093</v>
      </c>
      <c r="AN95" s="348">
        <v>15175.7</v>
      </c>
      <c r="AO95" s="146">
        <v>7059.8765000000021</v>
      </c>
      <c r="AP95" s="147">
        <v>227</v>
      </c>
      <c r="AQ95" s="59">
        <v>42093</v>
      </c>
      <c r="AR95" s="180">
        <v>15175.7</v>
      </c>
      <c r="AS95" s="61">
        <f t="shared" si="20"/>
        <v>1</v>
      </c>
      <c r="AT95" s="185">
        <f t="shared" si="19"/>
        <v>14</v>
      </c>
      <c r="AU95" s="68"/>
      <c r="AV95" s="68"/>
      <c r="AW95" s="68"/>
      <c r="AX95" s="68"/>
      <c r="AY95" s="68"/>
      <c r="AZ95" s="68"/>
      <c r="BE95" s="55"/>
      <c r="BF95" s="55"/>
      <c r="BG95" s="55"/>
      <c r="BH95" s="55"/>
      <c r="BI95" s="55"/>
      <c r="BJ95" s="55"/>
    </row>
    <row r="96" spans="38:62" ht="15.75" thickBot="1" x14ac:dyDescent="0.3">
      <c r="AL96" s="222"/>
      <c r="AM96" s="393">
        <v>42094</v>
      </c>
      <c r="AN96" s="348">
        <v>101.71</v>
      </c>
      <c r="AO96" s="146">
        <v>-1279.797</v>
      </c>
      <c r="AP96" s="147">
        <v>8</v>
      </c>
      <c r="AQ96" s="59">
        <v>42094</v>
      </c>
      <c r="AR96" s="180">
        <v>101.71</v>
      </c>
      <c r="AS96" s="61">
        <f t="shared" si="20"/>
        <v>1</v>
      </c>
      <c r="AT96" s="185">
        <f t="shared" si="19"/>
        <v>14</v>
      </c>
      <c r="AU96" s="68"/>
      <c r="AV96" s="68"/>
      <c r="AW96" s="68"/>
      <c r="AX96" s="68"/>
      <c r="AY96" s="68"/>
      <c r="AZ96" s="68"/>
      <c r="BE96" s="55"/>
      <c r="BF96" s="55"/>
      <c r="BG96" s="55"/>
      <c r="BH96" s="55"/>
      <c r="BI96" s="55"/>
      <c r="BJ96" s="55"/>
    </row>
    <row r="97" spans="38:62" x14ac:dyDescent="0.25">
      <c r="AL97" s="225" t="s">
        <v>3046</v>
      </c>
      <c r="AM97" s="391">
        <v>42095</v>
      </c>
      <c r="AN97" s="409">
        <v>5203.5200000000004</v>
      </c>
      <c r="AO97" s="365">
        <v>-1327.6013399999999</v>
      </c>
      <c r="AP97" s="367">
        <v>79</v>
      </c>
      <c r="AQ97" s="59">
        <v>42095</v>
      </c>
      <c r="AR97" s="180">
        <v>5203.5200000000004</v>
      </c>
      <c r="AS97" s="61">
        <f t="shared" si="20"/>
        <v>1</v>
      </c>
      <c r="AT97" s="185">
        <f t="shared" si="19"/>
        <v>14</v>
      </c>
      <c r="AU97" s="68"/>
      <c r="AV97" s="68"/>
      <c r="AW97" s="68"/>
      <c r="AX97" s="68"/>
      <c r="AY97" s="68"/>
      <c r="AZ97" s="68"/>
      <c r="BE97" s="55"/>
      <c r="BF97" s="55"/>
      <c r="BG97" s="55"/>
      <c r="BH97" s="55"/>
      <c r="BI97" s="55"/>
      <c r="BJ97" s="55"/>
    </row>
    <row r="98" spans="38:62" x14ac:dyDescent="0.25">
      <c r="AL98" s="222"/>
      <c r="AM98" s="392">
        <v>42096</v>
      </c>
      <c r="AN98" s="348">
        <v>25267.5</v>
      </c>
      <c r="AO98" s="146">
        <v>-1485.3228920000008</v>
      </c>
      <c r="AP98" s="147">
        <v>140</v>
      </c>
      <c r="AQ98" s="59">
        <v>42096</v>
      </c>
      <c r="AR98" s="180">
        <v>25267.5</v>
      </c>
      <c r="AS98" s="61">
        <f t="shared" si="20"/>
        <v>1</v>
      </c>
      <c r="AT98" s="185">
        <f t="shared" si="19"/>
        <v>14</v>
      </c>
      <c r="AU98" s="68"/>
      <c r="AV98" s="68"/>
      <c r="AW98" s="68"/>
      <c r="AX98" s="68"/>
      <c r="AY98" s="68"/>
      <c r="AZ98" s="68"/>
      <c r="BE98" s="55"/>
      <c r="BF98" s="55"/>
      <c r="BG98" s="55"/>
      <c r="BH98" s="55"/>
      <c r="BI98" s="55"/>
      <c r="BJ98" s="55"/>
    </row>
    <row r="99" spans="38:62" x14ac:dyDescent="0.25">
      <c r="AL99" s="222"/>
      <c r="AM99" s="392">
        <v>42098</v>
      </c>
      <c r="AN99" s="348">
        <v>67267.77</v>
      </c>
      <c r="AO99" s="146">
        <v>18782.274940000003</v>
      </c>
      <c r="AP99" s="147">
        <v>347</v>
      </c>
      <c r="AQ99" s="59">
        <v>42098</v>
      </c>
      <c r="AR99" s="180">
        <v>67267.77</v>
      </c>
      <c r="AS99" s="61">
        <f t="shared" si="20"/>
        <v>1</v>
      </c>
      <c r="AT99" s="185">
        <f t="shared" si="19"/>
        <v>14</v>
      </c>
      <c r="AU99" s="68"/>
      <c r="AV99" s="68"/>
      <c r="AW99" s="68"/>
      <c r="AX99" s="68"/>
      <c r="AY99" s="68"/>
      <c r="AZ99" s="68"/>
      <c r="BE99" s="55"/>
      <c r="BF99" s="55"/>
      <c r="BG99" s="55"/>
      <c r="BH99" s="55"/>
      <c r="BI99" s="55"/>
      <c r="BJ99" s="55"/>
    </row>
    <row r="100" spans="38:62" x14ac:dyDescent="0.25">
      <c r="AL100" s="222"/>
      <c r="AM100" s="392">
        <v>42099</v>
      </c>
      <c r="AN100" s="348">
        <v>10775.67</v>
      </c>
      <c r="AO100" s="146">
        <v>1891.0971439999998</v>
      </c>
      <c r="AP100" s="147">
        <v>121</v>
      </c>
      <c r="AQ100" s="59">
        <v>42099</v>
      </c>
      <c r="AR100" s="180">
        <v>10775.67</v>
      </c>
      <c r="AS100" s="61">
        <f t="shared" si="20"/>
        <v>1</v>
      </c>
      <c r="AT100" s="185">
        <f t="shared" si="19"/>
        <v>15</v>
      </c>
      <c r="AU100" s="68"/>
      <c r="AV100" s="68"/>
      <c r="AW100" s="68"/>
      <c r="AX100" s="68"/>
      <c r="AY100" s="68"/>
      <c r="AZ100" s="68"/>
      <c r="BE100" s="55"/>
      <c r="BF100" s="55"/>
      <c r="BG100" s="55"/>
      <c r="BH100" s="55"/>
      <c r="BI100" s="55"/>
      <c r="BJ100" s="55"/>
    </row>
    <row r="101" spans="38:62" x14ac:dyDescent="0.25">
      <c r="AL101" s="222"/>
      <c r="AM101" s="392">
        <v>42100</v>
      </c>
      <c r="AN101" s="348">
        <v>16890.22</v>
      </c>
      <c r="AO101" s="146">
        <v>4243.2277000000004</v>
      </c>
      <c r="AP101" s="147">
        <v>163</v>
      </c>
      <c r="AQ101" s="59">
        <v>42100</v>
      </c>
      <c r="AR101" s="180">
        <v>16890.22</v>
      </c>
      <c r="AS101" s="61">
        <f t="shared" si="20"/>
        <v>1</v>
      </c>
      <c r="AT101" s="185">
        <f t="shared" si="19"/>
        <v>15</v>
      </c>
      <c r="AU101" s="68"/>
      <c r="AV101" s="68"/>
      <c r="AW101" s="68"/>
      <c r="AX101" s="68"/>
      <c r="AY101" s="68"/>
      <c r="AZ101" s="68"/>
      <c r="BE101" s="55"/>
      <c r="BF101" s="55"/>
      <c r="BG101" s="55"/>
      <c r="BH101" s="55"/>
      <c r="BI101" s="55"/>
      <c r="BJ101" s="55"/>
    </row>
    <row r="102" spans="38:62" x14ac:dyDescent="0.25">
      <c r="AL102" s="222"/>
      <c r="AM102" s="392">
        <v>42101</v>
      </c>
      <c r="AN102" s="348">
        <v>13355.85</v>
      </c>
      <c r="AO102" s="146">
        <v>1396.6820999999998</v>
      </c>
      <c r="AP102" s="147">
        <v>196</v>
      </c>
      <c r="AQ102" s="59">
        <v>42101</v>
      </c>
      <c r="AR102" s="180">
        <v>13355.85</v>
      </c>
      <c r="AS102" s="61">
        <f t="shared" si="20"/>
        <v>1</v>
      </c>
      <c r="AT102" s="185">
        <f t="shared" si="19"/>
        <v>15</v>
      </c>
      <c r="AU102" s="68"/>
      <c r="AV102" s="68"/>
      <c r="AW102" s="68"/>
      <c r="AX102" s="68"/>
      <c r="AY102" s="68"/>
      <c r="AZ102" s="68"/>
      <c r="BE102" s="55"/>
      <c r="BF102" s="55"/>
      <c r="BG102" s="55"/>
      <c r="BH102" s="55"/>
      <c r="BI102" s="55"/>
      <c r="BJ102" s="55"/>
    </row>
    <row r="103" spans="38:62" x14ac:dyDescent="0.25">
      <c r="AL103" s="222"/>
      <c r="AM103" s="392">
        <v>42102</v>
      </c>
      <c r="AN103" s="348">
        <v>3637.02</v>
      </c>
      <c r="AO103" s="146">
        <v>823.54313999999999</v>
      </c>
      <c r="AP103" s="147">
        <v>120</v>
      </c>
      <c r="AQ103" s="59">
        <v>42102</v>
      </c>
      <c r="AR103" s="180">
        <v>3637.02</v>
      </c>
      <c r="AS103" s="61">
        <f t="shared" si="20"/>
        <v>1</v>
      </c>
      <c r="AT103" s="185">
        <f t="shared" si="19"/>
        <v>15</v>
      </c>
      <c r="AU103" s="68"/>
      <c r="AV103" s="68"/>
      <c r="AW103" s="68"/>
      <c r="AX103" s="68"/>
      <c r="AY103" s="68"/>
      <c r="AZ103" s="68"/>
      <c r="BE103" s="55"/>
      <c r="BF103" s="55"/>
      <c r="BG103" s="55"/>
      <c r="BH103" s="55"/>
      <c r="BI103" s="55"/>
      <c r="BJ103" s="55"/>
    </row>
    <row r="104" spans="38:62" x14ac:dyDescent="0.25">
      <c r="AL104" s="222"/>
      <c r="AM104" s="392">
        <v>42103</v>
      </c>
      <c r="AN104" s="348">
        <v>19709.509999999998</v>
      </c>
      <c r="AO104" s="146">
        <v>3935.9314599999998</v>
      </c>
      <c r="AP104" s="147">
        <v>361</v>
      </c>
      <c r="AQ104" s="59">
        <v>42103</v>
      </c>
      <c r="AR104" s="180">
        <v>19709.509999999998</v>
      </c>
      <c r="AS104" s="61">
        <f t="shared" si="20"/>
        <v>1</v>
      </c>
      <c r="AT104" s="185">
        <f t="shared" si="19"/>
        <v>15</v>
      </c>
      <c r="AU104" s="68"/>
      <c r="AV104" s="68"/>
      <c r="AW104" s="68"/>
      <c r="AX104" s="68"/>
      <c r="AY104" s="68"/>
      <c r="AZ104" s="68"/>
      <c r="BE104" s="55"/>
      <c r="BF104" s="55"/>
      <c r="BG104" s="55"/>
      <c r="BH104" s="55"/>
      <c r="BI104" s="55"/>
      <c r="BJ104" s="55"/>
    </row>
    <row r="105" spans="38:62" x14ac:dyDescent="0.25">
      <c r="AL105" s="222"/>
      <c r="AM105" s="392">
        <v>42104</v>
      </c>
      <c r="AN105" s="348">
        <v>13636.13</v>
      </c>
      <c r="AO105" s="146">
        <v>1562.5688999999998</v>
      </c>
      <c r="AP105" s="147">
        <v>107</v>
      </c>
      <c r="AQ105" s="59">
        <v>42104</v>
      </c>
      <c r="AR105" s="180">
        <v>13636.13</v>
      </c>
      <c r="AS105" s="61">
        <f t="shared" si="20"/>
        <v>1</v>
      </c>
      <c r="AT105" s="185">
        <f t="shared" si="19"/>
        <v>15</v>
      </c>
      <c r="AU105" s="68"/>
      <c r="AV105" s="68"/>
      <c r="AW105" s="68"/>
      <c r="AX105" s="68"/>
      <c r="AY105" s="68"/>
      <c r="AZ105" s="68"/>
      <c r="BE105" s="55"/>
      <c r="BF105" s="55"/>
      <c r="BG105" s="55"/>
      <c r="BH105" s="55"/>
      <c r="BI105" s="55"/>
      <c r="BJ105" s="55"/>
    </row>
    <row r="106" spans="38:62" x14ac:dyDescent="0.25">
      <c r="AL106" s="222"/>
      <c r="AM106" s="392">
        <v>42105</v>
      </c>
      <c r="AN106" s="348">
        <v>954.94</v>
      </c>
      <c r="AO106" s="146">
        <v>166.29429999999996</v>
      </c>
      <c r="AP106" s="147">
        <v>66</v>
      </c>
      <c r="AQ106" s="59">
        <v>42105</v>
      </c>
      <c r="AR106" s="180">
        <v>954.94</v>
      </c>
      <c r="AS106" s="61">
        <f t="shared" si="20"/>
        <v>1</v>
      </c>
      <c r="AT106" s="185">
        <f t="shared" si="19"/>
        <v>15</v>
      </c>
      <c r="AU106" s="68"/>
      <c r="AV106" s="68"/>
      <c r="AW106" s="68"/>
      <c r="AX106" s="68"/>
      <c r="AY106" s="68"/>
      <c r="AZ106" s="68"/>
      <c r="BE106" s="55"/>
      <c r="BF106" s="55"/>
      <c r="BG106" s="55"/>
      <c r="BH106" s="55"/>
      <c r="BI106" s="55"/>
      <c r="BJ106" s="55"/>
    </row>
    <row r="107" spans="38:62" x14ac:dyDescent="0.25">
      <c r="AL107" s="222"/>
      <c r="AM107" s="392">
        <v>42106</v>
      </c>
      <c r="AN107" s="348">
        <v>490</v>
      </c>
      <c r="AO107" s="146">
        <v>-945.48928799999999</v>
      </c>
      <c r="AP107" s="147">
        <v>26</v>
      </c>
      <c r="AQ107" s="59">
        <v>42106</v>
      </c>
      <c r="AR107" s="180">
        <v>490</v>
      </c>
      <c r="AS107" s="61">
        <f t="shared" si="20"/>
        <v>1</v>
      </c>
      <c r="AT107" s="185">
        <f t="shared" si="19"/>
        <v>16</v>
      </c>
      <c r="AU107" s="68"/>
      <c r="AV107" s="68"/>
      <c r="AW107" s="68"/>
      <c r="AX107" s="68"/>
      <c r="AY107" s="68"/>
      <c r="AZ107" s="68"/>
      <c r="BE107" s="55"/>
      <c r="BF107" s="55"/>
      <c r="BG107" s="55"/>
      <c r="BH107" s="55"/>
      <c r="BI107" s="55"/>
      <c r="BJ107" s="55"/>
    </row>
    <row r="108" spans="38:62" x14ac:dyDescent="0.25">
      <c r="AL108" s="222"/>
      <c r="AM108" s="392">
        <v>42107</v>
      </c>
      <c r="AN108" s="348">
        <v>3318.93</v>
      </c>
      <c r="AO108" s="146">
        <v>1204.0263599999998</v>
      </c>
      <c r="AP108" s="147">
        <v>76</v>
      </c>
      <c r="AQ108" s="59">
        <v>42107</v>
      </c>
      <c r="AR108" s="180">
        <v>3318.93</v>
      </c>
      <c r="AS108" s="61">
        <f t="shared" si="20"/>
        <v>1</v>
      </c>
      <c r="AT108" s="185">
        <f t="shared" si="19"/>
        <v>16</v>
      </c>
      <c r="AU108" s="68"/>
      <c r="AV108" s="68"/>
      <c r="AW108" s="68"/>
      <c r="AX108" s="68"/>
      <c r="AY108" s="68"/>
      <c r="AZ108" s="68"/>
      <c r="BE108" s="55"/>
      <c r="BF108" s="55"/>
      <c r="BG108" s="55"/>
      <c r="BH108" s="55"/>
      <c r="BI108" s="55"/>
      <c r="BJ108" s="55"/>
    </row>
    <row r="109" spans="38:62" x14ac:dyDescent="0.25">
      <c r="AL109" s="222"/>
      <c r="AM109" s="392">
        <v>42108</v>
      </c>
      <c r="AN109" s="348">
        <v>1809.72</v>
      </c>
      <c r="AO109" s="146">
        <v>-932.17820600000005</v>
      </c>
      <c r="AP109" s="147">
        <v>17</v>
      </c>
      <c r="AQ109" s="59">
        <v>42108</v>
      </c>
      <c r="AR109" s="180">
        <v>1809.72</v>
      </c>
      <c r="AS109" s="61">
        <f t="shared" si="20"/>
        <v>1</v>
      </c>
      <c r="AT109" s="185">
        <f t="shared" si="19"/>
        <v>16</v>
      </c>
      <c r="AU109" s="68"/>
      <c r="AV109" s="68"/>
      <c r="AW109" s="68"/>
      <c r="AX109" s="68"/>
      <c r="AY109" s="68"/>
      <c r="AZ109" s="68"/>
      <c r="BE109" s="55"/>
      <c r="BF109" s="55"/>
      <c r="BG109" s="55"/>
      <c r="BH109" s="55"/>
      <c r="BI109" s="55"/>
      <c r="BJ109" s="55"/>
    </row>
    <row r="110" spans="38:62" x14ac:dyDescent="0.25">
      <c r="AL110" s="222"/>
      <c r="AM110" s="392">
        <v>42109</v>
      </c>
      <c r="AN110" s="348">
        <v>6553.25</v>
      </c>
      <c r="AO110" s="146">
        <v>-1574.1900479999997</v>
      </c>
      <c r="AP110" s="147">
        <v>249</v>
      </c>
      <c r="AQ110" s="59">
        <v>42109</v>
      </c>
      <c r="AR110" s="180">
        <v>6553.25</v>
      </c>
      <c r="AS110" s="61">
        <f t="shared" si="20"/>
        <v>1</v>
      </c>
      <c r="AT110" s="185">
        <f t="shared" si="19"/>
        <v>16</v>
      </c>
      <c r="AU110" s="68"/>
      <c r="AV110" s="68"/>
      <c r="AW110" s="68"/>
      <c r="AX110" s="68"/>
      <c r="AY110" s="68"/>
      <c r="AZ110" s="68"/>
      <c r="BE110" s="55"/>
      <c r="BF110" s="55"/>
      <c r="BG110" s="55"/>
      <c r="BH110" s="55"/>
      <c r="BI110" s="55"/>
      <c r="BJ110" s="55"/>
    </row>
    <row r="111" spans="38:62" x14ac:dyDescent="0.25">
      <c r="AL111" s="222"/>
      <c r="AM111" s="392">
        <v>42110</v>
      </c>
      <c r="AN111" s="348">
        <v>5886.63</v>
      </c>
      <c r="AO111" s="146">
        <v>-3995.8900000000003</v>
      </c>
      <c r="AP111" s="147">
        <v>20</v>
      </c>
      <c r="AQ111" s="59">
        <v>42110</v>
      </c>
      <c r="AR111" s="180">
        <v>5886.63</v>
      </c>
      <c r="AS111" s="61">
        <f t="shared" si="20"/>
        <v>1</v>
      </c>
      <c r="AT111" s="185">
        <f t="shared" si="19"/>
        <v>16</v>
      </c>
      <c r="AU111" s="68"/>
      <c r="AV111" s="68"/>
      <c r="AW111" s="68"/>
      <c r="AX111" s="68"/>
      <c r="AY111" s="68"/>
      <c r="AZ111" s="68"/>
      <c r="BE111" s="55"/>
      <c r="BF111" s="55"/>
      <c r="BG111" s="55"/>
      <c r="BH111" s="55"/>
      <c r="BI111" s="55"/>
      <c r="BJ111" s="55"/>
    </row>
    <row r="112" spans="38:62" x14ac:dyDescent="0.25">
      <c r="AL112" s="222"/>
      <c r="AM112" s="392">
        <v>42111</v>
      </c>
      <c r="AN112" s="348">
        <v>13273.29</v>
      </c>
      <c r="AO112" s="146">
        <v>-15762.591588000001</v>
      </c>
      <c r="AP112" s="147">
        <v>76</v>
      </c>
      <c r="AQ112" s="59">
        <v>42111</v>
      </c>
      <c r="AR112" s="180">
        <v>13273.29</v>
      </c>
      <c r="AS112" s="61">
        <f t="shared" si="20"/>
        <v>1</v>
      </c>
      <c r="AT112" s="185">
        <f t="shared" si="19"/>
        <v>16</v>
      </c>
      <c r="AU112" s="68"/>
      <c r="AV112" s="68"/>
      <c r="AW112" s="68"/>
      <c r="AX112" s="68"/>
      <c r="AY112" s="68"/>
      <c r="AZ112" s="68"/>
      <c r="BE112" s="55"/>
      <c r="BF112" s="55"/>
      <c r="BG112" s="55"/>
      <c r="BH112" s="55"/>
      <c r="BI112" s="55"/>
      <c r="BJ112" s="55"/>
    </row>
    <row r="113" spans="38:62" x14ac:dyDescent="0.25">
      <c r="AL113" s="222"/>
      <c r="AM113" s="392">
        <v>42112</v>
      </c>
      <c r="AN113" s="348">
        <v>10317.049999999999</v>
      </c>
      <c r="AO113" s="146">
        <v>1003.6260999999998</v>
      </c>
      <c r="AP113" s="147">
        <v>209</v>
      </c>
      <c r="AQ113" s="59">
        <v>42112</v>
      </c>
      <c r="AR113" s="180">
        <v>10317.049999999999</v>
      </c>
      <c r="AS113" s="61">
        <f t="shared" si="20"/>
        <v>1</v>
      </c>
      <c r="AT113" s="185">
        <f t="shared" si="19"/>
        <v>16</v>
      </c>
      <c r="AU113" s="68"/>
      <c r="AV113" s="68"/>
      <c r="AW113" s="68"/>
      <c r="AX113" s="68"/>
      <c r="AY113" s="68"/>
      <c r="AZ113" s="68"/>
      <c r="BE113" s="55"/>
      <c r="BF113" s="55"/>
      <c r="BG113" s="55"/>
      <c r="BH113" s="55"/>
      <c r="BI113" s="55"/>
      <c r="BJ113" s="55"/>
    </row>
    <row r="114" spans="38:62" x14ac:dyDescent="0.25">
      <c r="AL114" s="222"/>
      <c r="AM114" s="392">
        <v>42113</v>
      </c>
      <c r="AN114" s="348">
        <v>7818.3</v>
      </c>
      <c r="AO114" s="146">
        <v>-1162.37878</v>
      </c>
      <c r="AP114" s="147">
        <v>81</v>
      </c>
      <c r="AQ114" s="59">
        <v>42113</v>
      </c>
      <c r="AR114" s="180">
        <v>7818.3</v>
      </c>
      <c r="AS114" s="61">
        <f t="shared" si="20"/>
        <v>1</v>
      </c>
      <c r="AT114" s="185">
        <f t="shared" si="19"/>
        <v>17</v>
      </c>
      <c r="AU114" s="68"/>
      <c r="AV114" s="68"/>
      <c r="AW114" s="68"/>
      <c r="AX114" s="68"/>
      <c r="AY114" s="68"/>
      <c r="AZ114" s="68"/>
      <c r="BE114" s="55"/>
      <c r="BF114" s="55"/>
      <c r="BG114" s="55"/>
      <c r="BH114" s="55"/>
      <c r="BI114" s="55"/>
      <c r="BJ114" s="55"/>
    </row>
    <row r="115" spans="38:62" x14ac:dyDescent="0.25">
      <c r="AL115" s="222"/>
      <c r="AM115" s="392">
        <v>42114</v>
      </c>
      <c r="AN115" s="348">
        <v>19795.490000000002</v>
      </c>
      <c r="AO115" s="146">
        <v>4078.8972800000006</v>
      </c>
      <c r="AP115" s="147">
        <v>151</v>
      </c>
      <c r="AQ115" s="59">
        <v>42114</v>
      </c>
      <c r="AR115" s="180">
        <v>19795.490000000002</v>
      </c>
      <c r="AS115" s="61">
        <f t="shared" si="20"/>
        <v>1</v>
      </c>
      <c r="AT115" s="185">
        <f t="shared" si="19"/>
        <v>17</v>
      </c>
      <c r="AU115" s="68"/>
      <c r="AV115" s="68"/>
      <c r="AW115" s="68"/>
      <c r="AX115" s="68"/>
      <c r="AY115" s="68"/>
      <c r="AZ115" s="68"/>
      <c r="BE115" s="55"/>
      <c r="BF115" s="55"/>
      <c r="BG115" s="55"/>
      <c r="BH115" s="55"/>
      <c r="BI115" s="55"/>
      <c r="BJ115" s="55"/>
    </row>
    <row r="116" spans="38:62" x14ac:dyDescent="0.25">
      <c r="AL116" s="222"/>
      <c r="AM116" s="392">
        <v>42115</v>
      </c>
      <c r="AN116" s="348">
        <v>23413.18</v>
      </c>
      <c r="AO116" s="146">
        <v>11619.664060000001</v>
      </c>
      <c r="AP116" s="147">
        <v>171</v>
      </c>
      <c r="AQ116" s="59">
        <v>42115</v>
      </c>
      <c r="AR116" s="180">
        <v>23413.18</v>
      </c>
      <c r="AS116" s="61">
        <f t="shared" si="20"/>
        <v>1</v>
      </c>
      <c r="AT116" s="185">
        <f t="shared" si="19"/>
        <v>17</v>
      </c>
      <c r="AU116" s="68"/>
      <c r="AV116" s="68"/>
      <c r="AW116" s="68"/>
      <c r="AX116" s="68"/>
      <c r="AY116" s="68"/>
      <c r="AZ116" s="68"/>
      <c r="BE116" s="55"/>
      <c r="BF116" s="55"/>
      <c r="BG116" s="55"/>
      <c r="BH116" s="55"/>
      <c r="BI116" s="55"/>
      <c r="BJ116" s="55"/>
    </row>
    <row r="117" spans="38:62" x14ac:dyDescent="0.25">
      <c r="AL117" s="222"/>
      <c r="AM117" s="392">
        <v>42116</v>
      </c>
      <c r="AN117" s="348">
        <v>2565.9</v>
      </c>
      <c r="AO117" s="146">
        <v>681.11920000000009</v>
      </c>
      <c r="AP117" s="147">
        <v>112</v>
      </c>
      <c r="AQ117" s="59">
        <v>42116</v>
      </c>
      <c r="AR117" s="180">
        <v>2565.9</v>
      </c>
      <c r="AS117" s="61">
        <f t="shared" si="20"/>
        <v>1</v>
      </c>
      <c r="AT117" s="185">
        <f t="shared" si="19"/>
        <v>17</v>
      </c>
      <c r="AU117" s="68"/>
      <c r="AV117" s="68"/>
      <c r="AW117" s="68"/>
      <c r="AX117" s="68"/>
      <c r="AY117" s="68"/>
      <c r="AZ117" s="68"/>
      <c r="BE117" s="55"/>
      <c r="BF117" s="55"/>
      <c r="BG117" s="55"/>
      <c r="BH117" s="55"/>
      <c r="BI117" s="55"/>
      <c r="BJ117" s="55"/>
    </row>
    <row r="118" spans="38:62" x14ac:dyDescent="0.25">
      <c r="AL118" s="222"/>
      <c r="AM118" s="392">
        <v>42117</v>
      </c>
      <c r="AN118" s="348">
        <v>10621.21</v>
      </c>
      <c r="AO118" s="146">
        <v>-594.80456000000004</v>
      </c>
      <c r="AP118" s="147">
        <v>56</v>
      </c>
      <c r="AQ118" s="59">
        <v>42117</v>
      </c>
      <c r="AR118" s="180">
        <v>10621.21</v>
      </c>
      <c r="AS118" s="61">
        <f t="shared" si="20"/>
        <v>1</v>
      </c>
      <c r="AT118" s="185">
        <f t="shared" si="19"/>
        <v>17</v>
      </c>
      <c r="AU118" s="68"/>
      <c r="AV118" s="68"/>
      <c r="AW118" s="68"/>
      <c r="AX118" s="68"/>
      <c r="AY118" s="68"/>
      <c r="AZ118" s="68"/>
      <c r="BE118" s="55"/>
      <c r="BF118" s="55"/>
      <c r="BG118" s="55"/>
      <c r="BH118" s="55"/>
      <c r="BI118" s="55"/>
      <c r="BJ118" s="55"/>
    </row>
    <row r="119" spans="38:62" x14ac:dyDescent="0.25">
      <c r="AL119" s="222"/>
      <c r="AM119" s="392">
        <v>42118</v>
      </c>
      <c r="AN119" s="348">
        <v>2152.5300000000002</v>
      </c>
      <c r="AO119" s="146">
        <v>1136.6990000000001</v>
      </c>
      <c r="AP119" s="147">
        <v>52</v>
      </c>
      <c r="AQ119" s="59">
        <v>42118</v>
      </c>
      <c r="AR119" s="180">
        <v>2152.5300000000002</v>
      </c>
      <c r="AS119" s="61">
        <f t="shared" si="20"/>
        <v>1</v>
      </c>
      <c r="AT119" s="185">
        <f t="shared" si="19"/>
        <v>17</v>
      </c>
      <c r="AU119" s="68"/>
      <c r="AV119" s="68"/>
      <c r="AW119" s="68"/>
      <c r="AX119" s="68"/>
      <c r="AY119" s="68"/>
      <c r="AZ119" s="68"/>
      <c r="BE119" s="55"/>
      <c r="BF119" s="55"/>
      <c r="BG119" s="55"/>
      <c r="BH119" s="55"/>
      <c r="BI119" s="55"/>
      <c r="BJ119" s="55"/>
    </row>
    <row r="120" spans="38:62" x14ac:dyDescent="0.25">
      <c r="AL120" s="222"/>
      <c r="AM120" s="392">
        <v>42119</v>
      </c>
      <c r="AN120" s="348">
        <v>37768.199999999997</v>
      </c>
      <c r="AO120" s="146">
        <v>10634.296399999999</v>
      </c>
      <c r="AP120" s="147">
        <v>159</v>
      </c>
      <c r="AQ120" s="59">
        <v>42119</v>
      </c>
      <c r="AR120" s="180">
        <v>37768.199999999997</v>
      </c>
      <c r="AS120" s="61">
        <f t="shared" si="20"/>
        <v>1</v>
      </c>
      <c r="AT120" s="185">
        <f t="shared" si="19"/>
        <v>17</v>
      </c>
      <c r="AU120" s="68"/>
      <c r="AV120" s="68"/>
      <c r="AW120" s="68"/>
      <c r="AX120" s="68"/>
      <c r="AY120" s="68"/>
      <c r="AZ120" s="68"/>
      <c r="BE120" s="55"/>
      <c r="BF120" s="55"/>
      <c r="BG120" s="55"/>
      <c r="BH120" s="55"/>
      <c r="BI120" s="55"/>
      <c r="BJ120" s="55"/>
    </row>
    <row r="121" spans="38:62" x14ac:dyDescent="0.25">
      <c r="AL121" s="222"/>
      <c r="AM121" s="392">
        <v>42120</v>
      </c>
      <c r="AN121" s="348">
        <v>12354.36</v>
      </c>
      <c r="AO121" s="146">
        <v>3162.2311</v>
      </c>
      <c r="AP121" s="147">
        <v>96</v>
      </c>
      <c r="AQ121" s="59">
        <v>42120</v>
      </c>
      <c r="AR121" s="180">
        <v>12354.36</v>
      </c>
      <c r="AS121" s="61">
        <f t="shared" si="20"/>
        <v>1</v>
      </c>
      <c r="AT121" s="185">
        <f t="shared" si="19"/>
        <v>18</v>
      </c>
      <c r="AU121" s="68"/>
      <c r="AV121" s="68"/>
      <c r="AW121" s="68"/>
      <c r="AX121" s="68"/>
      <c r="AY121" s="68"/>
      <c r="AZ121" s="68"/>
      <c r="BE121" s="55"/>
      <c r="BF121" s="55"/>
      <c r="BG121" s="55"/>
      <c r="BH121" s="55"/>
      <c r="BI121" s="55"/>
      <c r="BJ121" s="55"/>
    </row>
    <row r="122" spans="38:62" x14ac:dyDescent="0.25">
      <c r="AL122" s="222"/>
      <c r="AM122" s="392">
        <v>42121</v>
      </c>
      <c r="AN122" s="348">
        <v>5296.63</v>
      </c>
      <c r="AO122" s="146">
        <v>1465.7903600000002</v>
      </c>
      <c r="AP122" s="147">
        <v>68</v>
      </c>
      <c r="AQ122" s="59">
        <v>42121</v>
      </c>
      <c r="AR122" s="180">
        <v>5296.63</v>
      </c>
      <c r="AS122" s="61">
        <f t="shared" si="20"/>
        <v>1</v>
      </c>
      <c r="AT122" s="185">
        <f t="shared" si="19"/>
        <v>18</v>
      </c>
      <c r="AU122" s="68"/>
      <c r="AV122" s="68"/>
      <c r="AW122" s="68"/>
      <c r="AX122" s="68"/>
      <c r="AY122" s="68"/>
      <c r="AZ122" s="68"/>
      <c r="BE122" s="55"/>
      <c r="BF122" s="55"/>
      <c r="BG122" s="55"/>
      <c r="BH122" s="55"/>
      <c r="BI122" s="55"/>
      <c r="BJ122" s="55"/>
    </row>
    <row r="123" spans="38:62" x14ac:dyDescent="0.25">
      <c r="AL123" s="222"/>
      <c r="AM123" s="392">
        <v>42122</v>
      </c>
      <c r="AN123" s="348">
        <v>31319</v>
      </c>
      <c r="AO123" s="146">
        <v>4706.247220000002</v>
      </c>
      <c r="AP123" s="147">
        <v>318</v>
      </c>
      <c r="AQ123" s="59">
        <v>42122</v>
      </c>
      <c r="AR123" s="180">
        <v>31319</v>
      </c>
      <c r="AS123" s="61">
        <f t="shared" si="20"/>
        <v>1</v>
      </c>
      <c r="AT123" s="185">
        <f t="shared" si="19"/>
        <v>18</v>
      </c>
      <c r="AU123" s="68"/>
      <c r="AV123" s="68"/>
      <c r="AW123" s="68"/>
      <c r="AX123" s="68"/>
      <c r="AY123" s="68"/>
      <c r="AZ123" s="68"/>
      <c r="BE123" s="55"/>
      <c r="BF123" s="55"/>
      <c r="BG123" s="55"/>
      <c r="BH123" s="55"/>
      <c r="BI123" s="55"/>
      <c r="BJ123" s="55"/>
    </row>
    <row r="124" spans="38:62" x14ac:dyDescent="0.25">
      <c r="AL124" s="222"/>
      <c r="AM124" s="392">
        <v>42123</v>
      </c>
      <c r="AN124" s="348">
        <v>3561.59</v>
      </c>
      <c r="AO124" s="146">
        <v>667.25720000000001</v>
      </c>
      <c r="AP124" s="147">
        <v>105</v>
      </c>
      <c r="AQ124" s="59">
        <v>42123</v>
      </c>
      <c r="AR124" s="180">
        <v>3561.59</v>
      </c>
      <c r="AS124" s="61">
        <f t="shared" si="20"/>
        <v>1</v>
      </c>
      <c r="AT124" s="185">
        <f t="shared" si="19"/>
        <v>18</v>
      </c>
      <c r="AU124" s="68"/>
      <c r="AV124" s="68"/>
      <c r="AW124" s="68"/>
      <c r="AX124" s="68"/>
      <c r="AY124" s="68"/>
      <c r="AZ124" s="68"/>
      <c r="BE124" s="55"/>
      <c r="BF124" s="55"/>
      <c r="BG124" s="55"/>
      <c r="BH124" s="55"/>
      <c r="BI124" s="55"/>
      <c r="BJ124" s="55"/>
    </row>
    <row r="125" spans="38:62" ht="15.75" thickBot="1" x14ac:dyDescent="0.3">
      <c r="AL125" s="222"/>
      <c r="AM125" s="393">
        <v>42124</v>
      </c>
      <c r="AN125" s="348">
        <v>9015.7999999999993</v>
      </c>
      <c r="AO125" s="146">
        <v>4801.0758399999995</v>
      </c>
      <c r="AP125" s="147">
        <v>191</v>
      </c>
      <c r="AQ125" s="59">
        <v>42124</v>
      </c>
      <c r="AR125" s="180">
        <v>9015.7999999999993</v>
      </c>
      <c r="AS125" s="61">
        <f t="shared" si="20"/>
        <v>1</v>
      </c>
      <c r="AT125" s="185">
        <f t="shared" si="19"/>
        <v>18</v>
      </c>
      <c r="AU125" s="68"/>
      <c r="AV125" s="68"/>
      <c r="AW125" s="68"/>
      <c r="AX125" s="68"/>
      <c r="AY125" s="68"/>
      <c r="AZ125" s="68"/>
      <c r="BE125" s="55"/>
      <c r="BF125" s="55"/>
      <c r="BG125" s="55"/>
      <c r="BH125" s="55"/>
      <c r="BI125" s="55"/>
      <c r="BJ125" s="55"/>
    </row>
    <row r="126" spans="38:62" x14ac:dyDescent="0.25">
      <c r="AL126" s="225" t="s">
        <v>3047</v>
      </c>
      <c r="AM126" s="391">
        <v>42125</v>
      </c>
      <c r="AN126" s="409">
        <v>1701.6</v>
      </c>
      <c r="AO126" s="365">
        <v>-770.36460000000011</v>
      </c>
      <c r="AP126" s="367">
        <v>179</v>
      </c>
      <c r="AQ126" s="59">
        <v>42125</v>
      </c>
      <c r="AR126" s="180">
        <v>1701.6</v>
      </c>
      <c r="AS126" s="61">
        <f t="shared" si="20"/>
        <v>1</v>
      </c>
      <c r="AT126" s="185">
        <f t="shared" si="19"/>
        <v>18</v>
      </c>
      <c r="AU126" s="68"/>
      <c r="AV126" s="68"/>
      <c r="AW126" s="68"/>
      <c r="AX126" s="68"/>
      <c r="AY126" s="68"/>
      <c r="AZ126" s="68"/>
      <c r="BE126" s="55"/>
      <c r="BF126" s="55"/>
      <c r="BG126" s="55"/>
      <c r="BH126" s="55"/>
      <c r="BI126" s="55"/>
      <c r="BJ126" s="55"/>
    </row>
    <row r="127" spans="38:62" x14ac:dyDescent="0.25">
      <c r="AL127" s="222"/>
      <c r="AM127" s="392">
        <v>42126</v>
      </c>
      <c r="AN127" s="348">
        <v>12530.77</v>
      </c>
      <c r="AO127" s="146">
        <v>988.12239999999997</v>
      </c>
      <c r="AP127" s="147">
        <v>226</v>
      </c>
      <c r="AQ127" s="59">
        <v>42126</v>
      </c>
      <c r="AR127" s="180">
        <v>12530.77</v>
      </c>
      <c r="AS127" s="61">
        <f t="shared" si="20"/>
        <v>1</v>
      </c>
      <c r="AT127" s="185">
        <f t="shared" si="19"/>
        <v>18</v>
      </c>
      <c r="AU127" s="68"/>
      <c r="AV127" s="68"/>
      <c r="AW127" s="68"/>
      <c r="AX127" s="68"/>
      <c r="AY127" s="68"/>
      <c r="AZ127" s="68"/>
      <c r="BE127" s="55"/>
      <c r="BF127" s="55"/>
      <c r="BG127" s="55"/>
      <c r="BH127" s="55"/>
      <c r="BI127" s="55"/>
      <c r="BJ127" s="55"/>
    </row>
    <row r="128" spans="38:62" x14ac:dyDescent="0.25">
      <c r="AL128" s="222"/>
      <c r="AM128" s="392">
        <v>42127</v>
      </c>
      <c r="AN128" s="348">
        <v>21562.16</v>
      </c>
      <c r="AO128" s="146">
        <v>2647.8308999999995</v>
      </c>
      <c r="AP128" s="147">
        <v>374</v>
      </c>
      <c r="AQ128" s="59">
        <v>42127</v>
      </c>
      <c r="AR128" s="180">
        <v>21562.16</v>
      </c>
      <c r="AS128" s="61">
        <f t="shared" si="20"/>
        <v>1</v>
      </c>
      <c r="AT128" s="185">
        <f t="shared" si="19"/>
        <v>19</v>
      </c>
      <c r="AU128" s="68"/>
      <c r="AV128" s="68"/>
      <c r="AW128" s="68"/>
      <c r="AX128" s="68"/>
      <c r="AY128" s="68"/>
      <c r="AZ128" s="68"/>
      <c r="BE128" s="55"/>
      <c r="BF128" s="55"/>
      <c r="BG128" s="55"/>
      <c r="BH128" s="55"/>
      <c r="BI128" s="55"/>
      <c r="BJ128" s="55"/>
    </row>
    <row r="129" spans="38:62" x14ac:dyDescent="0.25">
      <c r="AL129" s="222"/>
      <c r="AM129" s="392">
        <v>42128</v>
      </c>
      <c r="AN129" s="348">
        <v>7375.22</v>
      </c>
      <c r="AO129" s="146">
        <v>3755.5654000000004</v>
      </c>
      <c r="AP129" s="147">
        <v>192</v>
      </c>
      <c r="AQ129" s="59">
        <v>42128</v>
      </c>
      <c r="AR129" s="180">
        <v>7375.22</v>
      </c>
      <c r="AS129" s="61">
        <f t="shared" si="20"/>
        <v>1</v>
      </c>
      <c r="AT129" s="185">
        <f t="shared" si="19"/>
        <v>19</v>
      </c>
      <c r="AU129" s="68"/>
      <c r="AV129" s="68"/>
      <c r="AW129" s="68"/>
      <c r="AX129" s="68"/>
      <c r="AY129" s="68"/>
      <c r="AZ129" s="68"/>
      <c r="BE129" s="55"/>
      <c r="BF129" s="55"/>
      <c r="BG129" s="55"/>
      <c r="BH129" s="55"/>
      <c r="BI129" s="55"/>
      <c r="BJ129" s="55"/>
    </row>
    <row r="130" spans="38:62" x14ac:dyDescent="0.25">
      <c r="AL130" s="222"/>
      <c r="AM130" s="392">
        <v>42129</v>
      </c>
      <c r="AN130" s="348">
        <v>25136.13</v>
      </c>
      <c r="AO130" s="146">
        <v>7753.8048999999992</v>
      </c>
      <c r="AP130" s="147">
        <v>236</v>
      </c>
      <c r="AQ130" s="59">
        <v>42129</v>
      </c>
      <c r="AR130" s="180">
        <v>25136.13</v>
      </c>
      <c r="AS130" s="61">
        <f t="shared" si="20"/>
        <v>1</v>
      </c>
      <c r="AT130" s="185">
        <f t="shared" si="19"/>
        <v>19</v>
      </c>
      <c r="AU130" s="68"/>
      <c r="AV130" s="68"/>
      <c r="AW130" s="68"/>
      <c r="AX130" s="68"/>
      <c r="AY130" s="68"/>
      <c r="AZ130" s="68"/>
      <c r="BE130" s="55"/>
      <c r="BF130" s="55"/>
      <c r="BG130" s="55"/>
      <c r="BH130" s="55"/>
      <c r="BI130" s="55"/>
      <c r="BJ130" s="55"/>
    </row>
    <row r="131" spans="38:62" x14ac:dyDescent="0.25">
      <c r="AL131" s="222"/>
      <c r="AM131" s="392">
        <v>42130</v>
      </c>
      <c r="AN131" s="348">
        <v>992.07</v>
      </c>
      <c r="AO131" s="146">
        <v>-640.10440000000006</v>
      </c>
      <c r="AP131" s="147">
        <v>39</v>
      </c>
      <c r="AQ131" s="59">
        <v>42130</v>
      </c>
      <c r="AR131" s="180">
        <v>992.07</v>
      </c>
      <c r="AS131" s="61">
        <f t="shared" si="20"/>
        <v>1</v>
      </c>
      <c r="AT131" s="185">
        <f t="shared" si="19"/>
        <v>19</v>
      </c>
      <c r="AU131" s="68"/>
      <c r="AV131" s="68"/>
      <c r="AW131" s="68"/>
      <c r="AX131" s="68"/>
      <c r="AY131" s="68"/>
      <c r="AZ131" s="68"/>
      <c r="BE131" s="55"/>
      <c r="BF131" s="55"/>
      <c r="BG131" s="55"/>
      <c r="BH131" s="55"/>
      <c r="BI131" s="55"/>
      <c r="BJ131" s="55"/>
    </row>
    <row r="132" spans="38:62" x14ac:dyDescent="0.25">
      <c r="AL132" s="222"/>
      <c r="AM132" s="392">
        <v>42131</v>
      </c>
      <c r="AN132" s="348">
        <v>3652.49</v>
      </c>
      <c r="AO132" s="146">
        <v>-934.82810000000006</v>
      </c>
      <c r="AP132" s="147">
        <v>102</v>
      </c>
      <c r="AQ132" s="59">
        <v>42131</v>
      </c>
      <c r="AR132" s="180">
        <v>3652.49</v>
      </c>
      <c r="AS132" s="61">
        <f t="shared" si="20"/>
        <v>1</v>
      </c>
      <c r="AT132" s="185">
        <f t="shared" si="19"/>
        <v>19</v>
      </c>
      <c r="AU132" s="68"/>
      <c r="AV132" s="68"/>
      <c r="AW132" s="68"/>
      <c r="AX132" s="68"/>
      <c r="AY132" s="68"/>
      <c r="AZ132" s="68"/>
      <c r="BE132" s="55"/>
      <c r="BF132" s="55"/>
      <c r="BG132" s="55"/>
      <c r="BH132" s="55"/>
      <c r="BI132" s="55"/>
      <c r="BJ132" s="55"/>
    </row>
    <row r="133" spans="38:62" x14ac:dyDescent="0.25">
      <c r="AL133" s="222"/>
      <c r="AM133" s="392">
        <v>42132</v>
      </c>
      <c r="AN133" s="348">
        <v>8591.7800000000007</v>
      </c>
      <c r="AO133" s="146">
        <v>1396.5057000000002</v>
      </c>
      <c r="AP133" s="147">
        <v>126</v>
      </c>
      <c r="AQ133" s="59">
        <v>42132</v>
      </c>
      <c r="AR133" s="180">
        <v>8591.7800000000007</v>
      </c>
      <c r="AS133" s="61">
        <f t="shared" si="20"/>
        <v>1</v>
      </c>
      <c r="AT133" s="185">
        <f t="shared" si="19"/>
        <v>19</v>
      </c>
      <c r="AU133" s="68"/>
      <c r="AV133" s="68"/>
      <c r="AW133" s="68"/>
      <c r="AX133" s="68"/>
      <c r="AY133" s="68"/>
      <c r="AZ133" s="68"/>
      <c r="BE133" s="55"/>
      <c r="BF133" s="55"/>
      <c r="BG133" s="55"/>
      <c r="BH133" s="55"/>
      <c r="BI133" s="55"/>
      <c r="BJ133" s="55"/>
    </row>
    <row r="134" spans="38:62" x14ac:dyDescent="0.25">
      <c r="AL134" s="222"/>
      <c r="AM134" s="392">
        <v>42133</v>
      </c>
      <c r="AN134" s="348">
        <v>909.09</v>
      </c>
      <c r="AO134" s="146">
        <v>-384.05230000000006</v>
      </c>
      <c r="AP134" s="147">
        <v>77</v>
      </c>
      <c r="AQ134" s="59">
        <v>42133</v>
      </c>
      <c r="AR134" s="180">
        <v>909.09</v>
      </c>
      <c r="AS134" s="61">
        <f t="shared" si="20"/>
        <v>1</v>
      </c>
      <c r="AT134" s="185">
        <f t="shared" si="19"/>
        <v>19</v>
      </c>
      <c r="AU134" s="68"/>
      <c r="AV134" s="68"/>
      <c r="AW134" s="68"/>
      <c r="AX134" s="68"/>
      <c r="AY134" s="68"/>
      <c r="AZ134" s="68"/>
      <c r="BE134" s="55"/>
      <c r="BF134" s="55"/>
      <c r="BG134" s="55"/>
      <c r="BH134" s="55"/>
      <c r="BI134" s="55"/>
      <c r="BJ134" s="55"/>
    </row>
    <row r="135" spans="38:62" x14ac:dyDescent="0.25">
      <c r="AL135" s="222"/>
      <c r="AM135" s="392">
        <v>42134</v>
      </c>
      <c r="AN135" s="348">
        <v>4957.99</v>
      </c>
      <c r="AO135" s="146">
        <v>680.46446000000014</v>
      </c>
      <c r="AP135" s="147">
        <v>121</v>
      </c>
      <c r="AQ135" s="59">
        <v>42134</v>
      </c>
      <c r="AR135" s="180">
        <v>4957.99</v>
      </c>
      <c r="AS135" s="61">
        <f t="shared" si="20"/>
        <v>1</v>
      </c>
      <c r="AT135" s="185">
        <f t="shared" si="19"/>
        <v>20</v>
      </c>
      <c r="AU135" s="68"/>
      <c r="AV135" s="68"/>
      <c r="AW135" s="68"/>
      <c r="AX135" s="68"/>
      <c r="AY135" s="68"/>
      <c r="AZ135" s="68"/>
      <c r="BE135" s="55"/>
      <c r="BF135" s="55"/>
      <c r="BG135" s="55"/>
      <c r="BH135" s="55"/>
      <c r="BI135" s="55"/>
      <c r="BJ135" s="55"/>
    </row>
    <row r="136" spans="38:62" x14ac:dyDescent="0.25">
      <c r="AL136" s="222"/>
      <c r="AM136" s="392">
        <v>42135</v>
      </c>
      <c r="AN136" s="348">
        <v>10693.7</v>
      </c>
      <c r="AO136" s="146">
        <v>4763.5048999999999</v>
      </c>
      <c r="AP136" s="147">
        <v>110</v>
      </c>
      <c r="AQ136" s="59">
        <v>42135</v>
      </c>
      <c r="AR136" s="180">
        <v>10693.7</v>
      </c>
      <c r="AS136" s="61">
        <f t="shared" si="20"/>
        <v>1</v>
      </c>
      <c r="AT136" s="185">
        <f t="shared" ref="AT136:AT185" si="21">WEEKNUM(AQ136)</f>
        <v>20</v>
      </c>
      <c r="AU136" s="68"/>
      <c r="AV136" s="68"/>
      <c r="AW136" s="68"/>
      <c r="AX136" s="68"/>
      <c r="AY136" s="68"/>
      <c r="AZ136" s="68"/>
      <c r="BE136" s="55"/>
      <c r="BF136" s="55"/>
      <c r="BG136" s="55"/>
      <c r="BH136" s="55"/>
      <c r="BI136" s="55"/>
      <c r="BJ136" s="55"/>
    </row>
    <row r="137" spans="38:62" x14ac:dyDescent="0.25">
      <c r="AL137" s="222"/>
      <c r="AM137" s="392">
        <v>42136</v>
      </c>
      <c r="AN137" s="348">
        <v>6177.17</v>
      </c>
      <c r="AO137" s="146">
        <v>-787.51750000000004</v>
      </c>
      <c r="AP137" s="147">
        <v>64</v>
      </c>
      <c r="AQ137" s="59">
        <v>42136</v>
      </c>
      <c r="AR137" s="180">
        <v>6177.17</v>
      </c>
      <c r="AS137" s="61">
        <f t="shared" si="20"/>
        <v>1</v>
      </c>
      <c r="AT137" s="185">
        <f t="shared" si="21"/>
        <v>20</v>
      </c>
      <c r="AU137" s="68"/>
      <c r="AV137" s="68"/>
      <c r="AW137" s="68"/>
      <c r="AX137" s="68"/>
      <c r="AY137" s="68"/>
      <c r="AZ137" s="68"/>
      <c r="BE137" s="55"/>
      <c r="BF137" s="55"/>
      <c r="BG137" s="55"/>
      <c r="BH137" s="55"/>
      <c r="BI137" s="55"/>
      <c r="BJ137" s="55"/>
    </row>
    <row r="138" spans="38:62" x14ac:dyDescent="0.25">
      <c r="AL138" s="222"/>
      <c r="AM138" s="392">
        <v>42137</v>
      </c>
      <c r="AN138" s="348">
        <v>2629.94</v>
      </c>
      <c r="AO138" s="146">
        <v>700.7734999999999</v>
      </c>
      <c r="AP138" s="147">
        <v>85</v>
      </c>
      <c r="AQ138" s="59">
        <v>42137</v>
      </c>
      <c r="AR138" s="180">
        <v>2629.94</v>
      </c>
      <c r="AS138" s="61">
        <f t="shared" ref="AS138:AS185" si="22">IF(AR138=0,0,1)</f>
        <v>1</v>
      </c>
      <c r="AT138" s="185">
        <f t="shared" si="21"/>
        <v>20</v>
      </c>
      <c r="AU138" s="68"/>
      <c r="AV138" s="68"/>
      <c r="AW138" s="68"/>
      <c r="AX138" s="68"/>
      <c r="AY138" s="68"/>
      <c r="AZ138" s="68"/>
      <c r="BE138" s="55"/>
      <c r="BF138" s="55"/>
      <c r="BG138" s="55"/>
      <c r="BH138" s="55"/>
      <c r="BI138" s="55"/>
      <c r="BJ138" s="55"/>
    </row>
    <row r="139" spans="38:62" x14ac:dyDescent="0.25">
      <c r="AL139" s="222"/>
      <c r="AM139" s="392">
        <v>42138</v>
      </c>
      <c r="AN139" s="348">
        <v>7935.95</v>
      </c>
      <c r="AO139" s="146">
        <v>744.44989999999984</v>
      </c>
      <c r="AP139" s="147">
        <v>172</v>
      </c>
      <c r="AQ139" s="59">
        <v>42138</v>
      </c>
      <c r="AR139" s="180">
        <v>7935.95</v>
      </c>
      <c r="AS139" s="61">
        <f t="shared" si="22"/>
        <v>1</v>
      </c>
      <c r="AT139" s="185">
        <f t="shared" si="21"/>
        <v>20</v>
      </c>
      <c r="AU139" s="68"/>
      <c r="AV139" s="68"/>
      <c r="AW139" s="68"/>
      <c r="AX139" s="68"/>
      <c r="AY139" s="68"/>
      <c r="AZ139" s="68"/>
      <c r="BE139" s="55"/>
      <c r="BF139" s="55"/>
      <c r="BG139" s="55"/>
      <c r="BH139" s="55"/>
      <c r="BI139" s="55"/>
      <c r="BJ139" s="55"/>
    </row>
    <row r="140" spans="38:62" x14ac:dyDescent="0.25">
      <c r="AL140" s="222"/>
      <c r="AM140" s="392">
        <v>42139</v>
      </c>
      <c r="AN140" s="348">
        <v>6688.99</v>
      </c>
      <c r="AO140" s="146">
        <v>2094.3651999999997</v>
      </c>
      <c r="AP140" s="147">
        <v>252</v>
      </c>
      <c r="AQ140" s="59">
        <v>42139</v>
      </c>
      <c r="AR140" s="180">
        <v>6688.99</v>
      </c>
      <c r="AS140" s="61">
        <f t="shared" si="22"/>
        <v>1</v>
      </c>
      <c r="AT140" s="185">
        <f t="shared" si="21"/>
        <v>20</v>
      </c>
      <c r="AU140" s="68"/>
      <c r="AV140" s="68"/>
      <c r="AW140" s="68"/>
      <c r="AX140" s="68"/>
      <c r="AY140" s="68"/>
      <c r="AZ140" s="68"/>
      <c r="BE140" s="55"/>
      <c r="BF140" s="55"/>
      <c r="BG140" s="55"/>
      <c r="BH140" s="55"/>
      <c r="BI140" s="55"/>
      <c r="BJ140" s="55"/>
    </row>
    <row r="141" spans="38:62" x14ac:dyDescent="0.25">
      <c r="AL141" s="222"/>
      <c r="AM141" s="392">
        <v>42140</v>
      </c>
      <c r="AN141" s="348">
        <v>10835.31</v>
      </c>
      <c r="AO141" s="146">
        <v>2517.1757000000002</v>
      </c>
      <c r="AP141" s="147">
        <v>354</v>
      </c>
      <c r="AQ141" s="59">
        <v>42140</v>
      </c>
      <c r="AR141" s="180">
        <v>10835.31</v>
      </c>
      <c r="AS141" s="61">
        <f t="shared" si="22"/>
        <v>1</v>
      </c>
      <c r="AT141" s="185">
        <f t="shared" si="21"/>
        <v>20</v>
      </c>
      <c r="AU141" s="68"/>
      <c r="AV141" s="68"/>
      <c r="AW141" s="68"/>
      <c r="AX141" s="68"/>
      <c r="AY141" s="68"/>
      <c r="AZ141" s="68"/>
      <c r="BE141" s="55"/>
      <c r="BF141" s="55"/>
      <c r="BG141" s="55"/>
      <c r="BH141" s="55"/>
      <c r="BI141" s="55"/>
      <c r="BJ141" s="55"/>
    </row>
    <row r="142" spans="38:62" x14ac:dyDescent="0.25">
      <c r="AL142" s="222"/>
      <c r="AM142" s="392">
        <v>42141</v>
      </c>
      <c r="AN142" s="348">
        <v>7930.9</v>
      </c>
      <c r="AO142" s="146">
        <v>4618.9149999999991</v>
      </c>
      <c r="AP142" s="147">
        <v>188</v>
      </c>
      <c r="AQ142" s="59">
        <v>42141</v>
      </c>
      <c r="AR142" s="180">
        <v>7930.9</v>
      </c>
      <c r="AS142" s="61">
        <f t="shared" si="22"/>
        <v>1</v>
      </c>
      <c r="AT142" s="185">
        <f t="shared" si="21"/>
        <v>21</v>
      </c>
      <c r="AU142" s="68"/>
      <c r="AV142" s="68"/>
      <c r="AW142" s="68"/>
      <c r="AX142" s="68"/>
      <c r="AY142" s="68"/>
      <c r="AZ142" s="68"/>
      <c r="BE142" s="55"/>
      <c r="BF142" s="55"/>
      <c r="BG142" s="55"/>
      <c r="BH142" s="55"/>
      <c r="BI142" s="55"/>
      <c r="BJ142" s="55"/>
    </row>
    <row r="143" spans="38:62" x14ac:dyDescent="0.25">
      <c r="AL143" s="222"/>
      <c r="AM143" s="392">
        <v>42142</v>
      </c>
      <c r="AN143" s="348">
        <v>1916.8</v>
      </c>
      <c r="AO143" s="146">
        <v>818.43549999999993</v>
      </c>
      <c r="AP143" s="147">
        <v>76</v>
      </c>
      <c r="AQ143" s="59">
        <v>42142</v>
      </c>
      <c r="AR143" s="180">
        <v>1916.8</v>
      </c>
      <c r="AS143" s="61">
        <f t="shared" si="22"/>
        <v>1</v>
      </c>
      <c r="AT143" s="185">
        <f t="shared" si="21"/>
        <v>21</v>
      </c>
      <c r="AU143" s="68"/>
      <c r="AV143" s="68"/>
      <c r="AW143" s="68"/>
      <c r="AX143" s="68"/>
      <c r="AY143" s="68"/>
      <c r="AZ143" s="68"/>
      <c r="BE143" s="55"/>
      <c r="BF143" s="55"/>
      <c r="BG143" s="55"/>
      <c r="BH143" s="55"/>
      <c r="BI143" s="55"/>
      <c r="BJ143" s="55"/>
    </row>
    <row r="144" spans="38:62" x14ac:dyDescent="0.25">
      <c r="AL144" s="222"/>
      <c r="AM144" s="392">
        <v>42143</v>
      </c>
      <c r="AN144" s="348">
        <v>7445.03</v>
      </c>
      <c r="AO144" s="146">
        <v>1442.5620000000001</v>
      </c>
      <c r="AP144" s="147">
        <v>64</v>
      </c>
      <c r="AQ144" s="59">
        <v>42143</v>
      </c>
      <c r="AR144" s="180">
        <v>7445.03</v>
      </c>
      <c r="AS144" s="61">
        <f t="shared" si="22"/>
        <v>1</v>
      </c>
      <c r="AT144" s="185">
        <f t="shared" si="21"/>
        <v>21</v>
      </c>
      <c r="AU144" s="68"/>
      <c r="AV144" s="68"/>
      <c r="AW144" s="68"/>
      <c r="AX144" s="68"/>
      <c r="AY144" s="68"/>
      <c r="AZ144" s="68"/>
      <c r="BE144" s="55"/>
      <c r="BF144" s="55"/>
      <c r="BG144" s="55"/>
      <c r="BH144" s="55"/>
      <c r="BI144" s="55"/>
      <c r="BJ144" s="55"/>
    </row>
    <row r="145" spans="38:62" x14ac:dyDescent="0.25">
      <c r="AL145" s="222"/>
      <c r="AM145" s="392">
        <v>42144</v>
      </c>
      <c r="AN145" s="348">
        <v>24061.33</v>
      </c>
      <c r="AO145" s="146">
        <v>4955.3722353999992</v>
      </c>
      <c r="AP145" s="147">
        <v>442</v>
      </c>
      <c r="AQ145" s="59">
        <v>42144</v>
      </c>
      <c r="AR145" s="180">
        <v>24061.33</v>
      </c>
      <c r="AS145" s="61">
        <f t="shared" si="22"/>
        <v>1</v>
      </c>
      <c r="AT145" s="185">
        <f t="shared" si="21"/>
        <v>21</v>
      </c>
      <c r="AU145" s="68"/>
      <c r="AV145" s="68"/>
      <c r="AW145" s="68"/>
      <c r="AX145" s="68"/>
      <c r="AY145" s="68"/>
      <c r="AZ145" s="68"/>
      <c r="BE145" s="55"/>
      <c r="BF145" s="55"/>
      <c r="BG145" s="55"/>
      <c r="BH145" s="55"/>
      <c r="BI145" s="55"/>
      <c r="BJ145" s="55"/>
    </row>
    <row r="146" spans="38:62" x14ac:dyDescent="0.25">
      <c r="AL146" s="222"/>
      <c r="AM146" s="392">
        <v>42145</v>
      </c>
      <c r="AN146" s="348">
        <v>6585.4</v>
      </c>
      <c r="AO146" s="146">
        <v>818.88679999999988</v>
      </c>
      <c r="AP146" s="147">
        <v>391</v>
      </c>
      <c r="AQ146" s="59">
        <v>42145</v>
      </c>
      <c r="AR146" s="180">
        <v>6585.4</v>
      </c>
      <c r="AS146" s="61">
        <f t="shared" si="22"/>
        <v>1</v>
      </c>
      <c r="AT146" s="185">
        <f t="shared" si="21"/>
        <v>21</v>
      </c>
      <c r="AU146" s="68"/>
      <c r="AV146" s="68"/>
      <c r="AW146" s="68"/>
      <c r="AX146" s="68"/>
      <c r="AY146" s="68"/>
      <c r="AZ146" s="68"/>
      <c r="BE146" s="55"/>
      <c r="BF146" s="55"/>
      <c r="BG146" s="55"/>
      <c r="BH146" s="55"/>
      <c r="BI146" s="55"/>
      <c r="BJ146" s="55"/>
    </row>
    <row r="147" spans="38:62" x14ac:dyDescent="0.25">
      <c r="AL147" s="222"/>
      <c r="AM147" s="392">
        <v>42146</v>
      </c>
      <c r="AN147" s="348">
        <v>13664.44</v>
      </c>
      <c r="AO147" s="146">
        <v>2413.3752999999997</v>
      </c>
      <c r="AP147" s="147">
        <v>312</v>
      </c>
      <c r="AQ147" s="59">
        <v>42146</v>
      </c>
      <c r="AR147" s="180">
        <v>13664.44</v>
      </c>
      <c r="AS147" s="61">
        <f t="shared" si="22"/>
        <v>1</v>
      </c>
      <c r="AT147" s="185">
        <f t="shared" si="21"/>
        <v>21</v>
      </c>
      <c r="AU147" s="68"/>
      <c r="AV147" s="68"/>
      <c r="AW147" s="68"/>
      <c r="AX147" s="68"/>
      <c r="AY147" s="68"/>
      <c r="AZ147" s="68"/>
      <c r="BE147" s="55"/>
      <c r="BF147" s="55"/>
      <c r="BG147" s="55"/>
      <c r="BH147" s="55"/>
      <c r="BI147" s="55"/>
      <c r="BJ147" s="55"/>
    </row>
    <row r="148" spans="38:62" x14ac:dyDescent="0.25">
      <c r="AL148" s="222"/>
      <c r="AM148" s="392">
        <v>42147</v>
      </c>
      <c r="AN148" s="348">
        <v>20716.77</v>
      </c>
      <c r="AO148" s="146">
        <v>7920.5575999999992</v>
      </c>
      <c r="AP148" s="147">
        <v>295</v>
      </c>
      <c r="AQ148" s="59">
        <v>42147</v>
      </c>
      <c r="AR148" s="180">
        <v>20716.77</v>
      </c>
      <c r="AS148" s="61">
        <f t="shared" si="22"/>
        <v>1</v>
      </c>
      <c r="AT148" s="185">
        <f t="shared" si="21"/>
        <v>21</v>
      </c>
      <c r="AU148" s="68"/>
      <c r="AV148" s="68"/>
      <c r="AW148" s="68"/>
      <c r="AX148" s="68"/>
      <c r="AY148" s="68"/>
      <c r="AZ148" s="68"/>
      <c r="BE148" s="55"/>
      <c r="BF148" s="55"/>
      <c r="BG148" s="55"/>
      <c r="BH148" s="55"/>
      <c r="BI148" s="55"/>
      <c r="BJ148" s="55"/>
    </row>
    <row r="149" spans="38:62" x14ac:dyDescent="0.25">
      <c r="AL149" s="222"/>
      <c r="AM149" s="392">
        <v>42148</v>
      </c>
      <c r="AN149" s="348">
        <v>11562.93</v>
      </c>
      <c r="AO149" s="146">
        <v>2504.8658629999991</v>
      </c>
      <c r="AP149" s="147">
        <v>166</v>
      </c>
      <c r="AQ149" s="59">
        <v>42148</v>
      </c>
      <c r="AR149" s="180">
        <v>11562.93</v>
      </c>
      <c r="AS149" s="61">
        <f t="shared" si="22"/>
        <v>1</v>
      </c>
      <c r="AT149" s="185">
        <f t="shared" si="21"/>
        <v>22</v>
      </c>
      <c r="AU149" s="68"/>
      <c r="AV149" s="68"/>
      <c r="AW149" s="68"/>
      <c r="AX149" s="68"/>
      <c r="AY149" s="68"/>
      <c r="AZ149" s="68"/>
      <c r="BE149" s="55"/>
      <c r="BF149" s="55"/>
      <c r="BG149" s="55"/>
      <c r="BH149" s="55"/>
      <c r="BI149" s="55"/>
      <c r="BJ149" s="55"/>
    </row>
    <row r="150" spans="38:62" x14ac:dyDescent="0.25">
      <c r="AL150" s="222"/>
      <c r="AM150" s="392">
        <v>42149</v>
      </c>
      <c r="AN150" s="348">
        <v>12568.22</v>
      </c>
      <c r="AO150" s="146">
        <v>5923.3522999999977</v>
      </c>
      <c r="AP150" s="147">
        <v>224</v>
      </c>
      <c r="AQ150" s="59">
        <v>42149</v>
      </c>
      <c r="AR150" s="180">
        <v>12568.22</v>
      </c>
      <c r="AS150" s="61">
        <f t="shared" si="22"/>
        <v>1</v>
      </c>
      <c r="AT150" s="185">
        <f t="shared" si="21"/>
        <v>22</v>
      </c>
      <c r="AU150" s="68"/>
      <c r="AV150" s="68"/>
      <c r="AW150" s="68"/>
      <c r="AX150" s="68"/>
      <c r="AY150" s="68"/>
      <c r="AZ150" s="68"/>
      <c r="BE150" s="55"/>
      <c r="BF150" s="55"/>
      <c r="BG150" s="55"/>
      <c r="BH150" s="55"/>
      <c r="BI150" s="55"/>
      <c r="BJ150" s="55"/>
    </row>
    <row r="151" spans="38:62" x14ac:dyDescent="0.25">
      <c r="AL151" s="222"/>
      <c r="AM151" s="392">
        <v>42150</v>
      </c>
      <c r="AN151" s="348">
        <v>3439.78</v>
      </c>
      <c r="AO151" s="146">
        <v>967.03590000000008</v>
      </c>
      <c r="AP151" s="147">
        <v>126</v>
      </c>
      <c r="AQ151" s="59">
        <v>42150</v>
      </c>
      <c r="AR151" s="180">
        <v>3439.78</v>
      </c>
      <c r="AS151" s="61">
        <f t="shared" si="22"/>
        <v>1</v>
      </c>
      <c r="AT151" s="185">
        <f t="shared" si="21"/>
        <v>22</v>
      </c>
      <c r="AU151" s="68"/>
      <c r="AV151" s="68"/>
      <c r="AW151" s="68"/>
      <c r="AX151" s="68"/>
      <c r="AY151" s="68"/>
      <c r="AZ151" s="68"/>
      <c r="BE151" s="55"/>
      <c r="BF151" s="55"/>
      <c r="BG151" s="55"/>
      <c r="BH151" s="55"/>
      <c r="BI151" s="55"/>
      <c r="BJ151" s="55"/>
    </row>
    <row r="152" spans="38:62" x14ac:dyDescent="0.25">
      <c r="AL152" s="222"/>
      <c r="AM152" s="392">
        <v>42151</v>
      </c>
      <c r="AN152" s="348">
        <v>1071.55</v>
      </c>
      <c r="AO152" s="146">
        <v>103.14739999999998</v>
      </c>
      <c r="AP152" s="147">
        <v>55</v>
      </c>
      <c r="AQ152" s="59">
        <v>42151</v>
      </c>
      <c r="AR152" s="180">
        <v>1071.55</v>
      </c>
      <c r="AS152" s="61">
        <f t="shared" si="22"/>
        <v>1</v>
      </c>
      <c r="AT152" s="185">
        <f t="shared" si="21"/>
        <v>22</v>
      </c>
      <c r="AU152" s="68"/>
      <c r="AV152" s="68"/>
      <c r="AW152" s="68"/>
      <c r="AX152" s="68"/>
      <c r="AY152" s="68"/>
      <c r="AZ152" s="68"/>
      <c r="BE152" s="55"/>
      <c r="BF152" s="55"/>
      <c r="BG152" s="55"/>
      <c r="BH152" s="55"/>
      <c r="BI152" s="55"/>
      <c r="BJ152" s="55"/>
    </row>
    <row r="153" spans="38:62" x14ac:dyDescent="0.25">
      <c r="AL153" s="222"/>
      <c r="AM153" s="392">
        <v>42152</v>
      </c>
      <c r="AN153" s="348">
        <v>5378.71</v>
      </c>
      <c r="AO153" s="146">
        <v>782.6089999999997</v>
      </c>
      <c r="AP153" s="147">
        <v>166</v>
      </c>
      <c r="AQ153" s="59">
        <v>42152</v>
      </c>
      <c r="AR153" s="180">
        <v>5378.71</v>
      </c>
      <c r="AS153" s="61">
        <f t="shared" si="22"/>
        <v>1</v>
      </c>
      <c r="AT153" s="185">
        <f t="shared" si="21"/>
        <v>22</v>
      </c>
      <c r="AU153" s="68"/>
      <c r="AV153" s="68"/>
      <c r="AW153" s="68"/>
      <c r="AX153" s="68"/>
      <c r="AY153" s="68"/>
      <c r="AZ153" s="68"/>
      <c r="BE153" s="55"/>
      <c r="BF153" s="55"/>
      <c r="BG153" s="55"/>
      <c r="BH153" s="55"/>
      <c r="BI153" s="55"/>
      <c r="BJ153" s="55"/>
    </row>
    <row r="154" spans="38:62" x14ac:dyDescent="0.25">
      <c r="AL154" s="222"/>
      <c r="AM154" s="392">
        <v>42153</v>
      </c>
      <c r="AN154" s="348">
        <v>36735.800000000003</v>
      </c>
      <c r="AO154" s="146">
        <v>764.35759999999982</v>
      </c>
      <c r="AP154" s="147">
        <v>403</v>
      </c>
      <c r="AQ154" s="59">
        <v>42153</v>
      </c>
      <c r="AR154" s="180">
        <v>36735.800000000003</v>
      </c>
      <c r="AS154" s="61">
        <f t="shared" si="22"/>
        <v>1</v>
      </c>
      <c r="AT154" s="185">
        <f t="shared" si="21"/>
        <v>22</v>
      </c>
      <c r="AU154" s="68"/>
      <c r="AV154" s="68"/>
      <c r="AW154" s="68"/>
      <c r="AX154" s="68"/>
      <c r="AY154" s="68"/>
      <c r="AZ154" s="68"/>
      <c r="BE154" s="55"/>
      <c r="BF154" s="55"/>
      <c r="BG154" s="55"/>
      <c r="BH154" s="55"/>
      <c r="BI154" s="55"/>
      <c r="BJ154" s="55"/>
    </row>
    <row r="155" spans="38:62" ht="15.75" thickBot="1" x14ac:dyDescent="0.3">
      <c r="AL155" s="222"/>
      <c r="AM155" s="393">
        <v>42154</v>
      </c>
      <c r="AN155" s="348">
        <v>4782.83</v>
      </c>
      <c r="AO155" s="146">
        <v>2467.7805999999996</v>
      </c>
      <c r="AP155" s="147">
        <v>138</v>
      </c>
      <c r="AQ155" s="59">
        <v>42154</v>
      </c>
      <c r="AR155" s="180">
        <v>4782.83</v>
      </c>
      <c r="AS155" s="61">
        <f t="shared" si="22"/>
        <v>1</v>
      </c>
      <c r="AT155" s="185">
        <f t="shared" si="21"/>
        <v>22</v>
      </c>
      <c r="AU155" s="68"/>
      <c r="AV155" s="68"/>
      <c r="AW155" s="68"/>
      <c r="AX155" s="68"/>
      <c r="AY155" s="68"/>
      <c r="AZ155" s="68"/>
      <c r="BE155" s="55"/>
      <c r="BF155" s="55"/>
      <c r="BG155" s="55"/>
      <c r="BH155" s="55"/>
      <c r="BI155" s="55"/>
      <c r="BJ155" s="55"/>
    </row>
    <row r="156" spans="38:62" x14ac:dyDescent="0.25">
      <c r="AL156" s="225" t="s">
        <v>3048</v>
      </c>
      <c r="AM156" s="391">
        <v>42156</v>
      </c>
      <c r="AN156" s="409">
        <v>6929.82</v>
      </c>
      <c r="AO156" s="365">
        <v>-2598.6374000000005</v>
      </c>
      <c r="AP156" s="367">
        <v>160</v>
      </c>
      <c r="AQ156" s="59">
        <v>42156</v>
      </c>
      <c r="AR156" s="180">
        <v>6929.82</v>
      </c>
      <c r="AS156" s="61">
        <f t="shared" si="22"/>
        <v>1</v>
      </c>
      <c r="AT156" s="185">
        <f t="shared" si="21"/>
        <v>23</v>
      </c>
      <c r="AU156" s="68"/>
      <c r="AV156" s="68"/>
      <c r="AW156" s="68"/>
      <c r="AX156" s="68"/>
      <c r="AY156" s="68"/>
      <c r="AZ156" s="68"/>
      <c r="BE156" s="55"/>
      <c r="BF156" s="55"/>
      <c r="BG156" s="55"/>
      <c r="BH156" s="55"/>
      <c r="BI156" s="55"/>
      <c r="BJ156" s="55"/>
    </row>
    <row r="157" spans="38:62" x14ac:dyDescent="0.25">
      <c r="AL157" s="222"/>
      <c r="AM157" s="392">
        <v>42157</v>
      </c>
      <c r="AN157" s="348">
        <v>4790.6899999999996</v>
      </c>
      <c r="AO157" s="146">
        <v>764.93802000000017</v>
      </c>
      <c r="AP157" s="147">
        <v>124</v>
      </c>
      <c r="AQ157" s="59">
        <v>42157</v>
      </c>
      <c r="AR157" s="180">
        <v>4790.6899999999996</v>
      </c>
      <c r="AS157" s="61">
        <f t="shared" si="22"/>
        <v>1</v>
      </c>
      <c r="AT157" s="185">
        <f t="shared" si="21"/>
        <v>23</v>
      </c>
      <c r="AU157" s="68"/>
      <c r="AV157" s="68"/>
      <c r="AW157" s="68"/>
      <c r="AX157" s="68"/>
      <c r="AY157" s="68"/>
      <c r="AZ157" s="68"/>
      <c r="BE157" s="55"/>
      <c r="BF157" s="55"/>
      <c r="BG157" s="55"/>
      <c r="BH157" s="55"/>
      <c r="BI157" s="55"/>
      <c r="BJ157" s="55"/>
    </row>
    <row r="158" spans="38:62" x14ac:dyDescent="0.25">
      <c r="AL158" s="222"/>
      <c r="AM158" s="392">
        <v>42158</v>
      </c>
      <c r="AN158" s="348">
        <v>10096.129999999999</v>
      </c>
      <c r="AO158" s="146">
        <v>2179.1922000000004</v>
      </c>
      <c r="AP158" s="147">
        <v>101</v>
      </c>
      <c r="AQ158" s="59">
        <v>42158</v>
      </c>
      <c r="AR158" s="180">
        <v>10096.129999999999</v>
      </c>
      <c r="AS158" s="61">
        <f t="shared" si="22"/>
        <v>1</v>
      </c>
      <c r="AT158" s="185">
        <f t="shared" si="21"/>
        <v>23</v>
      </c>
      <c r="AU158" s="68"/>
      <c r="AV158" s="68"/>
      <c r="AW158" s="68"/>
      <c r="AX158" s="68"/>
      <c r="AY158" s="68"/>
      <c r="AZ158" s="68"/>
      <c r="BE158" s="55"/>
      <c r="BF158" s="55"/>
      <c r="BG158" s="55"/>
      <c r="BH158" s="55"/>
      <c r="BI158" s="55"/>
      <c r="BJ158" s="55"/>
    </row>
    <row r="159" spans="38:62" x14ac:dyDescent="0.25">
      <c r="AL159" s="222"/>
      <c r="AM159" s="392">
        <v>42159</v>
      </c>
      <c r="AN159" s="348">
        <v>4178.57</v>
      </c>
      <c r="AO159" s="146">
        <v>-2047.4392</v>
      </c>
      <c r="AP159" s="147">
        <v>131</v>
      </c>
      <c r="AQ159" s="59">
        <v>42159</v>
      </c>
      <c r="AR159" s="180">
        <v>4178.57</v>
      </c>
      <c r="AS159" s="61">
        <f t="shared" si="22"/>
        <v>1</v>
      </c>
      <c r="AT159" s="185">
        <f t="shared" si="21"/>
        <v>23</v>
      </c>
      <c r="AU159" s="68"/>
      <c r="AV159" s="68"/>
      <c r="AW159" s="68"/>
      <c r="AX159" s="68"/>
      <c r="AY159" s="68"/>
      <c r="AZ159" s="68"/>
      <c r="BE159" s="55"/>
      <c r="BF159" s="55"/>
      <c r="BG159" s="55"/>
      <c r="BH159" s="55"/>
      <c r="BI159" s="55"/>
      <c r="BJ159" s="55"/>
    </row>
    <row r="160" spans="38:62" x14ac:dyDescent="0.25">
      <c r="AL160" s="222"/>
      <c r="AM160" s="392">
        <v>42160</v>
      </c>
      <c r="AN160" s="348">
        <v>30105.89</v>
      </c>
      <c r="AO160" s="146">
        <v>12962.235400000005</v>
      </c>
      <c r="AP160" s="147">
        <v>170</v>
      </c>
      <c r="AQ160" s="59">
        <v>42160</v>
      </c>
      <c r="AR160" s="180">
        <v>30105.89</v>
      </c>
      <c r="AS160" s="61">
        <f t="shared" si="22"/>
        <v>1</v>
      </c>
      <c r="AT160" s="185">
        <f t="shared" si="21"/>
        <v>23</v>
      </c>
      <c r="AU160" s="68"/>
      <c r="AV160" s="68"/>
      <c r="AW160" s="68"/>
      <c r="AX160" s="68"/>
      <c r="AY160" s="68"/>
      <c r="AZ160" s="68"/>
      <c r="BE160" s="55"/>
      <c r="BF160" s="55"/>
      <c r="BG160" s="55"/>
      <c r="BH160" s="55"/>
      <c r="BI160" s="55"/>
      <c r="BJ160" s="55"/>
    </row>
    <row r="161" spans="38:62" x14ac:dyDescent="0.25">
      <c r="AL161" s="222"/>
      <c r="AM161" s="392">
        <v>42161</v>
      </c>
      <c r="AN161" s="348">
        <v>23121.02</v>
      </c>
      <c r="AO161" s="146">
        <v>1944.0435000000002</v>
      </c>
      <c r="AP161" s="147">
        <v>378</v>
      </c>
      <c r="AQ161" s="59">
        <v>42161</v>
      </c>
      <c r="AR161" s="180">
        <v>23121.02</v>
      </c>
      <c r="AS161" s="61">
        <f t="shared" si="22"/>
        <v>1</v>
      </c>
      <c r="AT161" s="185">
        <f t="shared" si="21"/>
        <v>23</v>
      </c>
      <c r="AU161" s="68"/>
      <c r="AV161" s="68"/>
      <c r="AW161" s="68"/>
      <c r="AX161" s="68"/>
      <c r="AY161" s="68"/>
      <c r="AZ161" s="68"/>
      <c r="BE161" s="55"/>
      <c r="BF161" s="55"/>
      <c r="BG161" s="55"/>
      <c r="BH161" s="55"/>
      <c r="BI161" s="55"/>
      <c r="BJ161" s="55"/>
    </row>
    <row r="162" spans="38:62" x14ac:dyDescent="0.25">
      <c r="AL162" s="222"/>
      <c r="AM162" s="392">
        <v>42162</v>
      </c>
      <c r="AN162" s="348">
        <v>16260.81</v>
      </c>
      <c r="AO162" s="146">
        <v>5163.2090000000007</v>
      </c>
      <c r="AP162" s="147">
        <v>110</v>
      </c>
      <c r="AQ162" s="59">
        <v>42162</v>
      </c>
      <c r="AR162" s="180">
        <v>16260.81</v>
      </c>
      <c r="AS162" s="61">
        <f t="shared" si="22"/>
        <v>1</v>
      </c>
      <c r="AT162" s="185">
        <f t="shared" si="21"/>
        <v>24</v>
      </c>
      <c r="AU162" s="68"/>
      <c r="AV162" s="68"/>
      <c r="AW162" s="68"/>
      <c r="AX162" s="68"/>
      <c r="AY162" s="68"/>
      <c r="AZ162" s="68"/>
      <c r="BE162" s="55"/>
      <c r="BF162" s="55"/>
      <c r="BG162" s="55"/>
      <c r="BH162" s="55"/>
      <c r="BI162" s="55"/>
      <c r="BJ162" s="55"/>
    </row>
    <row r="163" spans="38:62" x14ac:dyDescent="0.25">
      <c r="AL163" s="222"/>
      <c r="AM163" s="392">
        <v>42163</v>
      </c>
      <c r="AN163" s="348">
        <v>5137.93</v>
      </c>
      <c r="AO163" s="146">
        <v>3545.1716999999999</v>
      </c>
      <c r="AP163" s="147">
        <v>33</v>
      </c>
      <c r="AQ163" s="59">
        <v>42163</v>
      </c>
      <c r="AR163" s="180">
        <v>5137.93</v>
      </c>
      <c r="AS163" s="61">
        <f t="shared" si="22"/>
        <v>1</v>
      </c>
      <c r="AT163" s="185">
        <f t="shared" si="21"/>
        <v>24</v>
      </c>
      <c r="AU163" s="68"/>
      <c r="AV163" s="68"/>
      <c r="AW163" s="68"/>
      <c r="AX163" s="68"/>
      <c r="AY163" s="68"/>
      <c r="AZ163" s="68"/>
      <c r="BE163" s="55"/>
      <c r="BF163" s="55"/>
      <c r="BG163" s="55"/>
      <c r="BH163" s="55"/>
      <c r="BI163" s="55"/>
      <c r="BJ163" s="55"/>
    </row>
    <row r="164" spans="38:62" x14ac:dyDescent="0.25">
      <c r="AL164" s="222"/>
      <c r="AM164" s="392">
        <v>42164</v>
      </c>
      <c r="AN164" s="348">
        <v>1229.07</v>
      </c>
      <c r="AO164" s="146">
        <v>-89.617950000000008</v>
      </c>
      <c r="AP164" s="147">
        <v>74</v>
      </c>
      <c r="AQ164" s="59">
        <v>42164</v>
      </c>
      <c r="AR164" s="180">
        <v>1229.07</v>
      </c>
      <c r="AS164" s="61">
        <f t="shared" si="22"/>
        <v>1</v>
      </c>
      <c r="AT164" s="185">
        <f t="shared" si="21"/>
        <v>24</v>
      </c>
      <c r="AU164" s="68"/>
      <c r="AV164" s="68"/>
      <c r="AW164" s="68"/>
      <c r="AX164" s="68"/>
      <c r="AY164" s="68"/>
      <c r="AZ164" s="68"/>
      <c r="BE164" s="55"/>
      <c r="BF164" s="55"/>
      <c r="BG164" s="55"/>
      <c r="BH164" s="55"/>
      <c r="BI164" s="55"/>
      <c r="BJ164" s="55"/>
    </row>
    <row r="165" spans="38:62" x14ac:dyDescent="0.25">
      <c r="AL165" s="222"/>
      <c r="AM165" s="392">
        <v>42165</v>
      </c>
      <c r="AN165" s="348">
        <v>1807.72</v>
      </c>
      <c r="AO165" s="146">
        <v>-136.99259999999998</v>
      </c>
      <c r="AP165" s="147">
        <v>86</v>
      </c>
      <c r="AQ165" s="59">
        <v>42165</v>
      </c>
      <c r="AR165" s="180">
        <v>1807.72</v>
      </c>
      <c r="AS165" s="61">
        <f t="shared" si="22"/>
        <v>1</v>
      </c>
      <c r="AT165" s="185">
        <f t="shared" si="21"/>
        <v>24</v>
      </c>
      <c r="AU165" s="68"/>
      <c r="AV165" s="68"/>
      <c r="AW165" s="68"/>
      <c r="AX165" s="68"/>
      <c r="AY165" s="68"/>
      <c r="AZ165" s="68"/>
      <c r="BE165" s="55"/>
      <c r="BF165" s="55"/>
      <c r="BG165" s="55"/>
      <c r="BH165" s="55"/>
      <c r="BI165" s="55"/>
      <c r="BJ165" s="55"/>
    </row>
    <row r="166" spans="38:62" x14ac:dyDescent="0.25">
      <c r="AL166" s="222"/>
      <c r="AM166" s="392">
        <v>42166</v>
      </c>
      <c r="AN166" s="348">
        <v>19228.73</v>
      </c>
      <c r="AO166" s="146">
        <v>2333.3247000000006</v>
      </c>
      <c r="AP166" s="147">
        <v>411</v>
      </c>
      <c r="AQ166" s="59">
        <v>42166</v>
      </c>
      <c r="AR166" s="180">
        <v>19228.73</v>
      </c>
      <c r="AS166" s="61">
        <f t="shared" si="22"/>
        <v>1</v>
      </c>
      <c r="AT166" s="185">
        <f t="shared" si="21"/>
        <v>24</v>
      </c>
      <c r="AU166" s="68"/>
      <c r="AV166" s="68"/>
      <c r="AW166" s="68"/>
      <c r="AX166" s="68"/>
      <c r="AY166" s="68"/>
      <c r="AZ166" s="68"/>
      <c r="BE166" s="55"/>
      <c r="BF166" s="55"/>
      <c r="BG166" s="55"/>
      <c r="BH166" s="55"/>
      <c r="BI166" s="55"/>
      <c r="BJ166" s="55"/>
    </row>
    <row r="167" spans="38:62" x14ac:dyDescent="0.25">
      <c r="AL167" s="222"/>
      <c r="AM167" s="392">
        <v>42167</v>
      </c>
      <c r="AN167" s="348">
        <v>26689.09</v>
      </c>
      <c r="AO167" s="146">
        <v>3430.2475400000003</v>
      </c>
      <c r="AP167" s="147">
        <v>224</v>
      </c>
      <c r="AQ167" s="59">
        <v>42167</v>
      </c>
      <c r="AR167" s="180">
        <v>26689.09</v>
      </c>
      <c r="AS167" s="61">
        <f t="shared" si="22"/>
        <v>1</v>
      </c>
      <c r="AT167" s="185">
        <f t="shared" si="21"/>
        <v>24</v>
      </c>
      <c r="AU167" s="68"/>
      <c r="AV167" s="68"/>
      <c r="AW167" s="68"/>
      <c r="AX167" s="68"/>
      <c r="AY167" s="68"/>
      <c r="AZ167" s="68"/>
      <c r="BE167" s="55"/>
      <c r="BF167" s="55"/>
      <c r="BG167" s="55"/>
      <c r="BH167" s="55"/>
      <c r="BI167" s="55"/>
      <c r="BJ167" s="55"/>
    </row>
    <row r="168" spans="38:62" x14ac:dyDescent="0.25">
      <c r="AL168" s="222"/>
      <c r="AM168" s="392">
        <v>42168</v>
      </c>
      <c r="AN168" s="348">
        <v>10284.629999999999</v>
      </c>
      <c r="AO168" s="146">
        <v>4493.8972500000009</v>
      </c>
      <c r="AP168" s="147">
        <v>119</v>
      </c>
      <c r="AQ168" s="59">
        <v>42168</v>
      </c>
      <c r="AR168" s="180">
        <v>10284.629999999999</v>
      </c>
      <c r="AS168" s="61">
        <f t="shared" si="22"/>
        <v>1</v>
      </c>
      <c r="AT168" s="185">
        <f t="shared" si="21"/>
        <v>24</v>
      </c>
      <c r="AU168" s="68"/>
      <c r="AV168" s="68"/>
      <c r="AW168" s="68"/>
      <c r="AX168" s="68"/>
      <c r="AY168" s="68"/>
      <c r="AZ168" s="68"/>
      <c r="BE168" s="55"/>
      <c r="BF168" s="55"/>
      <c r="BG168" s="55"/>
      <c r="BH168" s="55"/>
      <c r="BI168" s="55"/>
      <c r="BJ168" s="55"/>
    </row>
    <row r="169" spans="38:62" x14ac:dyDescent="0.25">
      <c r="AL169" s="222"/>
      <c r="AM169" s="392">
        <v>42169</v>
      </c>
      <c r="AN169" s="348">
        <v>26719.23</v>
      </c>
      <c r="AO169" s="146">
        <v>3746.3144500000003</v>
      </c>
      <c r="AP169" s="147">
        <v>203</v>
      </c>
      <c r="AQ169" s="59">
        <v>42169</v>
      </c>
      <c r="AR169" s="180">
        <v>26719.23</v>
      </c>
      <c r="AS169" s="61">
        <f t="shared" si="22"/>
        <v>1</v>
      </c>
      <c r="AT169" s="185">
        <f t="shared" si="21"/>
        <v>25</v>
      </c>
      <c r="AU169" s="68"/>
      <c r="AV169" s="68"/>
      <c r="AW169" s="68"/>
      <c r="AX169" s="68"/>
      <c r="AY169" s="68"/>
      <c r="AZ169" s="68"/>
      <c r="BE169" s="55"/>
      <c r="BF169" s="55"/>
      <c r="BG169" s="55"/>
      <c r="BH169" s="55"/>
      <c r="BI169" s="55"/>
      <c r="BJ169" s="55"/>
    </row>
    <row r="170" spans="38:62" x14ac:dyDescent="0.25">
      <c r="AL170" s="222"/>
      <c r="AM170" s="392">
        <v>42170</v>
      </c>
      <c r="AN170" s="348">
        <v>3011.6</v>
      </c>
      <c r="AO170" s="146">
        <v>119.0458000000001</v>
      </c>
      <c r="AP170" s="147">
        <v>92</v>
      </c>
      <c r="AQ170" s="59">
        <v>42170</v>
      </c>
      <c r="AR170" s="180">
        <v>3011.6</v>
      </c>
      <c r="AS170" s="61">
        <f t="shared" si="22"/>
        <v>1</v>
      </c>
      <c r="AT170" s="185">
        <f t="shared" si="21"/>
        <v>25</v>
      </c>
      <c r="AU170" s="68"/>
      <c r="AV170" s="68"/>
      <c r="AW170" s="68"/>
      <c r="AX170" s="68"/>
      <c r="AY170" s="68"/>
      <c r="AZ170" s="68"/>
      <c r="BE170" s="55"/>
      <c r="BF170" s="55"/>
      <c r="BG170" s="55"/>
      <c r="BH170" s="55"/>
      <c r="BI170" s="55"/>
      <c r="BJ170" s="55"/>
    </row>
    <row r="171" spans="38:62" x14ac:dyDescent="0.25">
      <c r="AL171" s="222"/>
      <c r="AM171" s="392">
        <v>42171</v>
      </c>
      <c r="AN171" s="348">
        <v>3219.89</v>
      </c>
      <c r="AO171" s="146">
        <v>-56.559100000000043</v>
      </c>
      <c r="AP171" s="147">
        <v>44</v>
      </c>
      <c r="AQ171" s="59">
        <v>42171</v>
      </c>
      <c r="AR171" s="180">
        <v>3219.89</v>
      </c>
      <c r="AS171" s="61">
        <f t="shared" si="22"/>
        <v>1</v>
      </c>
      <c r="AT171" s="185">
        <f t="shared" si="21"/>
        <v>25</v>
      </c>
      <c r="AU171" s="68"/>
      <c r="AV171" s="68"/>
      <c r="AW171" s="68"/>
      <c r="AX171" s="68"/>
      <c r="AY171" s="68"/>
      <c r="AZ171" s="68"/>
      <c r="BE171" s="55"/>
      <c r="BF171" s="55"/>
      <c r="BG171" s="55"/>
      <c r="BH171" s="55"/>
      <c r="BI171" s="55"/>
      <c r="BJ171" s="55"/>
    </row>
    <row r="172" spans="38:62" x14ac:dyDescent="0.25">
      <c r="AL172" s="222"/>
      <c r="AM172" s="392">
        <v>42172</v>
      </c>
      <c r="AN172" s="348">
        <v>3968.53</v>
      </c>
      <c r="AO172" s="146">
        <v>680.72239999999977</v>
      </c>
      <c r="AP172" s="147">
        <v>225</v>
      </c>
      <c r="AQ172" s="59">
        <v>42172</v>
      </c>
      <c r="AR172" s="180">
        <v>3968.53</v>
      </c>
      <c r="AS172" s="61">
        <f t="shared" si="22"/>
        <v>1</v>
      </c>
      <c r="AT172" s="185">
        <f t="shared" si="21"/>
        <v>25</v>
      </c>
      <c r="AU172" s="68"/>
      <c r="AV172" s="68"/>
      <c r="AW172" s="68"/>
      <c r="AX172" s="68"/>
      <c r="AY172" s="68"/>
      <c r="AZ172" s="68"/>
      <c r="BE172" s="55"/>
      <c r="BF172" s="55"/>
      <c r="BG172" s="55"/>
      <c r="BH172" s="55"/>
      <c r="BI172" s="55"/>
      <c r="BJ172" s="55"/>
    </row>
    <row r="173" spans="38:62" x14ac:dyDescent="0.25">
      <c r="AL173" s="222"/>
      <c r="AM173" s="392">
        <v>42173</v>
      </c>
      <c r="AN173" s="348">
        <v>10185.36</v>
      </c>
      <c r="AO173" s="146">
        <v>-396.29529999999988</v>
      </c>
      <c r="AP173" s="147">
        <v>135</v>
      </c>
      <c r="AQ173" s="59">
        <v>42173</v>
      </c>
      <c r="AR173" s="180">
        <v>10185.36</v>
      </c>
      <c r="AS173" s="61">
        <f t="shared" si="22"/>
        <v>1</v>
      </c>
      <c r="AT173" s="185">
        <f t="shared" si="21"/>
        <v>25</v>
      </c>
      <c r="AU173" s="68"/>
      <c r="AV173" s="68"/>
      <c r="AW173" s="68"/>
      <c r="AX173" s="68"/>
      <c r="AY173" s="68"/>
      <c r="AZ173" s="68"/>
      <c r="BE173" s="55"/>
      <c r="BF173" s="55"/>
      <c r="BG173" s="55"/>
      <c r="BH173" s="55"/>
      <c r="BI173" s="55"/>
      <c r="BJ173" s="55"/>
    </row>
    <row r="174" spans="38:62" x14ac:dyDescent="0.25">
      <c r="AL174" s="222"/>
      <c r="AM174" s="392">
        <v>42174</v>
      </c>
      <c r="AN174" s="348">
        <v>12684.68</v>
      </c>
      <c r="AO174" s="146">
        <v>532.16377499999987</v>
      </c>
      <c r="AP174" s="147">
        <v>139</v>
      </c>
      <c r="AQ174" s="59">
        <v>42174</v>
      </c>
      <c r="AR174" s="180">
        <v>12684.68</v>
      </c>
      <c r="AS174" s="61">
        <f t="shared" si="22"/>
        <v>1</v>
      </c>
      <c r="AT174" s="185">
        <f t="shared" si="21"/>
        <v>25</v>
      </c>
      <c r="AU174" s="68"/>
      <c r="AV174" s="68"/>
      <c r="AW174" s="68"/>
      <c r="AX174" s="68"/>
      <c r="AY174" s="68"/>
      <c r="AZ174" s="68"/>
      <c r="BE174" s="55"/>
      <c r="BF174" s="55"/>
      <c r="BG174" s="55"/>
      <c r="BH174" s="55"/>
      <c r="BI174" s="55"/>
      <c r="BJ174" s="55"/>
    </row>
    <row r="175" spans="38:62" x14ac:dyDescent="0.25">
      <c r="AL175" s="222"/>
      <c r="AM175" s="392">
        <v>42175</v>
      </c>
      <c r="AN175" s="348">
        <v>49028.22</v>
      </c>
      <c r="AO175" s="146">
        <v>7631.5318999999981</v>
      </c>
      <c r="AP175" s="147">
        <v>194</v>
      </c>
      <c r="AQ175" s="59">
        <v>42175</v>
      </c>
      <c r="AR175" s="180">
        <v>49028.22</v>
      </c>
      <c r="AS175" s="61">
        <f t="shared" si="22"/>
        <v>1</v>
      </c>
      <c r="AT175" s="185">
        <f t="shared" si="21"/>
        <v>25</v>
      </c>
      <c r="AU175" s="68"/>
      <c r="AV175" s="68"/>
      <c r="AW175" s="68"/>
      <c r="AX175" s="68"/>
      <c r="AY175" s="68"/>
      <c r="AZ175" s="68"/>
      <c r="BE175" s="55"/>
      <c r="BF175" s="55"/>
      <c r="BG175" s="55"/>
      <c r="BH175" s="55"/>
      <c r="BI175" s="55"/>
      <c r="BJ175" s="55"/>
    </row>
    <row r="176" spans="38:62" x14ac:dyDescent="0.25">
      <c r="AL176" s="222"/>
      <c r="AM176" s="392">
        <v>42176</v>
      </c>
      <c r="AN176" s="348">
        <v>2367.9899999999998</v>
      </c>
      <c r="AO176" s="146">
        <v>145.33090000000001</v>
      </c>
      <c r="AP176" s="147">
        <v>72</v>
      </c>
      <c r="AQ176" s="59">
        <v>42176</v>
      </c>
      <c r="AR176" s="180">
        <v>2367.9899999999998</v>
      </c>
      <c r="AS176" s="61">
        <f t="shared" si="22"/>
        <v>1</v>
      </c>
      <c r="AT176" s="185">
        <f t="shared" si="21"/>
        <v>26</v>
      </c>
      <c r="AU176" s="68"/>
      <c r="AV176" s="68"/>
      <c r="AW176" s="68"/>
      <c r="AX176" s="68"/>
      <c r="AY176" s="68"/>
      <c r="AZ176" s="68"/>
      <c r="BE176" s="55"/>
      <c r="BF176" s="55"/>
      <c r="BG176" s="55"/>
      <c r="BH176" s="55"/>
      <c r="BI176" s="55"/>
      <c r="BJ176" s="55"/>
    </row>
    <row r="177" spans="38:62" x14ac:dyDescent="0.25">
      <c r="AL177" s="222"/>
      <c r="AM177" s="392">
        <v>42177</v>
      </c>
      <c r="AN177" s="348">
        <v>13650.95</v>
      </c>
      <c r="AO177" s="146">
        <v>7508.1702000000005</v>
      </c>
      <c r="AP177" s="147">
        <v>227</v>
      </c>
      <c r="AQ177" s="59">
        <v>42177</v>
      </c>
      <c r="AR177" s="180">
        <v>13650.95</v>
      </c>
      <c r="AS177" s="61">
        <f t="shared" si="22"/>
        <v>1</v>
      </c>
      <c r="AT177" s="185">
        <f t="shared" si="21"/>
        <v>26</v>
      </c>
      <c r="AU177" s="68"/>
      <c r="AV177" s="68"/>
      <c r="AW177" s="68"/>
      <c r="AX177" s="68"/>
      <c r="AY177" s="68"/>
      <c r="AZ177" s="68"/>
      <c r="BE177" s="55"/>
      <c r="BF177" s="55"/>
      <c r="BG177" s="55"/>
      <c r="BH177" s="55"/>
      <c r="BI177" s="55"/>
      <c r="BJ177" s="55"/>
    </row>
    <row r="178" spans="38:62" x14ac:dyDescent="0.25">
      <c r="AL178" s="222"/>
      <c r="AM178" s="392">
        <v>42178</v>
      </c>
      <c r="AN178" s="348">
        <v>15196.84</v>
      </c>
      <c r="AO178" s="146">
        <v>-2806.4076</v>
      </c>
      <c r="AP178" s="147">
        <v>75</v>
      </c>
      <c r="AQ178" s="59">
        <v>42178</v>
      </c>
      <c r="AR178" s="180">
        <v>15196.84</v>
      </c>
      <c r="AS178" s="61">
        <f t="shared" si="22"/>
        <v>1</v>
      </c>
      <c r="AT178" s="185">
        <f t="shared" si="21"/>
        <v>26</v>
      </c>
      <c r="AU178" s="68"/>
      <c r="AV178" s="68"/>
      <c r="AW178" s="68"/>
      <c r="AX178" s="68"/>
      <c r="AY178" s="68"/>
      <c r="AZ178" s="68"/>
      <c r="BE178" s="55"/>
      <c r="BF178" s="55"/>
      <c r="BG178" s="55"/>
      <c r="BH178" s="55"/>
      <c r="BI178" s="55"/>
      <c r="BJ178" s="55"/>
    </row>
    <row r="179" spans="38:62" x14ac:dyDescent="0.25">
      <c r="AL179" s="222"/>
      <c r="AM179" s="392">
        <v>42179</v>
      </c>
      <c r="AN179" s="348">
        <v>572.28</v>
      </c>
      <c r="AO179" s="146">
        <v>-225.53025</v>
      </c>
      <c r="AP179" s="147">
        <v>64</v>
      </c>
      <c r="AQ179" s="59">
        <v>42179</v>
      </c>
      <c r="AR179" s="180">
        <v>572.28</v>
      </c>
      <c r="AS179" s="61">
        <f t="shared" si="22"/>
        <v>1</v>
      </c>
      <c r="AT179" s="185">
        <f t="shared" si="21"/>
        <v>26</v>
      </c>
      <c r="AU179" s="68"/>
      <c r="AV179" s="68"/>
      <c r="AW179" s="68"/>
      <c r="AX179" s="68"/>
      <c r="AY179" s="68"/>
      <c r="AZ179" s="68"/>
      <c r="BE179" s="55"/>
      <c r="BF179" s="55"/>
      <c r="BG179" s="55"/>
      <c r="BH179" s="55"/>
      <c r="BI179" s="55"/>
      <c r="BJ179" s="55"/>
    </row>
    <row r="180" spans="38:62" x14ac:dyDescent="0.25">
      <c r="AL180" s="222"/>
      <c r="AM180" s="392">
        <v>42180</v>
      </c>
      <c r="AN180" s="348">
        <v>10768.77</v>
      </c>
      <c r="AO180" s="146">
        <v>3544.8427750000001</v>
      </c>
      <c r="AP180" s="147">
        <v>136</v>
      </c>
      <c r="AQ180" s="59">
        <v>42180</v>
      </c>
      <c r="AR180" s="180">
        <v>10768.77</v>
      </c>
      <c r="AS180" s="61">
        <f t="shared" si="22"/>
        <v>1</v>
      </c>
      <c r="AT180" s="185">
        <f t="shared" si="21"/>
        <v>26</v>
      </c>
      <c r="AU180" s="68"/>
      <c r="AV180" s="68"/>
      <c r="AW180" s="68"/>
      <c r="AX180" s="68"/>
      <c r="AY180" s="68"/>
      <c r="AZ180" s="68"/>
      <c r="BE180" s="55"/>
      <c r="BF180" s="55"/>
      <c r="BG180" s="55"/>
      <c r="BH180" s="55"/>
      <c r="BI180" s="55"/>
      <c r="BJ180" s="55"/>
    </row>
    <row r="181" spans="38:62" x14ac:dyDescent="0.25">
      <c r="AL181" s="222"/>
      <c r="AM181" s="392">
        <v>42181</v>
      </c>
      <c r="AN181" s="348">
        <v>7888.86</v>
      </c>
      <c r="AO181" s="146">
        <v>398.10109999999997</v>
      </c>
      <c r="AP181" s="147">
        <v>60</v>
      </c>
      <c r="AQ181" s="59">
        <v>42181</v>
      </c>
      <c r="AR181" s="180">
        <v>7888.86</v>
      </c>
      <c r="AS181" s="61">
        <f t="shared" si="22"/>
        <v>1</v>
      </c>
      <c r="AT181" s="185">
        <f t="shared" si="21"/>
        <v>26</v>
      </c>
      <c r="AU181" s="68"/>
      <c r="AV181" s="68"/>
      <c r="AW181" s="68"/>
      <c r="AX181" s="68"/>
      <c r="AY181" s="68"/>
      <c r="AZ181" s="68"/>
      <c r="BE181" s="55"/>
      <c r="BF181" s="55"/>
      <c r="BG181" s="55"/>
      <c r="BH181" s="55"/>
      <c r="BI181" s="55"/>
      <c r="BJ181" s="55"/>
    </row>
    <row r="182" spans="38:62" x14ac:dyDescent="0.25">
      <c r="AL182" s="222"/>
      <c r="AM182" s="392">
        <v>42182</v>
      </c>
      <c r="AN182" s="348">
        <v>338.41</v>
      </c>
      <c r="AO182" s="146">
        <v>-395.27629999999999</v>
      </c>
      <c r="AP182" s="147">
        <v>35</v>
      </c>
      <c r="AQ182" s="59">
        <v>42182</v>
      </c>
      <c r="AR182" s="180">
        <v>338.41</v>
      </c>
      <c r="AS182" s="61">
        <f t="shared" si="22"/>
        <v>1</v>
      </c>
      <c r="AT182" s="185">
        <f t="shared" si="21"/>
        <v>26</v>
      </c>
      <c r="AU182" s="68"/>
      <c r="AV182" s="68"/>
      <c r="AW182" s="68"/>
      <c r="AX182" s="68"/>
      <c r="AY182" s="68"/>
      <c r="AZ182" s="68"/>
      <c r="BE182" s="55"/>
      <c r="BF182" s="55"/>
      <c r="BG182" s="55"/>
      <c r="BH182" s="55"/>
      <c r="BI182" s="55"/>
      <c r="BJ182" s="55"/>
    </row>
    <row r="183" spans="38:62" x14ac:dyDescent="0.25">
      <c r="AL183" s="222"/>
      <c r="AM183" s="392">
        <v>42183</v>
      </c>
      <c r="AN183" s="348">
        <v>7990.09</v>
      </c>
      <c r="AO183" s="146">
        <v>1187.9525999999994</v>
      </c>
      <c r="AP183" s="147">
        <v>163</v>
      </c>
      <c r="AQ183" s="59">
        <v>42183</v>
      </c>
      <c r="AR183" s="180">
        <v>7990.09</v>
      </c>
      <c r="AS183" s="61">
        <f t="shared" si="22"/>
        <v>1</v>
      </c>
      <c r="AT183" s="185">
        <f t="shared" si="21"/>
        <v>27</v>
      </c>
      <c r="AU183" s="68"/>
      <c r="AV183" s="68"/>
      <c r="AW183" s="68"/>
      <c r="AX183" s="68"/>
      <c r="AY183" s="68"/>
      <c r="AZ183" s="68"/>
      <c r="BE183" s="55"/>
      <c r="BF183" s="55"/>
      <c r="BG183" s="55"/>
      <c r="BH183" s="55"/>
      <c r="BI183" s="55"/>
      <c r="BJ183" s="55"/>
    </row>
    <row r="184" spans="38:62" x14ac:dyDescent="0.25">
      <c r="AL184" s="222"/>
      <c r="AM184" s="392">
        <v>42184</v>
      </c>
      <c r="AN184" s="348">
        <v>3635.91</v>
      </c>
      <c r="AO184" s="146">
        <v>711.39549999999997</v>
      </c>
      <c r="AP184" s="147">
        <v>84</v>
      </c>
      <c r="AQ184" s="59">
        <v>42184</v>
      </c>
      <c r="AR184" s="180">
        <v>3635.91</v>
      </c>
      <c r="AS184" s="61">
        <f t="shared" si="22"/>
        <v>1</v>
      </c>
      <c r="AT184" s="185">
        <f t="shared" si="21"/>
        <v>27</v>
      </c>
      <c r="AU184" s="68"/>
      <c r="AV184" s="68"/>
      <c r="AW184" s="68"/>
      <c r="AX184" s="68"/>
      <c r="AY184" s="68"/>
      <c r="AZ184" s="68"/>
      <c r="BE184" s="55"/>
      <c r="BF184" s="55"/>
      <c r="BG184" s="55"/>
      <c r="BH184" s="55"/>
      <c r="BI184" s="55"/>
      <c r="BJ184" s="55"/>
    </row>
    <row r="185" spans="38:62" ht="15.75" thickBot="1" x14ac:dyDescent="0.3">
      <c r="AL185" s="223"/>
      <c r="AM185" s="393">
        <v>42185</v>
      </c>
      <c r="AN185" s="349">
        <v>20508.900000000001</v>
      </c>
      <c r="AO185" s="149">
        <v>12054.811599999999</v>
      </c>
      <c r="AP185" s="150">
        <v>240</v>
      </c>
      <c r="AQ185" s="191">
        <v>42185</v>
      </c>
      <c r="AR185" s="177">
        <v>20508.900000000001</v>
      </c>
      <c r="AS185" s="192">
        <f t="shared" si="22"/>
        <v>1</v>
      </c>
      <c r="AT185" s="193">
        <f t="shared" si="21"/>
        <v>27</v>
      </c>
      <c r="AU185" s="68"/>
      <c r="AV185" s="68"/>
      <c r="AW185" s="68"/>
      <c r="AX185" s="68"/>
      <c r="AY185" s="68"/>
      <c r="AZ185" s="68"/>
      <c r="BE185" s="55"/>
      <c r="BF185" s="55"/>
      <c r="BG185" s="55"/>
      <c r="BH185" s="55"/>
      <c r="BI185" s="55"/>
      <c r="BJ185" s="55"/>
    </row>
    <row r="186" spans="38:62" x14ac:dyDescent="0.25">
      <c r="BE186" s="55"/>
      <c r="BF186" s="55"/>
      <c r="BG186" s="55"/>
      <c r="BH186" s="55"/>
      <c r="BI186" s="55"/>
      <c r="BJ186" s="55"/>
    </row>
    <row r="187" spans="38:62" x14ac:dyDescent="0.25">
      <c r="BE187" s="55"/>
      <c r="BF187" s="55"/>
      <c r="BG187" s="55"/>
      <c r="BH187" s="55"/>
      <c r="BI187" s="55"/>
      <c r="BJ187" s="55"/>
    </row>
    <row r="188" spans="38:62" x14ac:dyDescent="0.25">
      <c r="BE188" s="55"/>
      <c r="BF188" s="55"/>
      <c r="BG188" s="55"/>
      <c r="BH188" s="55"/>
      <c r="BI188" s="55"/>
      <c r="BJ188" s="55"/>
    </row>
    <row r="189" spans="38:62" x14ac:dyDescent="0.25">
      <c r="BE189" s="55"/>
      <c r="BF189" s="55"/>
      <c r="BG189" s="55"/>
      <c r="BH189" s="55"/>
      <c r="BI189" s="55"/>
      <c r="BJ189" s="55"/>
    </row>
    <row r="190" spans="38:62" x14ac:dyDescent="0.25">
      <c r="BE190" s="55"/>
      <c r="BF190" s="55"/>
      <c r="BG190" s="55"/>
      <c r="BH190" s="55"/>
      <c r="BI190" s="55"/>
      <c r="BJ190" s="55"/>
    </row>
    <row r="191" spans="38:62" x14ac:dyDescent="0.25">
      <c r="BE191" s="55"/>
      <c r="BF191" s="55"/>
      <c r="BG191" s="55"/>
      <c r="BH191" s="55"/>
      <c r="BI191" s="55"/>
      <c r="BJ191" s="55"/>
    </row>
    <row r="192" spans="38:62" x14ac:dyDescent="0.25">
      <c r="BE192" s="55"/>
      <c r="BF192" s="55"/>
      <c r="BG192" s="55"/>
      <c r="BH192" s="55"/>
      <c r="BI192" s="55"/>
      <c r="BJ192" s="55"/>
    </row>
    <row r="193" spans="57:62" x14ac:dyDescent="0.25">
      <c r="BE193" s="55"/>
      <c r="BF193" s="55"/>
      <c r="BG193" s="55"/>
      <c r="BH193" s="55"/>
      <c r="BI193" s="55"/>
      <c r="BJ193" s="55"/>
    </row>
    <row r="194" spans="57:62" x14ac:dyDescent="0.25">
      <c r="BE194" s="55"/>
      <c r="BF194" s="55"/>
      <c r="BG194" s="55"/>
      <c r="BH194" s="55"/>
      <c r="BI194" s="55"/>
      <c r="BJ194" s="55"/>
    </row>
    <row r="195" spans="57:62" x14ac:dyDescent="0.25">
      <c r="BE195" s="55"/>
      <c r="BF195" s="55"/>
      <c r="BG195" s="55"/>
      <c r="BH195" s="55"/>
      <c r="BI195" s="55"/>
      <c r="BJ195" s="55"/>
    </row>
    <row r="196" spans="57:62" x14ac:dyDescent="0.25">
      <c r="BE196" s="55"/>
      <c r="BF196" s="55"/>
      <c r="BG196" s="55"/>
      <c r="BH196" s="55"/>
      <c r="BI196" s="55"/>
      <c r="BJ196" s="55"/>
    </row>
    <row r="197" spans="57:62" x14ac:dyDescent="0.25">
      <c r="BE197" s="55"/>
      <c r="BF197" s="55"/>
      <c r="BG197" s="55"/>
      <c r="BH197" s="55"/>
      <c r="BI197" s="55"/>
      <c r="BJ197" s="55"/>
    </row>
    <row r="198" spans="57:62" x14ac:dyDescent="0.25">
      <c r="BE198" s="55"/>
      <c r="BF198" s="55"/>
      <c r="BG198" s="55"/>
      <c r="BH198" s="55"/>
      <c r="BI198" s="55"/>
      <c r="BJ198" s="55"/>
    </row>
    <row r="199" spans="57:62" x14ac:dyDescent="0.25">
      <c r="BE199" s="55"/>
      <c r="BF199" s="55"/>
      <c r="BG199" s="55"/>
      <c r="BH199" s="55"/>
      <c r="BI199" s="55"/>
      <c r="BJ199" s="55"/>
    </row>
    <row r="200" spans="57:62" x14ac:dyDescent="0.25">
      <c r="BE200" s="55"/>
      <c r="BF200" s="55"/>
      <c r="BG200" s="55"/>
      <c r="BH200" s="55"/>
      <c r="BI200" s="55"/>
      <c r="BJ200" s="55"/>
    </row>
    <row r="201" spans="57:62" x14ac:dyDescent="0.25">
      <c r="BE201" s="55"/>
      <c r="BF201" s="55"/>
      <c r="BG201" s="55"/>
      <c r="BH201" s="55"/>
      <c r="BI201" s="55"/>
      <c r="BJ201" s="55"/>
    </row>
    <row r="202" spans="57:62" x14ac:dyDescent="0.25">
      <c r="BE202" s="55"/>
      <c r="BF202" s="55"/>
      <c r="BG202" s="55"/>
      <c r="BH202" s="55"/>
      <c r="BI202" s="55"/>
      <c r="BJ202" s="55"/>
    </row>
    <row r="203" spans="57:62" x14ac:dyDescent="0.25">
      <c r="BE203" s="55"/>
      <c r="BF203" s="55"/>
      <c r="BG203" s="55"/>
      <c r="BH203" s="55"/>
      <c r="BI203" s="55"/>
      <c r="BJ203" s="55"/>
    </row>
    <row r="204" spans="57:62" x14ac:dyDescent="0.25">
      <c r="BE204" s="55"/>
      <c r="BF204" s="55"/>
      <c r="BG204" s="55"/>
      <c r="BH204" s="55"/>
      <c r="BI204" s="55"/>
      <c r="BJ204" s="55"/>
    </row>
    <row r="205" spans="57:62" x14ac:dyDescent="0.25">
      <c r="BE205" s="55"/>
      <c r="BF205" s="55"/>
      <c r="BG205" s="55"/>
      <c r="BH205" s="55"/>
      <c r="BI205" s="55"/>
      <c r="BJ205" s="55"/>
    </row>
    <row r="206" spans="57:62" x14ac:dyDescent="0.25">
      <c r="BE206" s="55"/>
      <c r="BF206" s="55"/>
      <c r="BG206" s="55"/>
      <c r="BH206" s="55"/>
      <c r="BI206" s="55"/>
      <c r="BJ206" s="55"/>
    </row>
    <row r="207" spans="57:62" x14ac:dyDescent="0.25">
      <c r="BE207" s="55"/>
      <c r="BF207" s="55"/>
      <c r="BG207" s="55"/>
      <c r="BH207" s="55"/>
      <c r="BI207" s="55"/>
      <c r="BJ207" s="55"/>
    </row>
    <row r="208" spans="57:62" x14ac:dyDescent="0.25">
      <c r="BE208" s="55"/>
      <c r="BF208" s="55"/>
      <c r="BG208" s="55"/>
      <c r="BH208" s="55"/>
      <c r="BI208" s="55"/>
      <c r="BJ208" s="55"/>
    </row>
    <row r="209" spans="57:62" x14ac:dyDescent="0.25">
      <c r="BE209" s="55"/>
      <c r="BF209" s="55"/>
      <c r="BG209" s="55"/>
      <c r="BH209" s="55"/>
      <c r="BI209" s="55"/>
      <c r="BJ209" s="55"/>
    </row>
    <row r="210" spans="57:62" x14ac:dyDescent="0.25">
      <c r="BE210" s="55"/>
      <c r="BF210" s="55"/>
      <c r="BG210" s="55"/>
      <c r="BH210" s="55"/>
      <c r="BI210" s="55"/>
      <c r="BJ210" s="55"/>
    </row>
    <row r="211" spans="57:62" x14ac:dyDescent="0.25">
      <c r="BE211" s="55"/>
      <c r="BF211" s="55"/>
      <c r="BG211" s="55"/>
      <c r="BH211" s="55"/>
      <c r="BI211" s="55"/>
      <c r="BJ211" s="55"/>
    </row>
    <row r="212" spans="57:62" x14ac:dyDescent="0.25">
      <c r="BE212" s="55"/>
      <c r="BF212" s="55"/>
      <c r="BG212" s="55"/>
      <c r="BH212" s="55"/>
      <c r="BI212" s="55"/>
      <c r="BJ212" s="55"/>
    </row>
    <row r="213" spans="57:62" x14ac:dyDescent="0.25">
      <c r="BE213" s="55"/>
      <c r="BF213" s="55"/>
      <c r="BG213" s="55"/>
      <c r="BH213" s="55"/>
      <c r="BI213" s="55"/>
      <c r="BJ213" s="55"/>
    </row>
    <row r="214" spans="57:62" x14ac:dyDescent="0.25">
      <c r="BE214" s="55"/>
      <c r="BF214" s="55"/>
      <c r="BG214" s="55"/>
      <c r="BH214" s="55"/>
      <c r="BI214" s="55"/>
      <c r="BJ214" s="55"/>
    </row>
    <row r="215" spans="57:62" x14ac:dyDescent="0.25">
      <c r="BE215" s="55"/>
      <c r="BF215" s="55"/>
      <c r="BG215" s="55"/>
      <c r="BH215" s="55"/>
      <c r="BI215" s="55"/>
      <c r="BJ215" s="55"/>
    </row>
    <row r="216" spans="57:62" x14ac:dyDescent="0.25">
      <c r="BE216" s="55"/>
      <c r="BF216" s="55"/>
      <c r="BG216" s="55"/>
      <c r="BH216" s="55"/>
      <c r="BI216" s="55"/>
      <c r="BJ216" s="55"/>
    </row>
    <row r="217" spans="57:62" x14ac:dyDescent="0.25">
      <c r="BE217" s="55"/>
      <c r="BF217" s="55"/>
      <c r="BG217" s="55"/>
      <c r="BH217" s="55"/>
      <c r="BI217" s="55"/>
      <c r="BJ217" s="55"/>
    </row>
    <row r="218" spans="57:62" x14ac:dyDescent="0.25">
      <c r="BE218" s="55"/>
      <c r="BF218" s="55"/>
      <c r="BG218" s="55"/>
      <c r="BH218" s="55"/>
      <c r="BI218" s="55"/>
      <c r="BJ218" s="55"/>
    </row>
    <row r="219" spans="57:62" x14ac:dyDescent="0.25">
      <c r="BE219" s="55"/>
      <c r="BF219" s="55"/>
      <c r="BG219" s="55"/>
      <c r="BH219" s="55"/>
      <c r="BI219" s="55"/>
      <c r="BJ219" s="55"/>
    </row>
    <row r="220" spans="57:62" x14ac:dyDescent="0.25">
      <c r="BE220" s="55"/>
      <c r="BF220" s="55"/>
      <c r="BG220" s="55"/>
      <c r="BH220" s="55"/>
      <c r="BI220" s="55"/>
      <c r="BJ220" s="55"/>
    </row>
    <row r="221" spans="57:62" x14ac:dyDescent="0.25">
      <c r="BE221" s="55"/>
      <c r="BF221" s="55"/>
      <c r="BG221" s="55"/>
      <c r="BH221" s="55"/>
      <c r="BI221" s="55"/>
      <c r="BJ221" s="55"/>
    </row>
    <row r="222" spans="57:62" x14ac:dyDescent="0.25">
      <c r="BE222" s="55"/>
      <c r="BF222" s="55"/>
      <c r="BG222" s="55"/>
      <c r="BH222" s="55"/>
      <c r="BI222" s="55"/>
      <c r="BJ222" s="55"/>
    </row>
    <row r="223" spans="57:62" x14ac:dyDescent="0.25">
      <c r="BE223" s="55"/>
      <c r="BF223" s="55"/>
      <c r="BG223" s="55"/>
      <c r="BH223" s="55"/>
      <c r="BI223" s="55"/>
      <c r="BJ223" s="55"/>
    </row>
    <row r="224" spans="57:62" x14ac:dyDescent="0.25">
      <c r="BE224" s="55"/>
      <c r="BF224" s="55"/>
      <c r="BG224" s="55"/>
      <c r="BH224" s="55"/>
      <c r="BI224" s="55"/>
      <c r="BJ224" s="55"/>
    </row>
    <row r="225" spans="57:62" x14ac:dyDescent="0.25">
      <c r="BE225" s="55"/>
      <c r="BF225" s="55"/>
      <c r="BG225" s="55"/>
      <c r="BH225" s="55"/>
      <c r="BI225" s="55"/>
      <c r="BJ225" s="55"/>
    </row>
    <row r="226" spans="57:62" x14ac:dyDescent="0.25">
      <c r="BE226" s="55"/>
      <c r="BF226" s="55"/>
      <c r="BG226" s="55"/>
      <c r="BH226" s="55"/>
      <c r="BI226" s="55"/>
      <c r="BJ226" s="55"/>
    </row>
    <row r="227" spans="57:62" x14ac:dyDescent="0.25">
      <c r="BE227" s="55"/>
      <c r="BF227" s="55"/>
      <c r="BG227" s="55"/>
      <c r="BH227" s="55"/>
      <c r="BI227" s="55"/>
      <c r="BJ227" s="55"/>
    </row>
    <row r="228" spans="57:62" x14ac:dyDescent="0.25">
      <c r="BE228" s="55"/>
      <c r="BF228" s="55"/>
      <c r="BG228" s="55"/>
      <c r="BH228" s="55"/>
      <c r="BI228" s="55"/>
      <c r="BJ228" s="55"/>
    </row>
    <row r="229" spans="57:62" x14ac:dyDescent="0.25">
      <c r="BE229" s="55"/>
      <c r="BF229" s="55"/>
      <c r="BG229" s="55"/>
      <c r="BH229" s="55"/>
      <c r="BI229" s="55"/>
      <c r="BJ229" s="55"/>
    </row>
    <row r="230" spans="57:62" x14ac:dyDescent="0.25">
      <c r="BE230" s="55"/>
      <c r="BF230" s="55"/>
      <c r="BG230" s="55"/>
      <c r="BH230" s="55"/>
      <c r="BI230" s="55"/>
      <c r="BJ230" s="55"/>
    </row>
    <row r="231" spans="57:62" x14ac:dyDescent="0.25">
      <c r="BE231" s="55"/>
      <c r="BF231" s="55"/>
      <c r="BG231" s="55"/>
      <c r="BH231" s="55"/>
      <c r="BI231" s="55"/>
      <c r="BJ231" s="55"/>
    </row>
    <row r="232" spans="57:62" x14ac:dyDescent="0.25">
      <c r="BE232" s="55"/>
      <c r="BF232" s="55"/>
      <c r="BG232" s="55"/>
      <c r="BH232" s="55"/>
      <c r="BI232" s="55"/>
      <c r="BJ232" s="55"/>
    </row>
    <row r="233" spans="57:62" x14ac:dyDescent="0.25">
      <c r="BE233" s="55"/>
      <c r="BF233" s="55"/>
      <c r="BG233" s="55"/>
      <c r="BH233" s="55"/>
      <c r="BI233" s="55"/>
      <c r="BJ233" s="55"/>
    </row>
    <row r="234" spans="57:62" x14ac:dyDescent="0.25">
      <c r="BE234" s="55"/>
      <c r="BF234" s="55"/>
      <c r="BG234" s="55"/>
      <c r="BH234" s="55"/>
      <c r="BI234" s="55"/>
      <c r="BJ234" s="55"/>
    </row>
    <row r="235" spans="57:62" x14ac:dyDescent="0.25">
      <c r="BE235" s="55"/>
      <c r="BF235" s="55"/>
      <c r="BG235" s="55"/>
      <c r="BH235" s="55"/>
      <c r="BI235" s="55"/>
      <c r="BJ235" s="55"/>
    </row>
    <row r="236" spans="57:62" x14ac:dyDescent="0.25">
      <c r="BE236" s="55"/>
      <c r="BF236" s="55"/>
      <c r="BG236" s="55"/>
      <c r="BH236" s="55"/>
      <c r="BI236" s="55"/>
      <c r="BJ236" s="55"/>
    </row>
    <row r="237" spans="57:62" x14ac:dyDescent="0.25">
      <c r="BE237" s="55"/>
      <c r="BF237" s="55"/>
      <c r="BG237" s="55"/>
      <c r="BH237" s="55"/>
      <c r="BI237" s="55"/>
      <c r="BJ237" s="55"/>
    </row>
    <row r="238" spans="57:62" x14ac:dyDescent="0.25">
      <c r="BE238" s="55"/>
      <c r="BF238" s="55"/>
      <c r="BG238" s="55"/>
      <c r="BH238" s="55"/>
      <c r="BI238" s="55"/>
      <c r="BJ238" s="55"/>
    </row>
    <row r="239" spans="57:62" x14ac:dyDescent="0.25">
      <c r="BE239" s="55"/>
      <c r="BF239" s="55"/>
      <c r="BG239" s="55"/>
      <c r="BH239" s="55"/>
      <c r="BI239" s="55"/>
      <c r="BJ239" s="55"/>
    </row>
    <row r="240" spans="57:62" x14ac:dyDescent="0.25">
      <c r="BE240" s="55"/>
      <c r="BF240" s="55"/>
      <c r="BG240" s="55"/>
      <c r="BH240" s="55"/>
      <c r="BI240" s="55"/>
      <c r="BJ240" s="55"/>
    </row>
    <row r="241" spans="57:62" x14ac:dyDescent="0.25">
      <c r="BE241" s="55"/>
      <c r="BF241" s="55"/>
      <c r="BG241" s="55"/>
      <c r="BH241" s="55"/>
      <c r="BI241" s="55"/>
      <c r="BJ241" s="55"/>
    </row>
    <row r="242" spans="57:62" x14ac:dyDescent="0.25">
      <c r="BE242" s="55"/>
      <c r="BF242" s="55"/>
      <c r="BG242" s="55"/>
      <c r="BH242" s="55"/>
      <c r="BI242" s="55"/>
      <c r="BJ242" s="55"/>
    </row>
    <row r="243" spans="57:62" x14ac:dyDescent="0.25">
      <c r="BE243" s="55"/>
      <c r="BF243" s="55"/>
      <c r="BG243" s="55"/>
      <c r="BH243" s="55"/>
      <c r="BI243" s="55"/>
      <c r="BJ243" s="55"/>
    </row>
    <row r="244" spans="57:62" x14ac:dyDescent="0.25">
      <c r="BE244" s="55"/>
      <c r="BF244" s="55"/>
      <c r="BG244" s="55"/>
      <c r="BH244" s="55"/>
      <c r="BI244" s="55"/>
      <c r="BJ244" s="55"/>
    </row>
    <row r="245" spans="57:62" x14ac:dyDescent="0.25">
      <c r="BE245" s="55"/>
      <c r="BF245" s="55"/>
      <c r="BG245" s="55"/>
      <c r="BH245" s="55"/>
      <c r="BI245" s="55"/>
      <c r="BJ245" s="55"/>
    </row>
    <row r="246" spans="57:62" x14ac:dyDescent="0.25">
      <c r="BE246" s="55"/>
      <c r="BF246" s="55"/>
      <c r="BG246" s="55"/>
      <c r="BH246" s="55"/>
      <c r="BI246" s="55"/>
      <c r="BJ246" s="55"/>
    </row>
    <row r="247" spans="57:62" x14ac:dyDescent="0.25">
      <c r="BE247" s="55"/>
      <c r="BF247" s="55"/>
      <c r="BG247" s="55"/>
      <c r="BH247" s="55"/>
      <c r="BI247" s="55"/>
      <c r="BJ247" s="55"/>
    </row>
    <row r="248" spans="57:62" x14ac:dyDescent="0.25">
      <c r="BE248" s="55"/>
      <c r="BF248" s="55"/>
      <c r="BG248" s="55"/>
      <c r="BH248" s="55"/>
      <c r="BI248" s="55"/>
      <c r="BJ248" s="55"/>
    </row>
    <row r="249" spans="57:62" x14ac:dyDescent="0.25">
      <c r="BE249" s="55"/>
      <c r="BF249" s="55"/>
      <c r="BG249" s="55"/>
      <c r="BH249" s="55"/>
      <c r="BI249" s="55"/>
      <c r="BJ249" s="55"/>
    </row>
    <row r="250" spans="57:62" x14ac:dyDescent="0.25">
      <c r="BE250" s="55"/>
      <c r="BF250" s="55"/>
      <c r="BG250" s="55"/>
      <c r="BH250" s="55"/>
      <c r="BI250" s="55"/>
      <c r="BJ250" s="55"/>
    </row>
    <row r="251" spans="57:62" x14ac:dyDescent="0.25">
      <c r="BE251" s="55"/>
      <c r="BF251" s="55"/>
      <c r="BG251" s="55"/>
      <c r="BH251" s="55"/>
      <c r="BI251" s="55"/>
      <c r="BJ251" s="55"/>
    </row>
    <row r="252" spans="57:62" x14ac:dyDescent="0.25">
      <c r="BE252" s="55"/>
      <c r="BF252" s="55"/>
      <c r="BG252" s="55"/>
      <c r="BH252" s="55"/>
      <c r="BI252" s="55"/>
      <c r="BJ252" s="55"/>
    </row>
    <row r="253" spans="57:62" x14ac:dyDescent="0.25">
      <c r="BE253" s="55"/>
      <c r="BF253" s="55"/>
      <c r="BG253" s="55"/>
      <c r="BH253" s="55"/>
      <c r="BI253" s="55"/>
      <c r="BJ253" s="55"/>
    </row>
    <row r="254" spans="57:62" x14ac:dyDescent="0.25">
      <c r="BE254" s="55"/>
      <c r="BF254" s="55"/>
      <c r="BG254" s="55"/>
      <c r="BH254" s="55"/>
      <c r="BI254" s="55"/>
      <c r="BJ254" s="55"/>
    </row>
    <row r="255" spans="57:62" x14ac:dyDescent="0.25">
      <c r="BE255" s="55"/>
      <c r="BF255" s="55"/>
      <c r="BG255" s="55"/>
      <c r="BH255" s="55"/>
      <c r="BI255" s="55"/>
      <c r="BJ255" s="55"/>
    </row>
    <row r="256" spans="57:62" x14ac:dyDescent="0.25">
      <c r="BE256" s="55"/>
      <c r="BF256" s="55"/>
      <c r="BG256" s="55"/>
      <c r="BH256" s="55"/>
      <c r="BI256" s="55"/>
      <c r="BJ256" s="55"/>
    </row>
    <row r="257" spans="57:62" x14ac:dyDescent="0.25">
      <c r="BE257" s="55"/>
      <c r="BF257" s="55"/>
      <c r="BG257" s="55"/>
      <c r="BH257" s="55"/>
      <c r="BI257" s="55"/>
      <c r="BJ257" s="55"/>
    </row>
    <row r="258" spans="57:62" x14ac:dyDescent="0.25">
      <c r="BE258" s="55"/>
      <c r="BF258" s="55"/>
      <c r="BG258" s="55"/>
      <c r="BH258" s="55"/>
      <c r="BI258" s="55"/>
      <c r="BJ258" s="55"/>
    </row>
    <row r="259" spans="57:62" x14ac:dyDescent="0.25">
      <c r="BE259" s="55"/>
      <c r="BF259" s="55"/>
      <c r="BG259" s="55"/>
      <c r="BH259" s="55"/>
      <c r="BI259" s="55"/>
      <c r="BJ259" s="55"/>
    </row>
    <row r="260" spans="57:62" x14ac:dyDescent="0.25">
      <c r="BE260" s="55"/>
      <c r="BF260" s="55"/>
      <c r="BG260" s="55"/>
      <c r="BH260" s="55"/>
      <c r="BI260" s="55"/>
      <c r="BJ260" s="55"/>
    </row>
    <row r="261" spans="57:62" x14ac:dyDescent="0.25">
      <c r="BE261" s="55"/>
      <c r="BF261" s="55"/>
      <c r="BG261" s="55"/>
      <c r="BH261" s="55"/>
      <c r="BI261" s="55"/>
      <c r="BJ261" s="55"/>
    </row>
    <row r="262" spans="57:62" x14ac:dyDescent="0.25">
      <c r="BE262" s="55"/>
      <c r="BF262" s="55"/>
      <c r="BG262" s="55"/>
      <c r="BH262" s="55"/>
      <c r="BI262" s="55"/>
      <c r="BJ262" s="55"/>
    </row>
    <row r="263" spans="57:62" x14ac:dyDescent="0.25">
      <c r="BE263" s="55"/>
      <c r="BF263" s="55"/>
      <c r="BG263" s="55"/>
      <c r="BH263" s="55"/>
      <c r="BI263" s="55"/>
      <c r="BJ263" s="55"/>
    </row>
    <row r="264" spans="57:62" x14ac:dyDescent="0.25">
      <c r="BE264" s="55"/>
      <c r="BF264" s="55"/>
      <c r="BG264" s="55"/>
      <c r="BH264" s="55"/>
      <c r="BI264" s="55"/>
      <c r="BJ264" s="55"/>
    </row>
    <row r="265" spans="57:62" x14ac:dyDescent="0.25">
      <c r="BE265" s="55"/>
      <c r="BF265" s="55"/>
      <c r="BG265" s="55"/>
      <c r="BH265" s="55"/>
      <c r="BI265" s="55"/>
      <c r="BJ265" s="55"/>
    </row>
    <row r="266" spans="57:62" x14ac:dyDescent="0.25">
      <c r="BE266" s="55"/>
      <c r="BF266" s="55"/>
      <c r="BG266" s="55"/>
      <c r="BH266" s="55"/>
      <c r="BI266" s="55"/>
      <c r="BJ266" s="55"/>
    </row>
    <row r="267" spans="57:62" x14ac:dyDescent="0.25">
      <c r="BE267" s="55"/>
      <c r="BF267" s="55"/>
      <c r="BG267" s="55"/>
      <c r="BH267" s="55"/>
      <c r="BI267" s="55"/>
      <c r="BJ267" s="55"/>
    </row>
    <row r="268" spans="57:62" x14ac:dyDescent="0.25">
      <c r="BE268" s="55"/>
      <c r="BF268" s="55"/>
      <c r="BG268" s="55"/>
      <c r="BH268" s="55"/>
      <c r="BI268" s="55"/>
      <c r="BJ268" s="55"/>
    </row>
    <row r="269" spans="57:62" x14ac:dyDescent="0.25">
      <c r="BE269" s="55"/>
      <c r="BF269" s="55"/>
      <c r="BG269" s="55"/>
      <c r="BH269" s="55"/>
      <c r="BI269" s="55"/>
      <c r="BJ269" s="55"/>
    </row>
    <row r="270" spans="57:62" x14ac:dyDescent="0.25">
      <c r="BE270" s="55"/>
      <c r="BF270" s="55"/>
      <c r="BG270" s="55"/>
      <c r="BH270" s="55"/>
      <c r="BI270" s="55"/>
      <c r="BJ270" s="55"/>
    </row>
    <row r="271" spans="57:62" x14ac:dyDescent="0.25">
      <c r="BE271" s="55"/>
      <c r="BF271" s="55"/>
      <c r="BG271" s="55"/>
      <c r="BH271" s="55"/>
      <c r="BI271" s="55"/>
      <c r="BJ271" s="55"/>
    </row>
    <row r="272" spans="57:62" x14ac:dyDescent="0.25">
      <c r="BE272" s="55"/>
      <c r="BF272" s="55"/>
      <c r="BG272" s="55"/>
      <c r="BH272" s="55"/>
      <c r="BI272" s="55"/>
      <c r="BJ272" s="55"/>
    </row>
    <row r="273" spans="57:62" x14ac:dyDescent="0.25">
      <c r="BE273" s="55"/>
      <c r="BF273" s="55"/>
      <c r="BG273" s="55"/>
      <c r="BH273" s="55"/>
      <c r="BI273" s="55"/>
      <c r="BJ273" s="55"/>
    </row>
    <row r="274" spans="57:62" x14ac:dyDescent="0.25">
      <c r="BE274" s="55"/>
      <c r="BF274" s="55"/>
      <c r="BG274" s="55"/>
      <c r="BH274" s="55"/>
      <c r="BI274" s="55"/>
      <c r="BJ274" s="55"/>
    </row>
    <row r="275" spans="57:62" x14ac:dyDescent="0.25">
      <c r="BE275" s="55"/>
      <c r="BF275" s="55"/>
      <c r="BG275" s="55"/>
      <c r="BH275" s="55"/>
      <c r="BI275" s="55"/>
      <c r="BJ275" s="55"/>
    </row>
    <row r="276" spans="57:62" x14ac:dyDescent="0.25">
      <c r="BE276" s="55"/>
      <c r="BF276" s="55"/>
      <c r="BG276" s="55"/>
      <c r="BH276" s="55"/>
      <c r="BI276" s="55"/>
      <c r="BJ276" s="55"/>
    </row>
    <row r="277" spans="57:62" x14ac:dyDescent="0.25">
      <c r="BE277" s="55"/>
      <c r="BF277" s="55"/>
      <c r="BG277" s="55"/>
      <c r="BH277" s="55"/>
      <c r="BI277" s="55"/>
      <c r="BJ277" s="55"/>
    </row>
    <row r="278" spans="57:62" x14ac:dyDescent="0.25">
      <c r="BE278" s="55"/>
      <c r="BF278" s="55"/>
      <c r="BG278" s="55"/>
      <c r="BH278" s="55"/>
      <c r="BI278" s="55"/>
      <c r="BJ278" s="55"/>
    </row>
    <row r="279" spans="57:62" x14ac:dyDescent="0.25">
      <c r="BE279" s="55"/>
      <c r="BF279" s="55"/>
      <c r="BG279" s="55"/>
      <c r="BH279" s="55"/>
      <c r="BI279" s="55"/>
      <c r="BJ279" s="55"/>
    </row>
    <row r="280" spans="57:62" x14ac:dyDescent="0.25">
      <c r="BE280" s="55"/>
      <c r="BF280" s="55"/>
      <c r="BG280" s="55"/>
      <c r="BH280" s="55"/>
      <c r="BI280" s="55"/>
      <c r="BJ280" s="55"/>
    </row>
    <row r="281" spans="57:62" x14ac:dyDescent="0.25">
      <c r="BE281" s="55"/>
      <c r="BF281" s="55"/>
      <c r="BG281" s="55"/>
      <c r="BH281" s="55"/>
      <c r="BI281" s="55"/>
      <c r="BJ281" s="55"/>
    </row>
    <row r="282" spans="57:62" x14ac:dyDescent="0.25">
      <c r="BE282" s="55"/>
      <c r="BF282" s="55"/>
      <c r="BG282" s="55"/>
      <c r="BH282" s="55"/>
      <c r="BI282" s="55"/>
      <c r="BJ282" s="55"/>
    </row>
    <row r="283" spans="57:62" x14ac:dyDescent="0.25">
      <c r="BE283" s="55"/>
      <c r="BF283" s="55"/>
      <c r="BG283" s="55"/>
      <c r="BH283" s="55"/>
      <c r="BI283" s="55"/>
      <c r="BJ283" s="55"/>
    </row>
    <row r="284" spans="57:62" x14ac:dyDescent="0.25">
      <c r="BE284" s="55"/>
      <c r="BF284" s="55"/>
      <c r="BG284" s="55"/>
      <c r="BH284" s="55"/>
      <c r="BI284" s="55"/>
      <c r="BJ284" s="55"/>
    </row>
    <row r="285" spans="57:62" x14ac:dyDescent="0.25">
      <c r="BE285" s="55"/>
      <c r="BF285" s="55"/>
      <c r="BG285" s="55"/>
      <c r="BH285" s="55"/>
      <c r="BI285" s="55"/>
      <c r="BJ285" s="55"/>
    </row>
    <row r="286" spans="57:62" x14ac:dyDescent="0.25">
      <c r="BE286" s="55"/>
      <c r="BF286" s="55"/>
      <c r="BG286" s="55"/>
      <c r="BH286" s="55"/>
      <c r="BI286" s="55"/>
      <c r="BJ286" s="55"/>
    </row>
    <row r="287" spans="57:62" x14ac:dyDescent="0.25">
      <c r="BE287" s="55"/>
      <c r="BF287" s="55"/>
      <c r="BG287" s="55"/>
      <c r="BH287" s="55"/>
      <c r="BI287" s="55"/>
      <c r="BJ287" s="55"/>
    </row>
    <row r="288" spans="57:62" x14ac:dyDescent="0.25">
      <c r="BE288" s="55"/>
      <c r="BF288" s="55"/>
      <c r="BG288" s="55"/>
      <c r="BH288" s="55"/>
      <c r="BI288" s="55"/>
      <c r="BJ288" s="55"/>
    </row>
    <row r="289" spans="57:62" x14ac:dyDescent="0.25">
      <c r="BE289" s="55"/>
      <c r="BF289" s="55"/>
      <c r="BG289" s="55"/>
      <c r="BH289" s="55"/>
      <c r="BI289" s="55"/>
      <c r="BJ289" s="55"/>
    </row>
    <row r="290" spans="57:62" x14ac:dyDescent="0.25">
      <c r="BE290" s="55"/>
      <c r="BF290" s="55"/>
      <c r="BG290" s="55"/>
      <c r="BH290" s="55"/>
      <c r="BI290" s="55"/>
      <c r="BJ290" s="55"/>
    </row>
    <row r="291" spans="57:62" x14ac:dyDescent="0.25">
      <c r="BE291" s="55"/>
      <c r="BF291" s="55"/>
      <c r="BG291" s="55"/>
      <c r="BH291" s="55"/>
      <c r="BI291" s="55"/>
      <c r="BJ291" s="55"/>
    </row>
    <row r="292" spans="57:62" x14ac:dyDescent="0.25">
      <c r="BE292" s="55"/>
      <c r="BF292" s="55"/>
      <c r="BG292" s="55"/>
      <c r="BH292" s="55"/>
      <c r="BI292" s="55"/>
      <c r="BJ292" s="55"/>
    </row>
    <row r="293" spans="57:62" x14ac:dyDescent="0.25">
      <c r="BE293" s="55"/>
      <c r="BF293" s="55"/>
      <c r="BG293" s="55"/>
      <c r="BH293" s="55"/>
      <c r="BI293" s="55"/>
      <c r="BJ293" s="55"/>
    </row>
    <row r="294" spans="57:62" x14ac:dyDescent="0.25">
      <c r="BE294" s="55"/>
      <c r="BF294" s="55"/>
      <c r="BG294" s="55"/>
      <c r="BH294" s="55"/>
      <c r="BI294" s="55"/>
      <c r="BJ294" s="55"/>
    </row>
    <row r="295" spans="57:62" x14ac:dyDescent="0.25">
      <c r="BE295" s="55"/>
      <c r="BF295" s="55"/>
      <c r="BG295" s="55"/>
      <c r="BH295" s="55"/>
      <c r="BI295" s="55"/>
      <c r="BJ295" s="55"/>
    </row>
    <row r="296" spans="57:62" x14ac:dyDescent="0.25">
      <c r="BE296" s="55"/>
      <c r="BF296" s="55"/>
      <c r="BG296" s="55"/>
      <c r="BH296" s="55"/>
      <c r="BI296" s="55"/>
      <c r="BJ296" s="55"/>
    </row>
    <row r="297" spans="57:62" x14ac:dyDescent="0.25">
      <c r="BE297" s="55"/>
      <c r="BF297" s="55"/>
      <c r="BG297" s="55"/>
      <c r="BH297" s="55"/>
      <c r="BI297" s="55"/>
      <c r="BJ297" s="55"/>
    </row>
    <row r="298" spans="57:62" x14ac:dyDescent="0.25">
      <c r="BE298" s="55"/>
      <c r="BF298" s="55"/>
      <c r="BG298" s="55"/>
      <c r="BH298" s="55"/>
      <c r="BI298" s="55"/>
      <c r="BJ298" s="55"/>
    </row>
    <row r="299" spans="57:62" x14ac:dyDescent="0.25">
      <c r="BE299" s="55"/>
      <c r="BF299" s="55"/>
      <c r="BG299" s="55"/>
      <c r="BH299" s="55"/>
      <c r="BI299" s="55"/>
      <c r="BJ299" s="55"/>
    </row>
    <row r="300" spans="57:62" x14ac:dyDescent="0.25">
      <c r="BE300" s="55"/>
      <c r="BF300" s="55"/>
      <c r="BG300" s="55"/>
      <c r="BH300" s="55"/>
      <c r="BI300" s="55"/>
      <c r="BJ300" s="55"/>
    </row>
    <row r="301" spans="57:62" x14ac:dyDescent="0.25">
      <c r="BE301" s="55"/>
      <c r="BF301" s="55"/>
      <c r="BG301" s="55"/>
      <c r="BH301" s="55"/>
      <c r="BI301" s="55"/>
      <c r="BJ301" s="55"/>
    </row>
    <row r="302" spans="57:62" x14ac:dyDescent="0.25">
      <c r="BE302" s="55"/>
      <c r="BF302" s="55"/>
      <c r="BG302" s="55"/>
      <c r="BH302" s="55"/>
      <c r="BI302" s="55"/>
      <c r="BJ302" s="55"/>
    </row>
    <row r="303" spans="57:62" x14ac:dyDescent="0.25">
      <c r="BE303" s="55"/>
      <c r="BF303" s="55"/>
      <c r="BG303" s="55"/>
      <c r="BH303" s="55"/>
      <c r="BI303" s="55"/>
      <c r="BJ303" s="55"/>
    </row>
    <row r="304" spans="57:62" x14ac:dyDescent="0.25">
      <c r="BE304" s="55"/>
      <c r="BF304" s="55"/>
      <c r="BG304" s="55"/>
      <c r="BH304" s="55"/>
      <c r="BI304" s="55"/>
      <c r="BJ304" s="55"/>
    </row>
    <row r="305" spans="20:62" x14ac:dyDescent="0.25">
      <c r="BE305" s="55"/>
      <c r="BF305" s="55"/>
      <c r="BG305" s="55"/>
      <c r="BH305" s="55"/>
      <c r="BI305" s="55"/>
      <c r="BJ305" s="55"/>
    </row>
    <row r="306" spans="20:62" x14ac:dyDescent="0.25">
      <c r="BE306" s="55"/>
      <c r="BF306" s="55"/>
      <c r="BG306" s="55"/>
      <c r="BH306" s="55"/>
      <c r="BI306" s="55"/>
      <c r="BJ306" s="55"/>
    </row>
    <row r="307" spans="20:62" x14ac:dyDescent="0.25">
      <c r="BE307" s="55"/>
      <c r="BF307" s="55"/>
      <c r="BG307" s="55"/>
      <c r="BH307" s="55"/>
      <c r="BI307" s="55"/>
      <c r="BJ307" s="55"/>
    </row>
    <row r="308" spans="20:62" x14ac:dyDescent="0.25">
      <c r="BE308" s="55"/>
      <c r="BF308" s="55"/>
      <c r="BG308" s="55"/>
      <c r="BH308" s="55"/>
      <c r="BI308" s="55"/>
      <c r="BJ308" s="55"/>
    </row>
    <row r="309" spans="20:62" x14ac:dyDescent="0.25">
      <c r="BE309" s="55"/>
      <c r="BF309" s="55"/>
      <c r="BG309" s="55"/>
      <c r="BH309" s="55"/>
      <c r="BI309" s="55"/>
      <c r="BJ309" s="55"/>
    </row>
    <row r="310" spans="20:62" x14ac:dyDescent="0.25">
      <c r="BE310" s="55"/>
      <c r="BF310" s="55"/>
      <c r="BG310" s="55"/>
      <c r="BH310" s="55"/>
      <c r="BI310" s="55"/>
      <c r="BJ310" s="55"/>
    </row>
    <row r="311" spans="20:62" x14ac:dyDescent="0.25">
      <c r="BE311" s="55"/>
      <c r="BF311" s="55"/>
      <c r="BG311" s="55"/>
      <c r="BH311" s="55"/>
      <c r="BI311" s="55"/>
      <c r="BJ311" s="55"/>
    </row>
    <row r="312" spans="20:62" x14ac:dyDescent="0.25">
      <c r="BE312" s="55"/>
      <c r="BF312" s="55"/>
      <c r="BG312" s="55"/>
      <c r="BH312" s="55"/>
      <c r="BI312" s="55"/>
      <c r="BJ312" s="55"/>
    </row>
    <row r="313" spans="20:62" x14ac:dyDescent="0.25">
      <c r="BE313" s="55"/>
      <c r="BF313" s="55"/>
      <c r="BG313" s="55"/>
      <c r="BH313" s="55"/>
      <c r="BI313" s="55"/>
      <c r="BJ313" s="55"/>
    </row>
    <row r="314" spans="20:62" x14ac:dyDescent="0.25">
      <c r="BE314" s="55"/>
      <c r="BF314" s="55"/>
      <c r="BG314" s="55"/>
      <c r="BH314" s="55"/>
      <c r="BI314" s="55"/>
      <c r="BJ314" s="55"/>
    </row>
    <row r="315" spans="20:62" x14ac:dyDescent="0.25">
      <c r="T315" s="55"/>
      <c r="U315" s="55"/>
      <c r="V315" s="55"/>
      <c r="AD315" s="55"/>
      <c r="AN315" s="55"/>
      <c r="AO315" s="55"/>
      <c r="AP315" s="55"/>
      <c r="AQ315" s="55"/>
      <c r="AR315" s="55"/>
      <c r="AS315" s="55"/>
      <c r="AT315" s="55"/>
      <c r="AW315" s="55"/>
      <c r="AX315" s="55"/>
      <c r="AY315" s="55"/>
      <c r="BE315" s="55"/>
      <c r="BF315" s="55"/>
      <c r="BG315" s="55"/>
      <c r="BH315" s="55"/>
      <c r="BI315" s="55"/>
      <c r="BJ315" s="55"/>
    </row>
    <row r="316" spans="20:62" x14ac:dyDescent="0.25">
      <c r="T316" s="55"/>
      <c r="U316" s="55"/>
      <c r="V316" s="55"/>
      <c r="AD316" s="55"/>
      <c r="AN316" s="55"/>
      <c r="AO316" s="55"/>
      <c r="AP316" s="55"/>
      <c r="AQ316" s="55"/>
      <c r="AR316" s="55"/>
      <c r="AS316" s="55"/>
      <c r="AT316" s="55"/>
      <c r="AW316" s="55"/>
      <c r="AX316" s="55"/>
      <c r="AY316" s="55"/>
      <c r="BE316" s="55"/>
      <c r="BF316" s="55"/>
      <c r="BG316" s="55"/>
      <c r="BH316" s="55"/>
      <c r="BI316" s="55"/>
      <c r="BJ316" s="55"/>
    </row>
    <row r="317" spans="20:62" x14ac:dyDescent="0.25">
      <c r="T317" s="55"/>
      <c r="U317" s="55"/>
      <c r="V317" s="55"/>
      <c r="AD317" s="55"/>
      <c r="AN317" s="55"/>
      <c r="AO317" s="55"/>
      <c r="AP317" s="55"/>
      <c r="AQ317" s="55"/>
      <c r="AR317" s="55"/>
      <c r="AS317" s="55"/>
      <c r="AT317" s="55"/>
      <c r="AW317" s="55"/>
      <c r="AX317" s="55"/>
      <c r="AY317" s="55"/>
      <c r="BE317" s="55"/>
      <c r="BF317" s="55"/>
      <c r="BG317" s="55"/>
      <c r="BH317" s="55"/>
      <c r="BI317" s="55"/>
      <c r="BJ317" s="55"/>
    </row>
    <row r="318" spans="20:62" x14ac:dyDescent="0.25">
      <c r="T318" s="55"/>
      <c r="U318" s="55"/>
      <c r="V318" s="55"/>
      <c r="AD318" s="55"/>
      <c r="AN318" s="55"/>
      <c r="AO318" s="55"/>
      <c r="AP318" s="55"/>
      <c r="AQ318" s="55"/>
      <c r="AR318" s="55"/>
      <c r="AS318" s="55"/>
      <c r="AT318" s="55"/>
      <c r="AW318" s="55"/>
      <c r="AX318" s="55"/>
      <c r="AY318" s="55"/>
      <c r="BE318" s="55"/>
      <c r="BF318" s="55"/>
      <c r="BG318" s="55"/>
      <c r="BH318" s="55"/>
      <c r="BI318" s="55"/>
      <c r="BJ318" s="55"/>
    </row>
    <row r="319" spans="20:62" x14ac:dyDescent="0.25">
      <c r="T319" s="55"/>
      <c r="BE319" s="55"/>
      <c r="BF319" s="55"/>
      <c r="BG319" s="55"/>
      <c r="BH319" s="55"/>
      <c r="BI319" s="55"/>
      <c r="BJ319" s="55"/>
    </row>
    <row r="320" spans="20:62" x14ac:dyDescent="0.25">
      <c r="T320" s="55"/>
      <c r="BE320" s="55"/>
      <c r="BF320" s="55"/>
      <c r="BG320" s="55"/>
      <c r="BH320" s="55"/>
      <c r="BI320" s="55"/>
      <c r="BJ320" s="55"/>
    </row>
    <row r="321" spans="57:62" x14ac:dyDescent="0.25">
      <c r="BE321" s="55"/>
      <c r="BF321" s="55"/>
      <c r="BG321" s="55"/>
      <c r="BH321" s="55"/>
      <c r="BI321" s="55"/>
      <c r="BJ321" s="55"/>
    </row>
    <row r="322" spans="57:62" x14ac:dyDescent="0.25">
      <c r="BE322" s="55"/>
      <c r="BF322" s="55"/>
      <c r="BG322" s="55"/>
      <c r="BH322" s="55"/>
      <c r="BI322" s="55"/>
      <c r="BJ322" s="55"/>
    </row>
    <row r="323" spans="57:62" x14ac:dyDescent="0.25">
      <c r="BE323" s="55"/>
      <c r="BF323" s="55"/>
      <c r="BG323" s="55"/>
      <c r="BH323" s="55"/>
      <c r="BI323" s="55"/>
      <c r="BJ323" s="55"/>
    </row>
    <row r="324" spans="57:62" x14ac:dyDescent="0.25">
      <c r="BE324" s="55"/>
      <c r="BF324" s="55"/>
      <c r="BG324" s="55"/>
      <c r="BH324" s="55"/>
      <c r="BI324" s="55"/>
      <c r="BJ324" s="55"/>
    </row>
    <row r="325" spans="57:62" x14ac:dyDescent="0.25">
      <c r="BE325" s="55"/>
      <c r="BF325" s="55"/>
      <c r="BG325" s="55"/>
      <c r="BH325" s="55"/>
      <c r="BI325" s="55"/>
      <c r="BJ325" s="55"/>
    </row>
    <row r="326" spans="57:62" x14ac:dyDescent="0.25">
      <c r="BE326" s="55"/>
      <c r="BF326" s="55"/>
      <c r="BG326" s="55"/>
    </row>
    <row r="327" spans="57:62" x14ac:dyDescent="0.25">
      <c r="BE327" s="55"/>
      <c r="BF327" s="55"/>
      <c r="BG327" s="55"/>
    </row>
    <row r="328" spans="57:62" x14ac:dyDescent="0.25">
      <c r="BE328" s="55"/>
      <c r="BF328" s="55"/>
      <c r="BG328" s="55"/>
    </row>
    <row r="329" spans="57:62" x14ac:dyDescent="0.25">
      <c r="BE329" s="55"/>
      <c r="BF329" s="55"/>
      <c r="BG329" s="55"/>
    </row>
    <row r="330" spans="57:62" x14ac:dyDescent="0.25">
      <c r="BE330" s="55"/>
      <c r="BF330" s="55"/>
      <c r="BG330" s="55"/>
    </row>
    <row r="331" spans="57:62" x14ac:dyDescent="0.25">
      <c r="BE331" s="55"/>
      <c r="BF331" s="55"/>
      <c r="BG331" s="55"/>
    </row>
    <row r="332" spans="57:62" x14ac:dyDescent="0.25">
      <c r="BE332" s="55"/>
      <c r="BF332" s="55"/>
      <c r="BG332" s="55"/>
    </row>
    <row r="333" spans="57:62" x14ac:dyDescent="0.25">
      <c r="BE333" s="55"/>
      <c r="BF333" s="55"/>
      <c r="BG333" s="55"/>
    </row>
    <row r="334" spans="57:62" x14ac:dyDescent="0.25">
      <c r="BE334" s="55"/>
      <c r="BF334" s="55"/>
      <c r="BG334" s="55"/>
    </row>
    <row r="335" spans="57:62" x14ac:dyDescent="0.25">
      <c r="BE335" s="55"/>
      <c r="BF335" s="55"/>
      <c r="BG335" s="55"/>
    </row>
    <row r="336" spans="57:62" x14ac:dyDescent="0.25">
      <c r="BE336" s="55"/>
      <c r="BF336" s="55"/>
      <c r="BG336" s="55"/>
    </row>
    <row r="337" spans="57:59" x14ac:dyDescent="0.25">
      <c r="BE337" s="55"/>
      <c r="BF337" s="55"/>
      <c r="BG337" s="55"/>
    </row>
    <row r="338" spans="57:59" x14ac:dyDescent="0.25">
      <c r="BE338" s="55"/>
      <c r="BF338" s="55"/>
      <c r="BG338" s="55"/>
    </row>
    <row r="339" spans="57:59" x14ac:dyDescent="0.25">
      <c r="BE339" s="55"/>
      <c r="BF339" s="55"/>
      <c r="BG339" s="55"/>
    </row>
    <row r="340" spans="57:59" x14ac:dyDescent="0.25">
      <c r="BE340" s="55"/>
      <c r="BF340" s="55"/>
      <c r="BG340" s="55"/>
    </row>
    <row r="341" spans="57:59" x14ac:dyDescent="0.25">
      <c r="BE341" s="55"/>
      <c r="BF341" s="55"/>
      <c r="BG341" s="55"/>
    </row>
    <row r="342" spans="57:59" x14ac:dyDescent="0.25">
      <c r="BE342" s="55"/>
      <c r="BF342" s="55"/>
      <c r="BG342" s="55"/>
    </row>
    <row r="343" spans="57:59" x14ac:dyDescent="0.25">
      <c r="BE343" s="55"/>
      <c r="BF343" s="55"/>
      <c r="BG343" s="55"/>
    </row>
    <row r="344" spans="57:59" x14ac:dyDescent="0.25">
      <c r="BE344" s="55"/>
      <c r="BF344" s="55"/>
      <c r="BG344" s="55"/>
    </row>
    <row r="345" spans="57:59" x14ac:dyDescent="0.25">
      <c r="BE345" s="55"/>
      <c r="BF345" s="55"/>
      <c r="BG345" s="55"/>
    </row>
    <row r="346" spans="57:59" x14ac:dyDescent="0.25">
      <c r="BE346" s="55"/>
      <c r="BF346" s="55"/>
      <c r="BG346" s="55"/>
    </row>
    <row r="347" spans="57:59" x14ac:dyDescent="0.25">
      <c r="BE347" s="55"/>
      <c r="BF347" s="55"/>
      <c r="BG347" s="55"/>
    </row>
    <row r="348" spans="57:59" x14ac:dyDescent="0.25">
      <c r="BE348" s="55"/>
      <c r="BF348" s="55"/>
      <c r="BG348" s="55"/>
    </row>
    <row r="349" spans="57:59" x14ac:dyDescent="0.25">
      <c r="BE349" s="55"/>
      <c r="BF349" s="55"/>
      <c r="BG349" s="55"/>
    </row>
    <row r="350" spans="57:59" x14ac:dyDescent="0.25">
      <c r="BE350" s="55"/>
      <c r="BF350" s="55"/>
      <c r="BG350" s="55"/>
    </row>
    <row r="351" spans="57:59" x14ac:dyDescent="0.25">
      <c r="BE351" s="55"/>
      <c r="BF351" s="55"/>
      <c r="BG351" s="55"/>
    </row>
    <row r="352" spans="57:59" x14ac:dyDescent="0.25">
      <c r="BE352" s="55"/>
      <c r="BF352" s="55"/>
      <c r="BG352" s="55"/>
    </row>
    <row r="353" spans="57:59" x14ac:dyDescent="0.25">
      <c r="BE353" s="55"/>
      <c r="BF353" s="55"/>
      <c r="BG353" s="55"/>
    </row>
    <row r="354" spans="57:59" x14ac:dyDescent="0.25">
      <c r="BE354" s="55"/>
      <c r="BF354" s="55"/>
      <c r="BG354" s="55"/>
    </row>
    <row r="355" spans="57:59" x14ac:dyDescent="0.25">
      <c r="BE355" s="55"/>
      <c r="BF355" s="55"/>
      <c r="BG355" s="55"/>
    </row>
    <row r="356" spans="57:59" x14ac:dyDescent="0.25">
      <c r="BE356" s="55"/>
      <c r="BF356" s="55"/>
      <c r="BG356" s="55"/>
    </row>
    <row r="357" spans="57:59" x14ac:dyDescent="0.25">
      <c r="BE357" s="55"/>
      <c r="BF357" s="55"/>
      <c r="BG357" s="55"/>
    </row>
    <row r="358" spans="57:59" x14ac:dyDescent="0.25">
      <c r="BE358" s="55"/>
      <c r="BF358" s="55"/>
      <c r="BG358" s="55"/>
    </row>
    <row r="359" spans="57:59" x14ac:dyDescent="0.25">
      <c r="BE359" s="55"/>
      <c r="BF359" s="55"/>
      <c r="BG359" s="55"/>
    </row>
    <row r="360" spans="57:59" x14ac:dyDescent="0.25">
      <c r="BE360" s="55"/>
      <c r="BF360" s="55"/>
      <c r="BG360" s="55"/>
    </row>
    <row r="361" spans="57:59" x14ac:dyDescent="0.25">
      <c r="BE361" s="55"/>
      <c r="BF361" s="55"/>
      <c r="BG361" s="55"/>
    </row>
    <row r="362" spans="57:59" x14ac:dyDescent="0.25">
      <c r="BE362" s="55"/>
      <c r="BF362" s="55"/>
      <c r="BG362" s="55"/>
    </row>
    <row r="363" spans="57:59" x14ac:dyDescent="0.25">
      <c r="BE363" s="55"/>
      <c r="BF363" s="55"/>
      <c r="BG363" s="55"/>
    </row>
    <row r="364" spans="57:59" x14ac:dyDescent="0.25">
      <c r="BE364" s="55"/>
      <c r="BF364" s="55"/>
      <c r="BG364" s="55"/>
    </row>
    <row r="365" spans="57:59" x14ac:dyDescent="0.25">
      <c r="BE365" s="55"/>
      <c r="BF365" s="55"/>
      <c r="BG365" s="55"/>
    </row>
    <row r="366" spans="57:59" x14ac:dyDescent="0.25">
      <c r="BE366" s="55"/>
      <c r="BF366" s="55"/>
      <c r="BG366" s="55"/>
    </row>
    <row r="367" spans="57:59" x14ac:dyDescent="0.25">
      <c r="BE367" s="55"/>
      <c r="BF367" s="55"/>
      <c r="BG367" s="55"/>
    </row>
    <row r="368" spans="57:59" x14ac:dyDescent="0.25">
      <c r="BE368" s="55"/>
      <c r="BF368" s="55"/>
      <c r="BG368" s="55"/>
    </row>
    <row r="369" spans="57:59" x14ac:dyDescent="0.25">
      <c r="BE369" s="55"/>
      <c r="BF369" s="55"/>
      <c r="BG369" s="55"/>
    </row>
    <row r="370" spans="57:59" x14ac:dyDescent="0.25">
      <c r="BE370" s="55"/>
      <c r="BF370" s="55"/>
      <c r="BG370" s="55"/>
    </row>
    <row r="371" spans="57:59" x14ac:dyDescent="0.25">
      <c r="BE371" s="55"/>
      <c r="BF371" s="55"/>
      <c r="BG371" s="55"/>
    </row>
    <row r="372" spans="57:59" x14ac:dyDescent="0.25">
      <c r="BE372" s="55"/>
      <c r="BF372" s="55"/>
      <c r="BG372" s="55"/>
    </row>
    <row r="373" spans="57:59" x14ac:dyDescent="0.25">
      <c r="BE373" s="55"/>
      <c r="BF373" s="55"/>
      <c r="BG373" s="55"/>
    </row>
    <row r="374" spans="57:59" x14ac:dyDescent="0.25">
      <c r="BE374" s="55"/>
      <c r="BF374" s="55"/>
      <c r="BG374" s="55"/>
    </row>
    <row r="375" spans="57:59" x14ac:dyDescent="0.25">
      <c r="BE375" s="55"/>
      <c r="BF375" s="55"/>
      <c r="BG375" s="55"/>
    </row>
    <row r="376" spans="57:59" x14ac:dyDescent="0.25">
      <c r="BE376" s="55"/>
      <c r="BF376" s="55"/>
      <c r="BG376" s="55"/>
    </row>
    <row r="377" spans="57:59" x14ac:dyDescent="0.25">
      <c r="BE377" s="55"/>
      <c r="BF377" s="55"/>
      <c r="BG377" s="55"/>
    </row>
    <row r="378" spans="57:59" x14ac:dyDescent="0.25">
      <c r="BE378" s="55"/>
      <c r="BF378" s="55"/>
      <c r="BG378" s="55"/>
    </row>
    <row r="379" spans="57:59" x14ac:dyDescent="0.25">
      <c r="BE379" s="55"/>
      <c r="BF379" s="55"/>
      <c r="BG379" s="55"/>
    </row>
    <row r="380" spans="57:59" x14ac:dyDescent="0.25">
      <c r="BE380" s="55"/>
      <c r="BF380" s="55"/>
      <c r="BG380" s="55"/>
    </row>
    <row r="381" spans="57:59" x14ac:dyDescent="0.25">
      <c r="BE381" s="55"/>
      <c r="BF381" s="55"/>
      <c r="BG381" s="55"/>
    </row>
    <row r="382" spans="57:59" x14ac:dyDescent="0.25">
      <c r="BE382" s="55"/>
      <c r="BF382" s="55"/>
      <c r="BG382" s="55"/>
    </row>
    <row r="383" spans="57:59" x14ac:dyDescent="0.25">
      <c r="BE383" s="55"/>
      <c r="BF383" s="55"/>
      <c r="BG383" s="55"/>
    </row>
    <row r="384" spans="57:59" x14ac:dyDescent="0.25">
      <c r="BE384" s="55"/>
      <c r="BF384" s="55"/>
      <c r="BG384" s="55"/>
    </row>
    <row r="385" spans="57:59" x14ac:dyDescent="0.25">
      <c r="BE385" s="55"/>
      <c r="BF385" s="55"/>
      <c r="BG385" s="55"/>
    </row>
    <row r="386" spans="57:59" x14ac:dyDescent="0.25">
      <c r="BE386" s="55"/>
      <c r="BF386" s="55"/>
      <c r="BG386" s="55"/>
    </row>
    <row r="387" spans="57:59" x14ac:dyDescent="0.25">
      <c r="BE387" s="55"/>
      <c r="BF387" s="55"/>
      <c r="BG387" s="55"/>
    </row>
    <row r="388" spans="57:59" x14ac:dyDescent="0.25">
      <c r="BE388" s="55"/>
      <c r="BF388" s="55"/>
      <c r="BG388" s="55"/>
    </row>
    <row r="389" spans="57:59" x14ac:dyDescent="0.25">
      <c r="BE389" s="55"/>
      <c r="BF389" s="55"/>
      <c r="BG389" s="55"/>
    </row>
    <row r="390" spans="57:59" x14ac:dyDescent="0.25">
      <c r="BE390" s="55"/>
      <c r="BF390" s="55"/>
      <c r="BG390" s="55"/>
    </row>
    <row r="391" spans="57:59" x14ac:dyDescent="0.25">
      <c r="BE391" s="55"/>
      <c r="BF391" s="55"/>
      <c r="BG391" s="55"/>
    </row>
    <row r="392" spans="57:59" x14ac:dyDescent="0.25">
      <c r="BE392" s="55"/>
      <c r="BF392" s="55"/>
      <c r="BG392" s="55"/>
    </row>
    <row r="393" spans="57:59" x14ac:dyDescent="0.25">
      <c r="BE393" s="55"/>
      <c r="BF393" s="55"/>
      <c r="BG393" s="55"/>
    </row>
    <row r="394" spans="57:59" x14ac:dyDescent="0.25">
      <c r="BE394" s="55"/>
      <c r="BF394" s="55"/>
      <c r="BG394" s="55"/>
    </row>
    <row r="395" spans="57:59" x14ac:dyDescent="0.25">
      <c r="BE395" s="55"/>
      <c r="BF395" s="55"/>
      <c r="BG395" s="55"/>
    </row>
    <row r="396" spans="57:59" x14ac:dyDescent="0.25">
      <c r="BE396" s="55"/>
      <c r="BF396" s="55"/>
      <c r="BG396" s="55"/>
    </row>
    <row r="397" spans="57:59" x14ac:dyDescent="0.25">
      <c r="BE397" s="55"/>
      <c r="BF397" s="55"/>
      <c r="BG397" s="55"/>
    </row>
    <row r="398" spans="57:59" x14ac:dyDescent="0.25">
      <c r="BE398" s="55"/>
      <c r="BF398" s="55"/>
      <c r="BG398" s="55"/>
    </row>
    <row r="399" spans="57:59" x14ac:dyDescent="0.25">
      <c r="BE399" s="55"/>
      <c r="BF399" s="55"/>
      <c r="BG399" s="55"/>
    </row>
    <row r="400" spans="57:59" x14ac:dyDescent="0.25">
      <c r="BE400" s="55"/>
      <c r="BF400" s="55"/>
      <c r="BG400" s="55"/>
    </row>
    <row r="401" spans="57:59" x14ac:dyDescent="0.25">
      <c r="BE401" s="55"/>
      <c r="BF401" s="55"/>
      <c r="BG401" s="55"/>
    </row>
    <row r="402" spans="57:59" x14ac:dyDescent="0.25">
      <c r="BE402" s="55"/>
      <c r="BF402" s="55"/>
      <c r="BG402" s="55"/>
    </row>
    <row r="403" spans="57:59" x14ac:dyDescent="0.25">
      <c r="BE403" s="55"/>
      <c r="BF403" s="55"/>
      <c r="BG403" s="55"/>
    </row>
    <row r="404" spans="57:59" x14ac:dyDescent="0.25">
      <c r="BE404" s="55"/>
      <c r="BF404" s="55"/>
      <c r="BG404" s="55"/>
    </row>
    <row r="405" spans="57:59" x14ac:dyDescent="0.25">
      <c r="BE405" s="55"/>
      <c r="BF405" s="55"/>
      <c r="BG405" s="55"/>
    </row>
    <row r="406" spans="57:59" x14ac:dyDescent="0.25">
      <c r="BE406" s="55"/>
      <c r="BF406" s="55"/>
      <c r="BG406" s="55"/>
    </row>
    <row r="407" spans="57:59" x14ac:dyDescent="0.25">
      <c r="BE407" s="55"/>
      <c r="BF407" s="55"/>
      <c r="BG407" s="55"/>
    </row>
    <row r="408" spans="57:59" x14ac:dyDescent="0.25">
      <c r="BE408" s="55"/>
      <c r="BF408" s="55"/>
      <c r="BG408" s="55"/>
    </row>
    <row r="409" spans="57:59" x14ac:dyDescent="0.25">
      <c r="BE409" s="55"/>
      <c r="BF409" s="55"/>
      <c r="BG409" s="55"/>
    </row>
    <row r="410" spans="57:59" x14ac:dyDescent="0.25">
      <c r="BE410" s="55"/>
      <c r="BF410" s="55"/>
      <c r="BG410" s="55"/>
    </row>
    <row r="411" spans="57:59" x14ac:dyDescent="0.25">
      <c r="BE411" s="55"/>
      <c r="BF411" s="55"/>
      <c r="BG411" s="55"/>
    </row>
    <row r="412" spans="57:59" x14ac:dyDescent="0.25">
      <c r="BE412" s="55"/>
      <c r="BF412" s="55"/>
      <c r="BG412" s="55"/>
    </row>
    <row r="413" spans="57:59" x14ac:dyDescent="0.25">
      <c r="BE413" s="55"/>
      <c r="BF413" s="55"/>
      <c r="BG413" s="55"/>
    </row>
    <row r="414" spans="57:59" x14ac:dyDescent="0.25">
      <c r="BE414" s="55"/>
      <c r="BF414" s="55"/>
      <c r="BG414" s="55"/>
    </row>
    <row r="415" spans="57:59" x14ac:dyDescent="0.25">
      <c r="BE415" s="55"/>
      <c r="BF415" s="55"/>
      <c r="BG415" s="55"/>
    </row>
    <row r="416" spans="57:59" x14ac:dyDescent="0.25">
      <c r="BE416" s="55"/>
      <c r="BF416" s="55"/>
      <c r="BG416" s="55"/>
    </row>
    <row r="417" spans="57:59" x14ac:dyDescent="0.25">
      <c r="BE417" s="55"/>
      <c r="BF417" s="55"/>
      <c r="BG417" s="55"/>
    </row>
    <row r="418" spans="57:59" x14ac:dyDescent="0.25">
      <c r="BE418" s="55"/>
      <c r="BF418" s="55"/>
      <c r="BG418" s="55"/>
    </row>
    <row r="419" spans="57:59" x14ac:dyDescent="0.25">
      <c r="BE419" s="55"/>
      <c r="BF419" s="55"/>
      <c r="BG419" s="55"/>
    </row>
    <row r="420" spans="57:59" x14ac:dyDescent="0.25">
      <c r="BE420" s="55"/>
      <c r="BF420" s="55"/>
      <c r="BG420" s="55"/>
    </row>
    <row r="421" spans="57:59" x14ac:dyDescent="0.25">
      <c r="BE421" s="55"/>
      <c r="BF421" s="55"/>
      <c r="BG421" s="55"/>
    </row>
    <row r="422" spans="57:59" x14ac:dyDescent="0.25">
      <c r="BE422" s="55"/>
      <c r="BF422" s="55"/>
      <c r="BG422" s="55"/>
    </row>
    <row r="423" spans="57:59" x14ac:dyDescent="0.25">
      <c r="BE423" s="55"/>
      <c r="BF423" s="55"/>
      <c r="BG423" s="55"/>
    </row>
    <row r="424" spans="57:59" x14ac:dyDescent="0.25">
      <c r="BE424" s="55"/>
      <c r="BF424" s="55"/>
      <c r="BG424" s="55"/>
    </row>
    <row r="425" spans="57:59" x14ac:dyDescent="0.25">
      <c r="BE425" s="55"/>
      <c r="BF425" s="55"/>
      <c r="BG425" s="55"/>
    </row>
    <row r="426" spans="57:59" x14ac:dyDescent="0.25">
      <c r="BE426" s="55"/>
      <c r="BF426" s="55"/>
      <c r="BG426" s="55"/>
    </row>
    <row r="427" spans="57:59" x14ac:dyDescent="0.25">
      <c r="BE427" s="55"/>
      <c r="BF427" s="55"/>
      <c r="BG427" s="55"/>
    </row>
    <row r="428" spans="57:59" x14ac:dyDescent="0.25">
      <c r="BE428" s="55"/>
      <c r="BF428" s="55"/>
      <c r="BG428" s="55"/>
    </row>
    <row r="429" spans="57:59" x14ac:dyDescent="0.25">
      <c r="BE429" s="55"/>
      <c r="BF429" s="55"/>
      <c r="BG429" s="55"/>
    </row>
    <row r="430" spans="57:59" x14ac:dyDescent="0.25">
      <c r="BE430" s="55"/>
      <c r="BF430" s="55"/>
      <c r="BG430" s="55"/>
    </row>
    <row r="431" spans="57:59" x14ac:dyDescent="0.25">
      <c r="BE431" s="55"/>
      <c r="BF431" s="55"/>
      <c r="BG431" s="55"/>
    </row>
    <row r="432" spans="57:59" x14ac:dyDescent="0.25">
      <c r="BE432" s="55"/>
      <c r="BF432" s="55"/>
      <c r="BG432" s="55"/>
    </row>
    <row r="433" spans="57:59" x14ac:dyDescent="0.25">
      <c r="BE433" s="55"/>
      <c r="BF433" s="55"/>
      <c r="BG433" s="55"/>
    </row>
    <row r="434" spans="57:59" x14ac:dyDescent="0.25">
      <c r="BE434" s="55"/>
      <c r="BF434" s="55"/>
      <c r="BG434" s="55"/>
    </row>
    <row r="435" spans="57:59" x14ac:dyDescent="0.25">
      <c r="BE435" s="55"/>
      <c r="BF435" s="55"/>
      <c r="BG435" s="55"/>
    </row>
    <row r="436" spans="57:59" x14ac:dyDescent="0.25">
      <c r="BE436" s="55"/>
      <c r="BF436" s="55"/>
      <c r="BG436" s="55"/>
    </row>
    <row r="437" spans="57:59" x14ac:dyDescent="0.25">
      <c r="BE437" s="55"/>
      <c r="BF437" s="55"/>
      <c r="BG437" s="55"/>
    </row>
    <row r="438" spans="57:59" x14ac:dyDescent="0.25">
      <c r="BE438" s="55"/>
      <c r="BF438" s="55"/>
      <c r="BG438" s="55"/>
    </row>
    <row r="439" spans="57:59" x14ac:dyDescent="0.25">
      <c r="BE439" s="55"/>
      <c r="BF439" s="55"/>
      <c r="BG439" s="55"/>
    </row>
    <row r="440" spans="57:59" x14ac:dyDescent="0.25">
      <c r="BE440" s="55"/>
      <c r="BF440" s="55"/>
      <c r="BG440" s="55"/>
    </row>
    <row r="441" spans="57:59" x14ac:dyDescent="0.25">
      <c r="BE441" s="55"/>
      <c r="BF441" s="55"/>
      <c r="BG441" s="55"/>
    </row>
    <row r="442" spans="57:59" x14ac:dyDescent="0.25">
      <c r="BE442" s="55"/>
      <c r="BF442" s="55"/>
      <c r="BG442" s="55"/>
    </row>
    <row r="443" spans="57:59" x14ac:dyDescent="0.25">
      <c r="BE443" s="55"/>
      <c r="BF443" s="55"/>
      <c r="BG443" s="55"/>
    </row>
    <row r="444" spans="57:59" x14ac:dyDescent="0.25">
      <c r="BE444" s="55"/>
      <c r="BF444" s="55"/>
      <c r="BG444" s="55"/>
    </row>
    <row r="445" spans="57:59" x14ac:dyDescent="0.25">
      <c r="BE445" s="55"/>
      <c r="BF445" s="55"/>
      <c r="BG445" s="55"/>
    </row>
    <row r="446" spans="57:59" x14ac:dyDescent="0.25">
      <c r="BE446" s="55"/>
      <c r="BF446" s="55"/>
      <c r="BG446" s="55"/>
    </row>
    <row r="447" spans="57:59" x14ac:dyDescent="0.25">
      <c r="BE447" s="55"/>
      <c r="BF447" s="55"/>
      <c r="BG447" s="55"/>
    </row>
    <row r="448" spans="57:59" x14ac:dyDescent="0.25">
      <c r="BE448" s="55"/>
      <c r="BF448" s="55"/>
      <c r="BG448" s="55"/>
    </row>
    <row r="449" spans="57:59" x14ac:dyDescent="0.25">
      <c r="BE449" s="55"/>
      <c r="BF449" s="55"/>
      <c r="BG449" s="55"/>
    </row>
    <row r="450" spans="57:59" x14ac:dyDescent="0.25">
      <c r="BE450" s="55"/>
      <c r="BF450" s="55"/>
      <c r="BG450" s="55"/>
    </row>
    <row r="451" spans="57:59" x14ac:dyDescent="0.25">
      <c r="BE451" s="55"/>
      <c r="BF451" s="55"/>
      <c r="BG451" s="55"/>
    </row>
    <row r="452" spans="57:59" x14ac:dyDescent="0.25">
      <c r="BE452" s="55"/>
      <c r="BF452" s="55"/>
      <c r="BG452" s="55"/>
    </row>
    <row r="453" spans="57:59" x14ac:dyDescent="0.25">
      <c r="BE453" s="55"/>
      <c r="BF453" s="55"/>
      <c r="BG453" s="55"/>
    </row>
    <row r="454" spans="57:59" x14ac:dyDescent="0.25">
      <c r="BE454" s="55"/>
      <c r="BF454" s="55"/>
      <c r="BG454" s="55"/>
    </row>
    <row r="455" spans="57:59" x14ac:dyDescent="0.25">
      <c r="BE455" s="55"/>
      <c r="BF455" s="55"/>
      <c r="BG455" s="55"/>
    </row>
    <row r="456" spans="57:59" x14ac:dyDescent="0.25">
      <c r="BE456" s="55"/>
      <c r="BF456" s="55"/>
      <c r="BG456" s="55"/>
    </row>
    <row r="457" spans="57:59" x14ac:dyDescent="0.25">
      <c r="BE457" s="55"/>
      <c r="BF457" s="55"/>
      <c r="BG457" s="55"/>
    </row>
    <row r="458" spans="57:59" x14ac:dyDescent="0.25">
      <c r="BE458" s="55"/>
      <c r="BF458" s="55"/>
      <c r="BG458" s="55"/>
    </row>
    <row r="459" spans="57:59" x14ac:dyDescent="0.25">
      <c r="BE459" s="55"/>
      <c r="BF459" s="55"/>
      <c r="BG459" s="55"/>
    </row>
    <row r="460" spans="57:59" x14ac:dyDescent="0.25">
      <c r="BE460" s="55"/>
      <c r="BF460" s="55"/>
      <c r="BG460" s="55"/>
    </row>
    <row r="461" spans="57:59" x14ac:dyDescent="0.25">
      <c r="BE461" s="55"/>
      <c r="BF461" s="55"/>
      <c r="BG461" s="55"/>
    </row>
    <row r="462" spans="57:59" x14ac:dyDescent="0.25">
      <c r="BE462" s="55"/>
      <c r="BF462" s="55"/>
      <c r="BG462" s="55"/>
    </row>
    <row r="463" spans="57:59" x14ac:dyDescent="0.25">
      <c r="BE463" s="55"/>
      <c r="BF463" s="55"/>
      <c r="BG463" s="55"/>
    </row>
    <row r="464" spans="57:59" x14ac:dyDescent="0.25">
      <c r="BE464" s="55"/>
      <c r="BF464" s="55"/>
      <c r="BG464" s="55"/>
    </row>
    <row r="465" spans="57:59" x14ac:dyDescent="0.25">
      <c r="BE465" s="55"/>
      <c r="BF465" s="55"/>
      <c r="BG465" s="55"/>
    </row>
    <row r="466" spans="57:59" x14ac:dyDescent="0.25">
      <c r="BE466" s="55"/>
      <c r="BF466" s="55"/>
      <c r="BG466" s="55"/>
    </row>
    <row r="467" spans="57:59" x14ac:dyDescent="0.25">
      <c r="BE467" s="55"/>
      <c r="BF467" s="55"/>
      <c r="BG467" s="55"/>
    </row>
    <row r="468" spans="57:59" x14ac:dyDescent="0.25">
      <c r="BE468" s="55"/>
      <c r="BF468" s="55"/>
      <c r="BG468" s="55"/>
    </row>
    <row r="469" spans="57:59" x14ac:dyDescent="0.25">
      <c r="BE469" s="55"/>
      <c r="BF469" s="55"/>
      <c r="BG469" s="55"/>
    </row>
    <row r="470" spans="57:59" x14ac:dyDescent="0.25">
      <c r="BE470" s="55"/>
      <c r="BF470" s="55"/>
      <c r="BG470" s="55"/>
    </row>
    <row r="471" spans="57:59" x14ac:dyDescent="0.25">
      <c r="BE471" s="55"/>
      <c r="BF471" s="55"/>
      <c r="BG471" s="55"/>
    </row>
    <row r="472" spans="57:59" x14ac:dyDescent="0.25">
      <c r="BE472" s="55"/>
      <c r="BF472" s="55"/>
      <c r="BG472" s="55"/>
    </row>
    <row r="473" spans="57:59" x14ac:dyDescent="0.25">
      <c r="BE473" s="55"/>
      <c r="BF473" s="55"/>
      <c r="BG473" s="55"/>
    </row>
    <row r="474" spans="57:59" x14ac:dyDescent="0.25">
      <c r="BE474" s="55"/>
      <c r="BF474" s="55"/>
      <c r="BG474" s="55"/>
    </row>
    <row r="475" spans="57:59" x14ac:dyDescent="0.25">
      <c r="BE475" s="55"/>
      <c r="BF475" s="55"/>
      <c r="BG475" s="55"/>
    </row>
    <row r="476" spans="57:59" x14ac:dyDescent="0.25">
      <c r="BE476" s="55"/>
      <c r="BF476" s="55"/>
      <c r="BG476" s="55"/>
    </row>
    <row r="477" spans="57:59" x14ac:dyDescent="0.25">
      <c r="BE477" s="55"/>
      <c r="BF477" s="55"/>
      <c r="BG477" s="55"/>
    </row>
    <row r="478" spans="57:59" x14ac:dyDescent="0.25">
      <c r="BE478" s="55"/>
      <c r="BF478" s="55"/>
      <c r="BG478" s="55"/>
    </row>
    <row r="479" spans="57:59" x14ac:dyDescent="0.25">
      <c r="BE479" s="55"/>
      <c r="BF479" s="55"/>
      <c r="BG479" s="55"/>
    </row>
    <row r="480" spans="57:59" x14ac:dyDescent="0.25">
      <c r="BE480" s="55"/>
      <c r="BF480" s="55"/>
      <c r="BG480" s="55"/>
    </row>
    <row r="481" spans="57:59" x14ac:dyDescent="0.25">
      <c r="BE481" s="55"/>
      <c r="BF481" s="55"/>
      <c r="BG481" s="55"/>
    </row>
    <row r="482" spans="57:59" x14ac:dyDescent="0.25">
      <c r="BE482" s="55"/>
      <c r="BF482" s="55"/>
      <c r="BG482" s="55"/>
    </row>
    <row r="483" spans="57:59" x14ac:dyDescent="0.25">
      <c r="BE483" s="55"/>
      <c r="BF483" s="55"/>
      <c r="BG483" s="55"/>
    </row>
    <row r="484" spans="57:59" x14ac:dyDescent="0.25">
      <c r="BE484" s="55"/>
      <c r="BF484" s="55"/>
      <c r="BG484" s="55"/>
    </row>
    <row r="485" spans="57:59" x14ac:dyDescent="0.25">
      <c r="BE485" s="55"/>
      <c r="BF485" s="55"/>
      <c r="BG485" s="55"/>
    </row>
    <row r="486" spans="57:59" x14ac:dyDescent="0.25">
      <c r="BE486" s="55"/>
      <c r="BF486" s="55"/>
      <c r="BG486" s="55"/>
    </row>
    <row r="487" spans="57:59" x14ac:dyDescent="0.25">
      <c r="BE487" s="55"/>
      <c r="BF487" s="55"/>
      <c r="BG487" s="55"/>
    </row>
    <row r="488" spans="57:59" x14ac:dyDescent="0.25">
      <c r="BE488" s="55"/>
      <c r="BF488" s="55"/>
      <c r="BG488" s="55"/>
    </row>
    <row r="489" spans="57:59" x14ac:dyDescent="0.25">
      <c r="BE489" s="55"/>
      <c r="BF489" s="55"/>
      <c r="BG489" s="55"/>
    </row>
    <row r="490" spans="57:59" x14ac:dyDescent="0.25">
      <c r="BE490" s="55"/>
      <c r="BF490" s="55"/>
      <c r="BG490" s="55"/>
    </row>
    <row r="491" spans="57:59" x14ac:dyDescent="0.25">
      <c r="BE491" s="55"/>
      <c r="BF491" s="55"/>
      <c r="BG491" s="55"/>
    </row>
    <row r="492" spans="57:59" x14ac:dyDescent="0.25">
      <c r="BE492" s="55"/>
      <c r="BF492" s="55"/>
      <c r="BG492" s="55"/>
    </row>
    <row r="493" spans="57:59" x14ac:dyDescent="0.25">
      <c r="BE493" s="55"/>
      <c r="BF493" s="55"/>
      <c r="BG493" s="55"/>
    </row>
    <row r="494" spans="57:59" x14ac:dyDescent="0.25">
      <c r="BE494" s="55"/>
      <c r="BF494" s="55"/>
      <c r="BG494" s="55"/>
    </row>
    <row r="495" spans="57:59" x14ac:dyDescent="0.25">
      <c r="BE495" s="55"/>
      <c r="BF495" s="55"/>
      <c r="BG495" s="55"/>
    </row>
    <row r="496" spans="57:59" x14ac:dyDescent="0.25">
      <c r="BE496" s="55"/>
      <c r="BF496" s="55"/>
      <c r="BG496" s="55"/>
    </row>
    <row r="497" spans="57:59" x14ac:dyDescent="0.25">
      <c r="BE497" s="55"/>
      <c r="BF497" s="55"/>
      <c r="BG497" s="55"/>
    </row>
    <row r="498" spans="57:59" x14ac:dyDescent="0.25">
      <c r="BE498" s="55"/>
      <c r="BF498" s="55"/>
      <c r="BG498" s="55"/>
    </row>
    <row r="499" spans="57:59" x14ac:dyDescent="0.25">
      <c r="BE499" s="55"/>
      <c r="BF499" s="55"/>
      <c r="BG499" s="55"/>
    </row>
    <row r="500" spans="57:59" x14ac:dyDescent="0.25">
      <c r="BE500" s="55"/>
      <c r="BF500" s="55"/>
      <c r="BG500" s="55"/>
    </row>
    <row r="501" spans="57:59" x14ac:dyDescent="0.25">
      <c r="BE501" s="55"/>
      <c r="BF501" s="55"/>
      <c r="BG501" s="55"/>
    </row>
    <row r="502" spans="57:59" x14ac:dyDescent="0.25">
      <c r="BE502" s="55"/>
      <c r="BF502" s="55"/>
      <c r="BG502" s="55"/>
    </row>
    <row r="503" spans="57:59" x14ac:dyDescent="0.25">
      <c r="BE503" s="55"/>
      <c r="BF503" s="55"/>
      <c r="BG503" s="55"/>
    </row>
    <row r="504" spans="57:59" x14ac:dyDescent="0.25">
      <c r="BE504" s="55"/>
      <c r="BF504" s="55"/>
      <c r="BG504" s="55"/>
    </row>
    <row r="505" spans="57:59" x14ac:dyDescent="0.25">
      <c r="BE505" s="55"/>
      <c r="BF505" s="55"/>
      <c r="BG505" s="55"/>
    </row>
    <row r="506" spans="57:59" x14ac:dyDescent="0.25">
      <c r="BE506" s="55"/>
      <c r="BF506" s="55"/>
      <c r="BG506" s="55"/>
    </row>
    <row r="507" spans="57:59" x14ac:dyDescent="0.25">
      <c r="BE507" s="55"/>
      <c r="BF507" s="55"/>
      <c r="BG507" s="55"/>
    </row>
    <row r="508" spans="57:59" x14ac:dyDescent="0.25">
      <c r="BE508" s="55"/>
      <c r="BF508" s="55"/>
      <c r="BG508" s="55"/>
    </row>
    <row r="509" spans="57:59" x14ac:dyDescent="0.25">
      <c r="BE509" s="55"/>
      <c r="BF509" s="55"/>
      <c r="BG509" s="55"/>
    </row>
    <row r="510" spans="57:59" x14ac:dyDescent="0.25">
      <c r="BE510" s="55"/>
      <c r="BF510" s="55"/>
      <c r="BG510" s="55"/>
    </row>
    <row r="511" spans="57:59" x14ac:dyDescent="0.25">
      <c r="BE511" s="55"/>
      <c r="BF511" s="55"/>
      <c r="BG511" s="55"/>
    </row>
    <row r="512" spans="57:59" x14ac:dyDescent="0.25">
      <c r="BE512" s="55"/>
      <c r="BF512" s="55"/>
      <c r="BG512" s="55"/>
    </row>
    <row r="513" spans="57:59" x14ac:dyDescent="0.25">
      <c r="BE513" s="55"/>
      <c r="BF513" s="55"/>
      <c r="BG513" s="55"/>
    </row>
    <row r="514" spans="57:59" x14ac:dyDescent="0.25">
      <c r="BE514" s="55"/>
      <c r="BF514" s="55"/>
      <c r="BG514" s="55"/>
    </row>
    <row r="515" spans="57:59" x14ac:dyDescent="0.25">
      <c r="BE515" s="55"/>
      <c r="BF515" s="55"/>
      <c r="BG515" s="55"/>
    </row>
    <row r="516" spans="57:59" x14ac:dyDescent="0.25">
      <c r="BE516" s="55"/>
      <c r="BF516" s="55"/>
      <c r="BG516" s="55"/>
    </row>
    <row r="517" spans="57:59" x14ac:dyDescent="0.25">
      <c r="BE517" s="55"/>
      <c r="BF517" s="55"/>
      <c r="BG517" s="55"/>
    </row>
    <row r="518" spans="57:59" x14ac:dyDescent="0.25">
      <c r="BE518" s="55"/>
      <c r="BF518" s="55"/>
      <c r="BG518" s="55"/>
    </row>
    <row r="519" spans="57:59" x14ac:dyDescent="0.25">
      <c r="BE519" s="55"/>
      <c r="BF519" s="55"/>
      <c r="BG519" s="55"/>
    </row>
    <row r="520" spans="57:59" x14ac:dyDescent="0.25">
      <c r="BE520" s="55"/>
      <c r="BF520" s="55"/>
      <c r="BG520" s="55"/>
    </row>
    <row r="521" spans="57:59" x14ac:dyDescent="0.25">
      <c r="BE521" s="55"/>
      <c r="BF521" s="55"/>
      <c r="BG521" s="55"/>
    </row>
    <row r="522" spans="57:59" x14ac:dyDescent="0.25">
      <c r="BE522" s="55"/>
      <c r="BF522" s="55"/>
      <c r="BG522" s="55"/>
    </row>
    <row r="523" spans="57:59" x14ac:dyDescent="0.25">
      <c r="BE523" s="55"/>
      <c r="BF523" s="55"/>
      <c r="BG523" s="55"/>
    </row>
    <row r="524" spans="57:59" x14ac:dyDescent="0.25">
      <c r="BE524" s="55"/>
      <c r="BF524" s="55"/>
      <c r="BG524" s="55"/>
    </row>
    <row r="525" spans="57:59" x14ac:dyDescent="0.25">
      <c r="BE525" s="55"/>
      <c r="BF525" s="55"/>
      <c r="BG525" s="55"/>
    </row>
    <row r="526" spans="57:59" x14ac:dyDescent="0.25">
      <c r="BE526" s="55"/>
      <c r="BF526" s="55"/>
      <c r="BG526" s="55"/>
    </row>
    <row r="527" spans="57:59" x14ac:dyDescent="0.25">
      <c r="BE527" s="55"/>
      <c r="BF527" s="55"/>
      <c r="BG527" s="55"/>
    </row>
    <row r="528" spans="57:59" x14ac:dyDescent="0.25">
      <c r="BE528" s="55"/>
      <c r="BF528" s="55"/>
      <c r="BG528" s="55"/>
    </row>
    <row r="529" spans="57:59" x14ac:dyDescent="0.25">
      <c r="BE529" s="55"/>
      <c r="BF529" s="55"/>
      <c r="BG529" s="55"/>
    </row>
    <row r="530" spans="57:59" x14ac:dyDescent="0.25">
      <c r="BE530" s="55"/>
      <c r="BF530" s="55"/>
      <c r="BG530" s="55"/>
    </row>
    <row r="531" spans="57:59" x14ac:dyDescent="0.25">
      <c r="BE531" s="55"/>
      <c r="BF531" s="55"/>
      <c r="BG531" s="55"/>
    </row>
    <row r="532" spans="57:59" x14ac:dyDescent="0.25">
      <c r="BE532" s="55"/>
      <c r="BF532" s="55"/>
      <c r="BG532" s="55"/>
    </row>
    <row r="533" spans="57:59" x14ac:dyDescent="0.25">
      <c r="BE533" s="55"/>
      <c r="BF533" s="55"/>
      <c r="BG533" s="55"/>
    </row>
    <row r="534" spans="57:59" x14ac:dyDescent="0.25">
      <c r="BE534" s="55"/>
      <c r="BF534" s="55"/>
      <c r="BG534" s="55"/>
    </row>
    <row r="535" spans="57:59" x14ac:dyDescent="0.25">
      <c r="BE535" s="55"/>
      <c r="BF535" s="55"/>
      <c r="BG535" s="55"/>
    </row>
    <row r="536" spans="57:59" x14ac:dyDescent="0.25">
      <c r="BE536" s="55"/>
      <c r="BF536" s="55"/>
      <c r="BG536" s="55"/>
    </row>
    <row r="537" spans="57:59" x14ac:dyDescent="0.25">
      <c r="BE537" s="55"/>
      <c r="BF537" s="55"/>
      <c r="BG537" s="55"/>
    </row>
    <row r="538" spans="57:59" x14ac:dyDescent="0.25">
      <c r="BE538" s="55"/>
      <c r="BF538" s="55"/>
      <c r="BG538" s="55"/>
    </row>
    <row r="539" spans="57:59" x14ac:dyDescent="0.25">
      <c r="BE539" s="55"/>
      <c r="BF539" s="55"/>
      <c r="BG539" s="55"/>
    </row>
    <row r="540" spans="57:59" x14ac:dyDescent="0.25">
      <c r="BE540" s="55"/>
      <c r="BF540" s="55"/>
      <c r="BG540" s="55"/>
    </row>
    <row r="541" spans="57:59" x14ac:dyDescent="0.25">
      <c r="BE541" s="55"/>
      <c r="BF541" s="55"/>
      <c r="BG541" s="55"/>
    </row>
    <row r="542" spans="57:59" x14ac:dyDescent="0.25">
      <c r="BE542" s="55"/>
      <c r="BF542" s="55"/>
      <c r="BG542" s="55"/>
    </row>
    <row r="543" spans="57:59" x14ac:dyDescent="0.25">
      <c r="BE543" s="55"/>
      <c r="BF543" s="55"/>
      <c r="BG543" s="55"/>
    </row>
    <row r="544" spans="57:59" x14ac:dyDescent="0.25">
      <c r="BE544" s="55"/>
      <c r="BF544" s="55"/>
      <c r="BG544" s="55"/>
    </row>
    <row r="545" spans="57:59" x14ac:dyDescent="0.25">
      <c r="BE545" s="55"/>
      <c r="BF545" s="55"/>
      <c r="BG545" s="55"/>
    </row>
    <row r="546" spans="57:59" x14ac:dyDescent="0.25">
      <c r="BE546" s="55"/>
      <c r="BF546" s="55"/>
      <c r="BG546" s="55"/>
    </row>
    <row r="547" spans="57:59" x14ac:dyDescent="0.25">
      <c r="BE547" s="55"/>
      <c r="BF547" s="55"/>
      <c r="BG547" s="55"/>
    </row>
    <row r="548" spans="57:59" x14ac:dyDescent="0.25">
      <c r="BE548" s="55"/>
      <c r="BF548" s="55"/>
      <c r="BG548" s="55"/>
    </row>
    <row r="549" spans="57:59" x14ac:dyDescent="0.25">
      <c r="BE549" s="55"/>
      <c r="BF549" s="55"/>
      <c r="BG549" s="55"/>
    </row>
    <row r="550" spans="57:59" x14ac:dyDescent="0.25">
      <c r="BE550" s="55"/>
      <c r="BF550" s="55"/>
      <c r="BG550" s="55"/>
    </row>
    <row r="551" spans="57:59" x14ac:dyDescent="0.25">
      <c r="BE551" s="55"/>
      <c r="BF551" s="55"/>
      <c r="BG551" s="55"/>
    </row>
    <row r="552" spans="57:59" x14ac:dyDescent="0.25">
      <c r="BE552" s="55"/>
      <c r="BF552" s="55"/>
      <c r="BG552" s="55"/>
    </row>
    <row r="553" spans="57:59" x14ac:dyDescent="0.25">
      <c r="BE553" s="55"/>
      <c r="BF553" s="55"/>
      <c r="BG553" s="55"/>
    </row>
    <row r="554" spans="57:59" x14ac:dyDescent="0.25">
      <c r="BE554" s="55"/>
      <c r="BF554" s="55"/>
      <c r="BG554" s="55"/>
    </row>
    <row r="555" spans="57:59" x14ac:dyDescent="0.25">
      <c r="BE555" s="55"/>
      <c r="BF555" s="55"/>
      <c r="BG555" s="55"/>
    </row>
    <row r="556" spans="57:59" x14ac:dyDescent="0.25">
      <c r="BE556" s="55"/>
      <c r="BF556" s="55"/>
      <c r="BG556" s="55"/>
    </row>
    <row r="557" spans="57:59" x14ac:dyDescent="0.25">
      <c r="BE557" s="55"/>
      <c r="BF557" s="55"/>
      <c r="BG557" s="55"/>
    </row>
    <row r="558" spans="57:59" x14ac:dyDescent="0.25">
      <c r="BE558" s="55"/>
      <c r="BF558" s="55"/>
      <c r="BG558" s="55"/>
    </row>
    <row r="559" spans="57:59" x14ac:dyDescent="0.25">
      <c r="BE559" s="55"/>
      <c r="BF559" s="55"/>
      <c r="BG559" s="55"/>
    </row>
    <row r="560" spans="57:59" x14ac:dyDescent="0.25">
      <c r="BE560" s="55"/>
      <c r="BF560" s="55"/>
      <c r="BG560" s="55"/>
    </row>
    <row r="561" spans="57:59" x14ac:dyDescent="0.25">
      <c r="BE561" s="55"/>
      <c r="BF561" s="55"/>
      <c r="BG561" s="55"/>
    </row>
    <row r="562" spans="57:59" x14ac:dyDescent="0.25">
      <c r="BE562" s="55"/>
      <c r="BF562" s="55"/>
      <c r="BG562" s="55"/>
    </row>
    <row r="563" spans="57:59" x14ac:dyDescent="0.25">
      <c r="BE563" s="55"/>
      <c r="BF563" s="55"/>
      <c r="BG563" s="55"/>
    </row>
    <row r="564" spans="57:59" x14ac:dyDescent="0.25">
      <c r="BE564" s="55"/>
      <c r="BF564" s="55"/>
      <c r="BG564" s="55"/>
    </row>
    <row r="565" spans="57:59" x14ac:dyDescent="0.25">
      <c r="BE565" s="55"/>
      <c r="BF565" s="55"/>
      <c r="BG565" s="55"/>
    </row>
    <row r="566" spans="57:59" x14ac:dyDescent="0.25">
      <c r="BE566" s="55"/>
      <c r="BF566" s="55"/>
      <c r="BG566" s="55"/>
    </row>
    <row r="567" spans="57:59" x14ac:dyDescent="0.25">
      <c r="BE567" s="55"/>
      <c r="BF567" s="55"/>
      <c r="BG567" s="55"/>
    </row>
    <row r="568" spans="57:59" x14ac:dyDescent="0.25">
      <c r="BE568" s="55"/>
      <c r="BF568" s="55"/>
      <c r="BG568" s="55"/>
    </row>
    <row r="569" spans="57:59" x14ac:dyDescent="0.25">
      <c r="BE569" s="55"/>
      <c r="BF569" s="55"/>
      <c r="BG569" s="55"/>
    </row>
    <row r="570" spans="57:59" x14ac:dyDescent="0.25">
      <c r="BE570" s="55"/>
      <c r="BF570" s="55"/>
      <c r="BG570" s="55"/>
    </row>
    <row r="571" spans="57:59" x14ac:dyDescent="0.25">
      <c r="BE571" s="55"/>
      <c r="BF571" s="55"/>
      <c r="BG571" s="55"/>
    </row>
    <row r="572" spans="57:59" x14ac:dyDescent="0.25">
      <c r="BE572" s="55"/>
      <c r="BF572" s="55"/>
      <c r="BG572" s="55"/>
    </row>
    <row r="573" spans="57:59" x14ac:dyDescent="0.25">
      <c r="BE573" s="55"/>
      <c r="BF573" s="55"/>
      <c r="BG573" s="55"/>
    </row>
    <row r="574" spans="57:59" x14ac:dyDescent="0.25">
      <c r="BE574" s="55"/>
      <c r="BF574" s="55"/>
      <c r="BG574" s="55"/>
    </row>
    <row r="575" spans="57:59" x14ac:dyDescent="0.25">
      <c r="BE575" s="55"/>
      <c r="BF575" s="55"/>
      <c r="BG575" s="55"/>
    </row>
    <row r="576" spans="57:59" x14ac:dyDescent="0.25">
      <c r="BE576" s="55"/>
      <c r="BF576" s="55"/>
      <c r="BG576" s="55"/>
    </row>
    <row r="577" spans="57:59" x14ac:dyDescent="0.25">
      <c r="BE577" s="55"/>
      <c r="BF577" s="55"/>
      <c r="BG577" s="55"/>
    </row>
    <row r="578" spans="57:59" x14ac:dyDescent="0.25">
      <c r="BE578" s="55"/>
      <c r="BF578" s="55"/>
      <c r="BG578" s="55"/>
    </row>
    <row r="579" spans="57:59" x14ac:dyDescent="0.25">
      <c r="BE579" s="55"/>
      <c r="BF579" s="55"/>
      <c r="BG579" s="55"/>
    </row>
    <row r="580" spans="57:59" x14ac:dyDescent="0.25">
      <c r="BE580" s="55"/>
      <c r="BF580" s="55"/>
      <c r="BG580" s="55"/>
    </row>
    <row r="581" spans="57:59" x14ac:dyDescent="0.25">
      <c r="BE581" s="55"/>
      <c r="BF581" s="55"/>
      <c r="BG581" s="55"/>
    </row>
    <row r="582" spans="57:59" x14ac:dyDescent="0.25">
      <c r="BE582" s="55"/>
      <c r="BF582" s="55"/>
      <c r="BG582" s="55"/>
    </row>
    <row r="583" spans="57:59" x14ac:dyDescent="0.25">
      <c r="BE583" s="55"/>
      <c r="BF583" s="55"/>
      <c r="BG583" s="55"/>
    </row>
    <row r="584" spans="57:59" x14ac:dyDescent="0.25">
      <c r="BE584" s="55"/>
      <c r="BF584" s="55"/>
      <c r="BG584" s="55"/>
    </row>
    <row r="585" spans="57:59" x14ac:dyDescent="0.25">
      <c r="BE585" s="55"/>
      <c r="BF585" s="55"/>
      <c r="BG585" s="55"/>
    </row>
    <row r="586" spans="57:59" x14ac:dyDescent="0.25">
      <c r="BE586" s="55"/>
      <c r="BF586" s="55"/>
      <c r="BG586" s="55"/>
    </row>
    <row r="587" spans="57:59" x14ac:dyDescent="0.25">
      <c r="BE587" s="55"/>
      <c r="BF587" s="55"/>
      <c r="BG587" s="55"/>
    </row>
    <row r="588" spans="57:59" x14ac:dyDescent="0.25">
      <c r="BE588" s="55"/>
      <c r="BF588" s="55"/>
      <c r="BG588" s="55"/>
    </row>
    <row r="589" spans="57:59" x14ac:dyDescent="0.25">
      <c r="BE589" s="55"/>
      <c r="BF589" s="55"/>
      <c r="BG589" s="55"/>
    </row>
    <row r="590" spans="57:59" x14ac:dyDescent="0.25">
      <c r="BE590" s="55"/>
      <c r="BF590" s="55"/>
      <c r="BG590" s="55"/>
    </row>
    <row r="591" spans="57:59" x14ac:dyDescent="0.25">
      <c r="BE591" s="55"/>
      <c r="BF591" s="55"/>
      <c r="BG591" s="55"/>
    </row>
    <row r="592" spans="57:59" x14ac:dyDescent="0.25">
      <c r="BE592" s="55"/>
      <c r="BF592" s="55"/>
      <c r="BG592" s="55"/>
    </row>
    <row r="593" spans="57:59" x14ac:dyDescent="0.25">
      <c r="BE593" s="55"/>
      <c r="BF593" s="55"/>
      <c r="BG593" s="55"/>
    </row>
    <row r="594" spans="57:59" x14ac:dyDescent="0.25">
      <c r="BE594" s="55"/>
      <c r="BF594" s="55"/>
      <c r="BG594" s="55"/>
    </row>
    <row r="595" spans="57:59" x14ac:dyDescent="0.25">
      <c r="BE595" s="55"/>
      <c r="BF595" s="55"/>
      <c r="BG595" s="55"/>
    </row>
    <row r="596" spans="57:59" x14ac:dyDescent="0.25">
      <c r="BE596" s="55"/>
      <c r="BF596" s="55"/>
      <c r="BG596" s="55"/>
    </row>
    <row r="597" spans="57:59" x14ac:dyDescent="0.25">
      <c r="BE597" s="55"/>
      <c r="BF597" s="55"/>
      <c r="BG597" s="55"/>
    </row>
    <row r="598" spans="57:59" x14ac:dyDescent="0.25">
      <c r="BE598" s="55"/>
      <c r="BF598" s="55"/>
      <c r="BG598" s="55"/>
    </row>
    <row r="599" spans="57:59" x14ac:dyDescent="0.25">
      <c r="BE599" s="55"/>
      <c r="BF599" s="55"/>
      <c r="BG599" s="55"/>
    </row>
    <row r="600" spans="57:59" x14ac:dyDescent="0.25">
      <c r="BE600" s="55"/>
      <c r="BF600" s="55"/>
      <c r="BG600" s="55"/>
    </row>
    <row r="601" spans="57:59" x14ac:dyDescent="0.25">
      <c r="BE601" s="55"/>
      <c r="BF601" s="55"/>
      <c r="BG601" s="55"/>
    </row>
    <row r="602" spans="57:59" x14ac:dyDescent="0.25">
      <c r="BE602" s="55"/>
      <c r="BF602" s="55"/>
      <c r="BG602" s="55"/>
    </row>
    <row r="603" spans="57:59" x14ac:dyDescent="0.25">
      <c r="BE603" s="55"/>
      <c r="BF603" s="55"/>
      <c r="BG603" s="55"/>
    </row>
    <row r="604" spans="57:59" x14ac:dyDescent="0.25">
      <c r="BE604" s="55"/>
      <c r="BF604" s="55"/>
      <c r="BG604" s="55"/>
    </row>
    <row r="605" spans="57:59" x14ac:dyDescent="0.25">
      <c r="BE605" s="55"/>
      <c r="BF605" s="55"/>
      <c r="BG605" s="55"/>
    </row>
    <row r="606" spans="57:59" x14ac:dyDescent="0.25">
      <c r="BE606" s="55"/>
      <c r="BF606" s="55"/>
      <c r="BG606" s="55"/>
    </row>
    <row r="607" spans="57:59" x14ac:dyDescent="0.25">
      <c r="BE607" s="55"/>
      <c r="BF607" s="55"/>
      <c r="BG607" s="55"/>
    </row>
    <row r="608" spans="57:59" x14ac:dyDescent="0.25">
      <c r="BE608" s="55"/>
      <c r="BF608" s="55"/>
      <c r="BG608" s="55"/>
    </row>
    <row r="609" spans="57:59" x14ac:dyDescent="0.25">
      <c r="BE609" s="55"/>
      <c r="BF609" s="55"/>
      <c r="BG609" s="55"/>
    </row>
    <row r="610" spans="57:59" x14ac:dyDescent="0.25">
      <c r="BE610" s="55"/>
      <c r="BF610" s="55"/>
      <c r="BG610" s="55"/>
    </row>
    <row r="611" spans="57:59" x14ac:dyDescent="0.25">
      <c r="BE611" s="55"/>
      <c r="BF611" s="55"/>
      <c r="BG611" s="55"/>
    </row>
    <row r="612" spans="57:59" x14ac:dyDescent="0.25">
      <c r="BE612" s="55"/>
      <c r="BF612" s="55"/>
      <c r="BG612" s="55"/>
    </row>
    <row r="613" spans="57:59" x14ac:dyDescent="0.25">
      <c r="BE613" s="55"/>
      <c r="BF613" s="55"/>
      <c r="BG613" s="55"/>
    </row>
    <row r="614" spans="57:59" x14ac:dyDescent="0.25">
      <c r="BE614" s="55"/>
      <c r="BF614" s="55"/>
      <c r="BG614" s="55"/>
    </row>
    <row r="615" spans="57:59" x14ac:dyDescent="0.25">
      <c r="BE615" s="55"/>
      <c r="BF615" s="55"/>
      <c r="BG615" s="55"/>
    </row>
    <row r="616" spans="57:59" x14ac:dyDescent="0.25">
      <c r="BE616" s="55"/>
      <c r="BF616" s="55"/>
      <c r="BG616" s="55"/>
    </row>
    <row r="617" spans="57:59" x14ac:dyDescent="0.25">
      <c r="BE617" s="55"/>
      <c r="BF617" s="55"/>
      <c r="BG617" s="55"/>
    </row>
    <row r="618" spans="57:59" x14ac:dyDescent="0.25">
      <c r="BE618" s="55"/>
      <c r="BF618" s="55"/>
      <c r="BG618" s="55"/>
    </row>
    <row r="619" spans="57:59" x14ac:dyDescent="0.25">
      <c r="BE619" s="55"/>
      <c r="BF619" s="55"/>
      <c r="BG619" s="55"/>
    </row>
    <row r="620" spans="57:59" x14ac:dyDescent="0.25">
      <c r="BE620" s="55"/>
      <c r="BF620" s="55"/>
      <c r="BG620" s="55"/>
    </row>
    <row r="621" spans="57:59" x14ac:dyDescent="0.25">
      <c r="BE621" s="55"/>
      <c r="BF621" s="55"/>
      <c r="BG621" s="55"/>
    </row>
    <row r="622" spans="57:59" x14ac:dyDescent="0.25">
      <c r="BE622" s="55"/>
      <c r="BF622" s="55"/>
      <c r="BG622" s="55"/>
    </row>
    <row r="623" spans="57:59" x14ac:dyDescent="0.25">
      <c r="BE623" s="55"/>
      <c r="BF623" s="55"/>
      <c r="BG623" s="55"/>
    </row>
    <row r="624" spans="57:59" x14ac:dyDescent="0.25">
      <c r="BE624" s="55"/>
      <c r="BF624" s="55"/>
      <c r="BG624" s="55"/>
    </row>
    <row r="625" spans="57:59" x14ac:dyDescent="0.25">
      <c r="BE625" s="55"/>
      <c r="BF625" s="55"/>
      <c r="BG625" s="55"/>
    </row>
    <row r="626" spans="57:59" x14ac:dyDescent="0.25">
      <c r="BE626" s="55"/>
      <c r="BF626" s="55"/>
      <c r="BG626" s="55"/>
    </row>
    <row r="627" spans="57:59" x14ac:dyDescent="0.25">
      <c r="BE627" s="55"/>
      <c r="BF627" s="55"/>
      <c r="BG627" s="55"/>
    </row>
    <row r="628" spans="57:59" x14ac:dyDescent="0.25">
      <c r="BE628" s="55"/>
      <c r="BF628" s="55"/>
      <c r="BG628" s="55"/>
    </row>
    <row r="629" spans="57:59" x14ac:dyDescent="0.25">
      <c r="BE629" s="55"/>
      <c r="BF629" s="55"/>
      <c r="BG629" s="55"/>
    </row>
    <row r="630" spans="57:59" x14ac:dyDescent="0.25">
      <c r="BE630" s="55"/>
      <c r="BF630" s="55"/>
      <c r="BG630" s="55"/>
    </row>
    <row r="631" spans="57:59" x14ac:dyDescent="0.25">
      <c r="BE631" s="55"/>
      <c r="BF631" s="55"/>
      <c r="BG631" s="55"/>
    </row>
    <row r="632" spans="57:59" x14ac:dyDescent="0.25">
      <c r="BE632" s="55"/>
      <c r="BF632" s="55"/>
      <c r="BG632" s="55"/>
    </row>
    <row r="633" spans="57:59" x14ac:dyDescent="0.25">
      <c r="BE633" s="55"/>
      <c r="BF633" s="55"/>
      <c r="BG633" s="55"/>
    </row>
    <row r="634" spans="57:59" x14ac:dyDescent="0.25">
      <c r="BE634" s="55"/>
      <c r="BF634" s="55"/>
      <c r="BG634" s="55"/>
    </row>
    <row r="635" spans="57:59" x14ac:dyDescent="0.25">
      <c r="BE635" s="55"/>
      <c r="BF635" s="55"/>
      <c r="BG635" s="55"/>
    </row>
    <row r="636" spans="57:59" x14ac:dyDescent="0.25">
      <c r="BE636" s="55"/>
      <c r="BF636" s="55"/>
      <c r="BG636" s="55"/>
    </row>
    <row r="637" spans="57:59" x14ac:dyDescent="0.25">
      <c r="BE637" s="55"/>
      <c r="BF637" s="55"/>
      <c r="BG637" s="55"/>
    </row>
    <row r="638" spans="57:59" x14ac:dyDescent="0.25">
      <c r="BE638" s="55"/>
      <c r="BF638" s="55"/>
      <c r="BG638" s="55"/>
    </row>
    <row r="639" spans="57:59" x14ac:dyDescent="0.25">
      <c r="BE639" s="55"/>
      <c r="BF639" s="55"/>
      <c r="BG639" s="55"/>
    </row>
    <row r="640" spans="57:59" x14ac:dyDescent="0.25">
      <c r="BE640" s="55"/>
      <c r="BF640" s="55"/>
      <c r="BG640" s="55"/>
    </row>
    <row r="641" spans="57:59" x14ac:dyDescent="0.25">
      <c r="BE641" s="55"/>
      <c r="BF641" s="55"/>
      <c r="BG641" s="55"/>
    </row>
    <row r="642" spans="57:59" x14ac:dyDescent="0.25">
      <c r="BE642" s="55"/>
      <c r="BF642" s="55"/>
      <c r="BG642" s="55"/>
    </row>
    <row r="643" spans="57:59" x14ac:dyDescent="0.25">
      <c r="BE643" s="55"/>
      <c r="BF643" s="55"/>
      <c r="BG643" s="55"/>
    </row>
    <row r="644" spans="57:59" x14ac:dyDescent="0.25">
      <c r="BE644" s="55"/>
      <c r="BF644" s="55"/>
      <c r="BG644" s="55"/>
    </row>
    <row r="645" spans="57:59" x14ac:dyDescent="0.25">
      <c r="BE645" s="55"/>
      <c r="BF645" s="55"/>
      <c r="BG645" s="55"/>
    </row>
    <row r="646" spans="57:59" x14ac:dyDescent="0.25">
      <c r="BE646" s="55"/>
      <c r="BF646" s="55"/>
      <c r="BG646" s="55"/>
    </row>
    <row r="647" spans="57:59" x14ac:dyDescent="0.25">
      <c r="BE647" s="55"/>
      <c r="BF647" s="55"/>
      <c r="BG647" s="55"/>
    </row>
    <row r="648" spans="57:59" x14ac:dyDescent="0.25">
      <c r="BE648" s="55"/>
      <c r="BF648" s="55"/>
      <c r="BG648" s="55"/>
    </row>
    <row r="649" spans="57:59" x14ac:dyDescent="0.25">
      <c r="BE649" s="55"/>
      <c r="BF649" s="55"/>
      <c r="BG649" s="55"/>
    </row>
    <row r="650" spans="57:59" x14ac:dyDescent="0.25">
      <c r="BE650" s="55"/>
      <c r="BF650" s="55"/>
      <c r="BG650" s="55"/>
    </row>
    <row r="651" spans="57:59" x14ac:dyDescent="0.25">
      <c r="BE651" s="55"/>
      <c r="BF651" s="55"/>
      <c r="BG651" s="55"/>
    </row>
    <row r="652" spans="57:59" x14ac:dyDescent="0.25">
      <c r="BE652" s="55"/>
      <c r="BF652" s="55"/>
      <c r="BG652" s="55"/>
    </row>
    <row r="653" spans="57:59" x14ac:dyDescent="0.25">
      <c r="BE653" s="55"/>
      <c r="BF653" s="55"/>
      <c r="BG653" s="55"/>
    </row>
    <row r="654" spans="57:59" x14ac:dyDescent="0.25">
      <c r="BE654" s="55"/>
      <c r="BF654" s="55"/>
      <c r="BG654" s="55"/>
    </row>
    <row r="655" spans="57:59" x14ac:dyDescent="0.25">
      <c r="BE655" s="55"/>
      <c r="BF655" s="55"/>
      <c r="BG655" s="55"/>
    </row>
    <row r="656" spans="57:59" x14ac:dyDescent="0.25">
      <c r="BE656" s="55"/>
      <c r="BF656" s="55"/>
      <c r="BG656" s="55"/>
    </row>
    <row r="657" spans="57:59" x14ac:dyDescent="0.25">
      <c r="BE657" s="55"/>
      <c r="BF657" s="55"/>
      <c r="BG657" s="55"/>
    </row>
    <row r="658" spans="57:59" x14ac:dyDescent="0.25">
      <c r="BE658" s="55"/>
      <c r="BF658" s="55"/>
      <c r="BG658" s="55"/>
    </row>
    <row r="659" spans="57:59" x14ac:dyDescent="0.25">
      <c r="BE659" s="55"/>
      <c r="BF659" s="55"/>
      <c r="BG659" s="55"/>
    </row>
    <row r="660" spans="57:59" x14ac:dyDescent="0.25">
      <c r="BE660" s="55"/>
      <c r="BF660" s="55"/>
      <c r="BG660" s="55"/>
    </row>
    <row r="661" spans="57:59" x14ac:dyDescent="0.25">
      <c r="BE661" s="55"/>
      <c r="BF661" s="55"/>
      <c r="BG661" s="55"/>
    </row>
    <row r="662" spans="57:59" x14ac:dyDescent="0.25">
      <c r="BE662" s="55"/>
      <c r="BF662" s="55"/>
      <c r="BG662" s="55"/>
    </row>
    <row r="663" spans="57:59" x14ac:dyDescent="0.25">
      <c r="BE663" s="55"/>
      <c r="BF663" s="55"/>
      <c r="BG663" s="55"/>
    </row>
    <row r="664" spans="57:59" x14ac:dyDescent="0.25">
      <c r="BE664" s="55"/>
      <c r="BF664" s="55"/>
      <c r="BG664" s="55"/>
    </row>
    <row r="665" spans="57:59" x14ac:dyDescent="0.25">
      <c r="BE665" s="55"/>
      <c r="BF665" s="55"/>
      <c r="BG665" s="55"/>
    </row>
    <row r="666" spans="57:59" x14ac:dyDescent="0.25">
      <c r="BE666" s="55"/>
      <c r="BF666" s="55"/>
      <c r="BG666" s="55"/>
    </row>
    <row r="667" spans="57:59" x14ac:dyDescent="0.25">
      <c r="BE667" s="55"/>
      <c r="BF667" s="55"/>
      <c r="BG667" s="55"/>
    </row>
    <row r="668" spans="57:59" x14ac:dyDescent="0.25">
      <c r="BE668" s="55"/>
      <c r="BF668" s="55"/>
      <c r="BG668" s="55"/>
    </row>
    <row r="669" spans="57:59" x14ac:dyDescent="0.25">
      <c r="BE669" s="55"/>
      <c r="BF669" s="55"/>
      <c r="BG669" s="55"/>
    </row>
    <row r="670" spans="57:59" x14ac:dyDescent="0.25">
      <c r="BE670" s="55"/>
      <c r="BF670" s="55"/>
      <c r="BG670" s="55"/>
    </row>
    <row r="671" spans="57:59" x14ac:dyDescent="0.25">
      <c r="BE671" s="55"/>
      <c r="BF671" s="55"/>
      <c r="BG671" s="55"/>
    </row>
    <row r="672" spans="57:59" x14ac:dyDescent="0.25">
      <c r="BE672" s="55"/>
      <c r="BF672" s="55"/>
      <c r="BG672" s="55"/>
    </row>
    <row r="673" spans="57:59" x14ac:dyDescent="0.25">
      <c r="BE673" s="55"/>
      <c r="BF673" s="55"/>
      <c r="BG673" s="55"/>
    </row>
    <row r="674" spans="57:59" x14ac:dyDescent="0.25">
      <c r="BE674" s="55"/>
      <c r="BF674" s="55"/>
      <c r="BG674" s="55"/>
    </row>
    <row r="675" spans="57:59" x14ac:dyDescent="0.25">
      <c r="BE675" s="55"/>
      <c r="BF675" s="55"/>
      <c r="BG675" s="55"/>
    </row>
    <row r="676" spans="57:59" x14ac:dyDescent="0.25">
      <c r="BE676" s="55"/>
      <c r="BF676" s="55"/>
      <c r="BG676" s="55"/>
    </row>
    <row r="677" spans="57:59" x14ac:dyDescent="0.25">
      <c r="BE677" s="55"/>
      <c r="BF677" s="55"/>
      <c r="BG677" s="55"/>
    </row>
    <row r="678" spans="57:59" x14ac:dyDescent="0.25">
      <c r="BE678" s="55"/>
      <c r="BF678" s="55"/>
      <c r="BG678" s="55"/>
    </row>
    <row r="679" spans="57:59" x14ac:dyDescent="0.25">
      <c r="BE679" s="55"/>
      <c r="BF679" s="55"/>
      <c r="BG679" s="55"/>
    </row>
    <row r="680" spans="57:59" x14ac:dyDescent="0.25">
      <c r="BE680" s="55"/>
      <c r="BF680" s="55"/>
      <c r="BG680" s="55"/>
    </row>
    <row r="681" spans="57:59" x14ac:dyDescent="0.25">
      <c r="BE681" s="55"/>
      <c r="BF681" s="55"/>
      <c r="BG681" s="55"/>
    </row>
    <row r="682" spans="57:59" x14ac:dyDescent="0.25">
      <c r="BE682" s="55"/>
      <c r="BF682" s="55"/>
      <c r="BG682" s="55"/>
    </row>
    <row r="683" spans="57:59" x14ac:dyDescent="0.25">
      <c r="BE683" s="55"/>
      <c r="BF683" s="55"/>
      <c r="BG683" s="55"/>
    </row>
    <row r="684" spans="57:59" x14ac:dyDescent="0.25">
      <c r="BE684" s="55"/>
      <c r="BF684" s="55"/>
      <c r="BG684" s="55"/>
    </row>
    <row r="685" spans="57:59" x14ac:dyDescent="0.25">
      <c r="BE685" s="55"/>
      <c r="BF685" s="55"/>
      <c r="BG685" s="55"/>
    </row>
    <row r="686" spans="57:59" x14ac:dyDescent="0.25">
      <c r="BE686" s="55"/>
      <c r="BF686" s="55"/>
      <c r="BG686" s="55"/>
    </row>
    <row r="687" spans="57:59" x14ac:dyDescent="0.25">
      <c r="BE687" s="55"/>
      <c r="BF687" s="55"/>
      <c r="BG687" s="55"/>
    </row>
    <row r="688" spans="57:59" x14ac:dyDescent="0.25">
      <c r="BE688" s="55"/>
      <c r="BF688" s="55"/>
      <c r="BG688" s="55"/>
    </row>
    <row r="689" spans="57:59" x14ac:dyDescent="0.25">
      <c r="BE689" s="55"/>
      <c r="BF689" s="55"/>
      <c r="BG689" s="55"/>
    </row>
    <row r="690" spans="57:59" x14ac:dyDescent="0.25">
      <c r="BE690" s="55"/>
      <c r="BF690" s="55"/>
      <c r="BG690" s="55"/>
    </row>
    <row r="691" spans="57:59" x14ac:dyDescent="0.25">
      <c r="BE691" s="55"/>
      <c r="BF691" s="55"/>
      <c r="BG691" s="55"/>
    </row>
    <row r="692" spans="57:59" x14ac:dyDescent="0.25">
      <c r="BE692" s="55"/>
      <c r="BF692" s="55"/>
      <c r="BG692" s="55"/>
    </row>
    <row r="693" spans="57:59" x14ac:dyDescent="0.25">
      <c r="BE693" s="55"/>
      <c r="BF693" s="55"/>
      <c r="BG693" s="55"/>
    </row>
    <row r="694" spans="57:59" x14ac:dyDescent="0.25">
      <c r="BE694" s="55"/>
      <c r="BF694" s="55"/>
      <c r="BG694" s="55"/>
    </row>
    <row r="695" spans="57:59" x14ac:dyDescent="0.25">
      <c r="BE695" s="55"/>
      <c r="BF695" s="55"/>
      <c r="BG695" s="55"/>
    </row>
    <row r="696" spans="57:59" x14ac:dyDescent="0.25">
      <c r="BE696" s="55"/>
      <c r="BF696" s="55"/>
      <c r="BG696" s="55"/>
    </row>
    <row r="697" spans="57:59" x14ac:dyDescent="0.25">
      <c r="BE697" s="55"/>
      <c r="BF697" s="55"/>
      <c r="BG697" s="55"/>
    </row>
    <row r="698" spans="57:59" x14ac:dyDescent="0.25">
      <c r="BE698" s="55"/>
      <c r="BF698" s="55"/>
      <c r="BG698" s="55"/>
    </row>
    <row r="699" spans="57:59" x14ac:dyDescent="0.25">
      <c r="BE699" s="55"/>
      <c r="BF699" s="55"/>
      <c r="BG699" s="55"/>
    </row>
    <row r="700" spans="57:59" x14ac:dyDescent="0.25">
      <c r="BE700" s="55"/>
      <c r="BF700" s="55"/>
      <c r="BG700" s="55"/>
    </row>
    <row r="701" spans="57:59" x14ac:dyDescent="0.25">
      <c r="BE701" s="55"/>
      <c r="BF701" s="55"/>
      <c r="BG701" s="55"/>
    </row>
    <row r="702" spans="57:59" x14ac:dyDescent="0.25">
      <c r="BE702" s="55"/>
      <c r="BF702" s="55"/>
      <c r="BG702" s="55"/>
    </row>
    <row r="703" spans="57:59" x14ac:dyDescent="0.25">
      <c r="BE703" s="55"/>
      <c r="BF703" s="55"/>
      <c r="BG703" s="55"/>
    </row>
    <row r="704" spans="57:59" x14ac:dyDescent="0.25">
      <c r="BE704" s="55"/>
      <c r="BF704" s="55"/>
      <c r="BG704" s="55"/>
    </row>
    <row r="705" spans="57:59" x14ac:dyDescent="0.25">
      <c r="BE705" s="55"/>
      <c r="BF705" s="55"/>
      <c r="BG705" s="55"/>
    </row>
    <row r="706" spans="57:59" x14ac:dyDescent="0.25">
      <c r="BE706" s="55"/>
      <c r="BF706" s="55"/>
      <c r="BG706" s="55"/>
    </row>
    <row r="707" spans="57:59" x14ac:dyDescent="0.25">
      <c r="BE707" s="55"/>
      <c r="BF707" s="55"/>
      <c r="BG707" s="55"/>
    </row>
    <row r="708" spans="57:59" x14ac:dyDescent="0.25">
      <c r="BE708" s="55"/>
      <c r="BF708" s="55"/>
      <c r="BG708" s="55"/>
    </row>
    <row r="709" spans="57:59" x14ac:dyDescent="0.25">
      <c r="BE709" s="55"/>
      <c r="BF709" s="55"/>
      <c r="BG709" s="55"/>
    </row>
    <row r="710" spans="57:59" x14ac:dyDescent="0.25">
      <c r="BE710" s="55"/>
      <c r="BF710" s="55"/>
      <c r="BG710" s="55"/>
    </row>
    <row r="711" spans="57:59" x14ac:dyDescent="0.25">
      <c r="BE711" s="55"/>
      <c r="BF711" s="55"/>
      <c r="BG711" s="55"/>
    </row>
    <row r="712" spans="57:59" x14ac:dyDescent="0.25">
      <c r="BE712" s="55"/>
      <c r="BF712" s="55"/>
      <c r="BG712" s="55"/>
    </row>
    <row r="713" spans="57:59" x14ac:dyDescent="0.25">
      <c r="BE713" s="55"/>
      <c r="BF713" s="55"/>
      <c r="BG713" s="55"/>
    </row>
    <row r="714" spans="57:59" x14ac:dyDescent="0.25">
      <c r="BE714" s="55"/>
      <c r="BF714" s="55"/>
      <c r="BG714" s="55"/>
    </row>
    <row r="715" spans="57:59" x14ac:dyDescent="0.25">
      <c r="BE715" s="55"/>
      <c r="BF715" s="55"/>
      <c r="BG715" s="55"/>
    </row>
    <row r="716" spans="57:59" x14ac:dyDescent="0.25">
      <c r="BE716" s="55"/>
      <c r="BF716" s="55"/>
      <c r="BG716" s="55"/>
    </row>
    <row r="717" spans="57:59" x14ac:dyDescent="0.25">
      <c r="BE717" s="55"/>
      <c r="BF717" s="55"/>
      <c r="BG717" s="55"/>
    </row>
    <row r="718" spans="57:59" x14ac:dyDescent="0.25">
      <c r="BE718" s="55"/>
      <c r="BF718" s="55"/>
      <c r="BG718" s="55"/>
    </row>
    <row r="719" spans="57:59" x14ac:dyDescent="0.25">
      <c r="BE719" s="55"/>
      <c r="BF719" s="55"/>
      <c r="BG719" s="55"/>
    </row>
    <row r="720" spans="57:59" x14ac:dyDescent="0.25">
      <c r="BE720" s="55"/>
      <c r="BF720" s="55"/>
      <c r="BG720" s="55"/>
    </row>
    <row r="721" spans="57:59" x14ac:dyDescent="0.25">
      <c r="BE721" s="55"/>
      <c r="BF721" s="55"/>
      <c r="BG721" s="55"/>
    </row>
    <row r="722" spans="57:59" x14ac:dyDescent="0.25">
      <c r="BE722" s="55"/>
      <c r="BF722" s="55"/>
      <c r="BG722" s="55"/>
    </row>
    <row r="723" spans="57:59" x14ac:dyDescent="0.25">
      <c r="BE723" s="55"/>
      <c r="BF723" s="55"/>
      <c r="BG723" s="55"/>
    </row>
    <row r="724" spans="57:59" x14ac:dyDescent="0.25">
      <c r="BE724" s="55"/>
      <c r="BF724" s="55"/>
      <c r="BG724" s="55"/>
    </row>
    <row r="725" spans="57:59" x14ac:dyDescent="0.25">
      <c r="BE725" s="55"/>
      <c r="BF725" s="55"/>
      <c r="BG725" s="55"/>
    </row>
    <row r="726" spans="57:59" x14ac:dyDescent="0.25">
      <c r="BE726" s="55"/>
      <c r="BF726" s="55"/>
      <c r="BG726" s="55"/>
    </row>
    <row r="727" spans="57:59" x14ac:dyDescent="0.25">
      <c r="BE727" s="55"/>
      <c r="BF727" s="55"/>
      <c r="BG727" s="55"/>
    </row>
    <row r="728" spans="57:59" x14ac:dyDescent="0.25">
      <c r="BE728" s="55"/>
      <c r="BF728" s="55"/>
      <c r="BG728" s="55"/>
    </row>
    <row r="729" spans="57:59" x14ac:dyDescent="0.25">
      <c r="BE729" s="55"/>
      <c r="BF729" s="55"/>
      <c r="BG729" s="55"/>
    </row>
    <row r="730" spans="57:59" x14ac:dyDescent="0.25">
      <c r="BE730" s="55"/>
      <c r="BF730" s="55"/>
      <c r="BG730" s="55"/>
    </row>
    <row r="731" spans="57:59" x14ac:dyDescent="0.25">
      <c r="BE731" s="55"/>
      <c r="BF731" s="55"/>
      <c r="BG731" s="55"/>
    </row>
    <row r="732" spans="57:59" x14ac:dyDescent="0.25">
      <c r="BE732" s="55"/>
      <c r="BF732" s="55"/>
      <c r="BG732" s="55"/>
    </row>
    <row r="733" spans="57:59" x14ac:dyDescent="0.25">
      <c r="BE733" s="55"/>
      <c r="BF733" s="55"/>
      <c r="BG733" s="55"/>
    </row>
    <row r="734" spans="57:59" x14ac:dyDescent="0.25">
      <c r="BE734" s="55"/>
      <c r="BF734" s="55"/>
      <c r="BG734" s="55"/>
    </row>
    <row r="735" spans="57:59" x14ac:dyDescent="0.25">
      <c r="BE735" s="55"/>
      <c r="BF735" s="55"/>
      <c r="BG735" s="55"/>
    </row>
    <row r="736" spans="57:59" x14ac:dyDescent="0.25">
      <c r="BE736" s="55"/>
      <c r="BF736" s="55"/>
      <c r="BG736" s="55"/>
    </row>
    <row r="737" spans="57:59" x14ac:dyDescent="0.25">
      <c r="BE737" s="55"/>
      <c r="BF737" s="55"/>
      <c r="BG737" s="55"/>
    </row>
    <row r="738" spans="57:59" x14ac:dyDescent="0.25">
      <c r="BE738" s="55"/>
      <c r="BF738" s="55"/>
      <c r="BG738" s="55"/>
    </row>
    <row r="739" spans="57:59" x14ac:dyDescent="0.25">
      <c r="BE739" s="55"/>
      <c r="BF739" s="55"/>
      <c r="BG739" s="55"/>
    </row>
    <row r="740" spans="57:59" x14ac:dyDescent="0.25">
      <c r="BE740" s="55"/>
      <c r="BF740" s="55"/>
      <c r="BG740" s="55"/>
    </row>
    <row r="741" spans="57:59" x14ac:dyDescent="0.25">
      <c r="BE741" s="55"/>
      <c r="BF741" s="55"/>
      <c r="BG741" s="55"/>
    </row>
    <row r="742" spans="57:59" x14ac:dyDescent="0.25">
      <c r="BE742" s="55"/>
      <c r="BF742" s="55"/>
      <c r="BG742" s="55"/>
    </row>
    <row r="743" spans="57:59" x14ac:dyDescent="0.25">
      <c r="BE743" s="55"/>
      <c r="BF743" s="55"/>
      <c r="BG743" s="55"/>
    </row>
    <row r="744" spans="57:59" x14ac:dyDescent="0.25">
      <c r="BE744" s="55"/>
      <c r="BF744" s="55"/>
      <c r="BG744" s="55"/>
    </row>
    <row r="745" spans="57:59" x14ac:dyDescent="0.25">
      <c r="BE745" s="55"/>
      <c r="BF745" s="55"/>
      <c r="BG745" s="55"/>
    </row>
    <row r="746" spans="57:59" x14ac:dyDescent="0.25">
      <c r="BE746" s="55"/>
      <c r="BF746" s="55"/>
      <c r="BG746" s="55"/>
    </row>
    <row r="747" spans="57:59" x14ac:dyDescent="0.25">
      <c r="BE747" s="55"/>
      <c r="BF747" s="55"/>
      <c r="BG747" s="55"/>
    </row>
    <row r="748" spans="57:59" x14ac:dyDescent="0.25">
      <c r="BE748" s="55"/>
      <c r="BF748" s="55"/>
      <c r="BG748" s="55"/>
    </row>
    <row r="749" spans="57:59" x14ac:dyDescent="0.25">
      <c r="BE749" s="55"/>
      <c r="BF749" s="55"/>
      <c r="BG749" s="55"/>
    </row>
    <row r="750" spans="57:59" x14ac:dyDescent="0.25">
      <c r="BE750" s="55"/>
      <c r="BF750" s="55"/>
      <c r="BG750" s="55"/>
    </row>
    <row r="751" spans="57:59" x14ac:dyDescent="0.25">
      <c r="BE751" s="55"/>
      <c r="BF751" s="55"/>
      <c r="BG751" s="55"/>
    </row>
    <row r="752" spans="57:59" x14ac:dyDescent="0.25">
      <c r="BE752" s="55"/>
      <c r="BF752" s="55"/>
      <c r="BG752" s="55"/>
    </row>
    <row r="753" spans="57:59" x14ac:dyDescent="0.25">
      <c r="BE753" s="55"/>
      <c r="BF753" s="55"/>
      <c r="BG753" s="55"/>
    </row>
    <row r="754" spans="57:59" x14ac:dyDescent="0.25">
      <c r="BE754" s="55"/>
      <c r="BF754" s="55"/>
      <c r="BG754" s="55"/>
    </row>
    <row r="755" spans="57:59" x14ac:dyDescent="0.25">
      <c r="BE755" s="55"/>
      <c r="BF755" s="55"/>
      <c r="BG755" s="55"/>
    </row>
    <row r="756" spans="57:59" x14ac:dyDescent="0.25">
      <c r="BE756" s="55"/>
      <c r="BF756" s="55"/>
      <c r="BG756" s="55"/>
    </row>
    <row r="757" spans="57:59" x14ac:dyDescent="0.25">
      <c r="BE757" s="55"/>
      <c r="BF757" s="55"/>
      <c r="BG757" s="55"/>
    </row>
    <row r="758" spans="57:59" x14ac:dyDescent="0.25">
      <c r="BE758" s="55"/>
      <c r="BF758" s="55"/>
      <c r="BG758" s="55"/>
    </row>
    <row r="759" spans="57:59" x14ac:dyDescent="0.25">
      <c r="BE759" s="55"/>
      <c r="BF759" s="55"/>
      <c r="BG759" s="55"/>
    </row>
    <row r="760" spans="57:59" x14ac:dyDescent="0.25">
      <c r="BE760" s="55"/>
      <c r="BF760" s="55"/>
      <c r="BG760" s="55"/>
    </row>
    <row r="761" spans="57:59" x14ac:dyDescent="0.25">
      <c r="BE761" s="55"/>
      <c r="BF761" s="55"/>
      <c r="BG761" s="55"/>
    </row>
    <row r="762" spans="57:59" x14ac:dyDescent="0.25">
      <c r="BE762" s="55"/>
      <c r="BF762" s="55"/>
      <c r="BG762" s="55"/>
    </row>
    <row r="763" spans="57:59" x14ac:dyDescent="0.25">
      <c r="BE763" s="55"/>
      <c r="BF763" s="55"/>
      <c r="BG763" s="55"/>
    </row>
    <row r="764" spans="57:59" x14ac:dyDescent="0.25">
      <c r="BE764" s="55"/>
      <c r="BF764" s="55"/>
      <c r="BG764" s="55"/>
    </row>
    <row r="765" spans="57:59" x14ac:dyDescent="0.25">
      <c r="BE765" s="55"/>
      <c r="BF765" s="55"/>
      <c r="BG765" s="55"/>
    </row>
    <row r="766" spans="57:59" x14ac:dyDescent="0.25">
      <c r="BE766" s="55"/>
      <c r="BF766" s="55"/>
      <c r="BG766" s="55"/>
    </row>
    <row r="767" spans="57:59" x14ac:dyDescent="0.25">
      <c r="BE767" s="55"/>
      <c r="BF767" s="55"/>
      <c r="BG767" s="55"/>
    </row>
    <row r="768" spans="57:59" x14ac:dyDescent="0.25">
      <c r="BE768" s="55"/>
      <c r="BF768" s="55"/>
      <c r="BG768" s="55"/>
    </row>
    <row r="769" spans="57:59" x14ac:dyDescent="0.25">
      <c r="BE769" s="55"/>
      <c r="BF769" s="55"/>
      <c r="BG769" s="55"/>
    </row>
    <row r="770" spans="57:59" x14ac:dyDescent="0.25">
      <c r="BE770" s="55"/>
      <c r="BF770" s="55"/>
      <c r="BG770" s="55"/>
    </row>
    <row r="771" spans="57:59" x14ac:dyDescent="0.25">
      <c r="BE771" s="55"/>
      <c r="BF771" s="55"/>
      <c r="BG771" s="55"/>
    </row>
    <row r="772" spans="57:59" x14ac:dyDescent="0.25">
      <c r="BE772" s="55"/>
      <c r="BF772" s="55"/>
      <c r="BG772" s="55"/>
    </row>
    <row r="773" spans="57:59" x14ac:dyDescent="0.25">
      <c r="BE773" s="55"/>
      <c r="BF773" s="55"/>
      <c r="BG773" s="55"/>
    </row>
    <row r="774" spans="57:59" x14ac:dyDescent="0.25">
      <c r="BE774" s="55"/>
      <c r="BF774" s="55"/>
      <c r="BG774" s="55"/>
    </row>
    <row r="775" spans="57:59" x14ac:dyDescent="0.25">
      <c r="BE775" s="55"/>
      <c r="BF775" s="55"/>
      <c r="BG775" s="55"/>
    </row>
    <row r="776" spans="57:59" x14ac:dyDescent="0.25">
      <c r="BE776" s="55"/>
      <c r="BF776" s="55"/>
      <c r="BG776" s="55"/>
    </row>
    <row r="777" spans="57:59" x14ac:dyDescent="0.25">
      <c r="BE777" s="55"/>
      <c r="BF777" s="55"/>
      <c r="BG777" s="55"/>
    </row>
    <row r="778" spans="57:59" x14ac:dyDescent="0.25">
      <c r="BE778" s="55"/>
      <c r="BF778" s="55"/>
      <c r="BG778" s="55"/>
    </row>
    <row r="779" spans="57:59" x14ac:dyDescent="0.25">
      <c r="BE779" s="55"/>
      <c r="BF779" s="55"/>
      <c r="BG779" s="55"/>
    </row>
    <row r="780" spans="57:59" x14ac:dyDescent="0.25">
      <c r="BE780" s="55"/>
      <c r="BF780" s="55"/>
      <c r="BG780" s="55"/>
    </row>
    <row r="781" spans="57:59" x14ac:dyDescent="0.25">
      <c r="BE781" s="55"/>
      <c r="BF781" s="55"/>
      <c r="BG781" s="55"/>
    </row>
    <row r="782" spans="57:59" x14ac:dyDescent="0.25">
      <c r="BE782" s="55"/>
      <c r="BF782" s="55"/>
      <c r="BG782" s="55"/>
    </row>
    <row r="783" spans="57:59" x14ac:dyDescent="0.25">
      <c r="BE783" s="55"/>
      <c r="BF783" s="55"/>
      <c r="BG783" s="55"/>
    </row>
    <row r="784" spans="57:59" x14ac:dyDescent="0.25">
      <c r="BE784" s="55"/>
      <c r="BF784" s="55"/>
      <c r="BG784" s="55"/>
    </row>
    <row r="785" spans="57:59" x14ac:dyDescent="0.25">
      <c r="BE785" s="55"/>
      <c r="BF785" s="55"/>
      <c r="BG785" s="55"/>
    </row>
    <row r="786" spans="57:59" x14ac:dyDescent="0.25">
      <c r="BE786" s="55"/>
      <c r="BF786" s="55"/>
      <c r="BG786" s="55"/>
    </row>
    <row r="787" spans="57:59" x14ac:dyDescent="0.25">
      <c r="BE787" s="55"/>
      <c r="BF787" s="55"/>
      <c r="BG787" s="55"/>
    </row>
    <row r="788" spans="57:59" x14ac:dyDescent="0.25">
      <c r="BE788" s="55"/>
      <c r="BF788" s="55"/>
      <c r="BG788" s="55"/>
    </row>
    <row r="789" spans="57:59" x14ac:dyDescent="0.25">
      <c r="BE789" s="55"/>
      <c r="BF789" s="55"/>
      <c r="BG789" s="55"/>
    </row>
    <row r="790" spans="57:59" x14ac:dyDescent="0.25">
      <c r="BE790" s="55"/>
      <c r="BF790" s="55"/>
      <c r="BG790" s="55"/>
    </row>
    <row r="791" spans="57:59" x14ac:dyDescent="0.25">
      <c r="BE791" s="55"/>
      <c r="BF791" s="55"/>
      <c r="BG791" s="55"/>
    </row>
    <row r="792" spans="57:59" x14ac:dyDescent="0.25">
      <c r="BE792" s="55"/>
      <c r="BF792" s="55"/>
      <c r="BG792" s="55"/>
    </row>
    <row r="793" spans="57:59" x14ac:dyDescent="0.25">
      <c r="BE793" s="55"/>
      <c r="BF793" s="55"/>
      <c r="BG793" s="55"/>
    </row>
    <row r="794" spans="57:59" x14ac:dyDescent="0.25">
      <c r="BE794" s="55"/>
      <c r="BF794" s="55"/>
      <c r="BG794" s="55"/>
    </row>
    <row r="795" spans="57:59" x14ac:dyDescent="0.25">
      <c r="BE795" s="55"/>
      <c r="BF795" s="55"/>
      <c r="BG795" s="55"/>
    </row>
    <row r="796" spans="57:59" x14ac:dyDescent="0.25">
      <c r="BE796" s="55"/>
      <c r="BF796" s="55"/>
      <c r="BG796" s="55"/>
    </row>
    <row r="797" spans="57:59" x14ac:dyDescent="0.25">
      <c r="BE797" s="55"/>
      <c r="BF797" s="55"/>
      <c r="BG797" s="55"/>
    </row>
    <row r="798" spans="57:59" x14ac:dyDescent="0.25">
      <c r="BE798" s="55"/>
      <c r="BF798" s="55"/>
      <c r="BG798" s="55"/>
    </row>
    <row r="799" spans="57:59" x14ac:dyDescent="0.25">
      <c r="BE799" s="55"/>
      <c r="BF799" s="55"/>
      <c r="BG799" s="55"/>
    </row>
    <row r="800" spans="57:59" x14ac:dyDescent="0.25">
      <c r="BE800" s="55"/>
      <c r="BF800" s="55"/>
      <c r="BG800" s="55"/>
    </row>
    <row r="801" spans="57:59" x14ac:dyDescent="0.25">
      <c r="BE801" s="55"/>
      <c r="BF801" s="55"/>
      <c r="BG801" s="55"/>
    </row>
    <row r="802" spans="57:59" x14ac:dyDescent="0.25">
      <c r="BE802" s="55"/>
      <c r="BF802" s="55"/>
      <c r="BG802" s="55"/>
    </row>
    <row r="803" spans="57:59" x14ac:dyDescent="0.25">
      <c r="BE803" s="55"/>
      <c r="BF803" s="55"/>
      <c r="BG803" s="55"/>
    </row>
    <row r="804" spans="57:59" x14ac:dyDescent="0.25">
      <c r="BE804" s="55"/>
      <c r="BF804" s="55"/>
      <c r="BG804" s="55"/>
    </row>
    <row r="805" spans="57:59" x14ac:dyDescent="0.25">
      <c r="BE805" s="55"/>
      <c r="BF805" s="55"/>
      <c r="BG805" s="55"/>
    </row>
    <row r="806" spans="57:59" x14ac:dyDescent="0.25">
      <c r="BE806" s="55"/>
      <c r="BF806" s="55"/>
      <c r="BG806" s="55"/>
    </row>
    <row r="807" spans="57:59" x14ac:dyDescent="0.25">
      <c r="BE807" s="55"/>
      <c r="BF807" s="55"/>
      <c r="BG807" s="55"/>
    </row>
    <row r="808" spans="57:59" x14ac:dyDescent="0.25">
      <c r="BE808" s="55"/>
      <c r="BF808" s="55"/>
      <c r="BG808" s="55"/>
    </row>
    <row r="809" spans="57:59" x14ac:dyDescent="0.25">
      <c r="BE809" s="55"/>
      <c r="BF809" s="55"/>
      <c r="BG809" s="55"/>
    </row>
    <row r="810" spans="57:59" x14ac:dyDescent="0.25">
      <c r="BE810" s="55"/>
      <c r="BF810" s="55"/>
      <c r="BG810" s="55"/>
    </row>
    <row r="811" spans="57:59" x14ac:dyDescent="0.25">
      <c r="BE811" s="55"/>
      <c r="BF811" s="55"/>
      <c r="BG811" s="55"/>
    </row>
    <row r="812" spans="57:59" x14ac:dyDescent="0.25">
      <c r="BE812" s="55"/>
      <c r="BF812" s="55"/>
      <c r="BG812" s="55"/>
    </row>
    <row r="813" spans="57:59" x14ac:dyDescent="0.25">
      <c r="BE813" s="55"/>
      <c r="BF813" s="55"/>
      <c r="BG813" s="55"/>
    </row>
    <row r="814" spans="57:59" x14ac:dyDescent="0.25">
      <c r="BE814" s="55"/>
      <c r="BF814" s="55"/>
      <c r="BG814" s="55"/>
    </row>
    <row r="815" spans="57:59" x14ac:dyDescent="0.25">
      <c r="BE815" s="55"/>
      <c r="BF815" s="55"/>
      <c r="BG815" s="55"/>
    </row>
    <row r="816" spans="57:59" x14ac:dyDescent="0.25">
      <c r="BE816" s="55"/>
      <c r="BF816" s="55"/>
      <c r="BG816" s="55"/>
    </row>
    <row r="817" spans="57:59" x14ac:dyDescent="0.25">
      <c r="BE817" s="55"/>
      <c r="BF817" s="55"/>
      <c r="BG817" s="55"/>
    </row>
    <row r="818" spans="57:59" x14ac:dyDescent="0.25">
      <c r="BE818" s="55"/>
      <c r="BF818" s="55"/>
      <c r="BG818" s="55"/>
    </row>
    <row r="819" spans="57:59" x14ac:dyDescent="0.25">
      <c r="BE819" s="55"/>
      <c r="BF819" s="55"/>
      <c r="BG819" s="55"/>
    </row>
    <row r="820" spans="57:59" x14ac:dyDescent="0.25">
      <c r="BE820" s="55"/>
      <c r="BF820" s="55"/>
      <c r="BG820" s="55"/>
    </row>
    <row r="821" spans="57:59" x14ac:dyDescent="0.25">
      <c r="BE821" s="55"/>
      <c r="BF821" s="55"/>
      <c r="BG821" s="55"/>
    </row>
    <row r="822" spans="57:59" x14ac:dyDescent="0.25">
      <c r="BE822" s="55"/>
      <c r="BF822" s="55"/>
      <c r="BG822" s="55"/>
    </row>
    <row r="823" spans="57:59" x14ac:dyDescent="0.25">
      <c r="BE823" s="55"/>
      <c r="BF823" s="55"/>
      <c r="BG823" s="55"/>
    </row>
    <row r="824" spans="57:59" x14ac:dyDescent="0.25">
      <c r="BE824" s="55"/>
      <c r="BF824" s="55"/>
      <c r="BG824" s="55"/>
    </row>
    <row r="825" spans="57:59" x14ac:dyDescent="0.25">
      <c r="BE825" s="55"/>
      <c r="BF825" s="55"/>
      <c r="BG825" s="55"/>
    </row>
    <row r="826" spans="57:59" x14ac:dyDescent="0.25">
      <c r="BE826" s="55"/>
      <c r="BF826" s="55"/>
      <c r="BG826" s="55"/>
    </row>
    <row r="827" spans="57:59" x14ac:dyDescent="0.25">
      <c r="BE827" s="55"/>
      <c r="BF827" s="55"/>
      <c r="BG827" s="55"/>
    </row>
    <row r="828" spans="57:59" x14ac:dyDescent="0.25">
      <c r="BE828" s="55"/>
      <c r="BF828" s="55"/>
      <c r="BG828" s="55"/>
    </row>
    <row r="829" spans="57:59" x14ac:dyDescent="0.25">
      <c r="BE829" s="55"/>
      <c r="BF829" s="55"/>
      <c r="BG829" s="55"/>
    </row>
    <row r="830" spans="57:59" x14ac:dyDescent="0.25">
      <c r="BE830" s="55"/>
      <c r="BF830" s="55"/>
      <c r="BG830" s="55"/>
    </row>
    <row r="831" spans="57:59" x14ac:dyDescent="0.25">
      <c r="BE831" s="55"/>
      <c r="BF831" s="55"/>
      <c r="BG831" s="55"/>
    </row>
    <row r="832" spans="57:59" x14ac:dyDescent="0.25">
      <c r="BE832" s="55"/>
      <c r="BF832" s="55"/>
      <c r="BG832" s="55"/>
    </row>
    <row r="833" spans="57:59" x14ac:dyDescent="0.25">
      <c r="BE833" s="55"/>
      <c r="BF833" s="55"/>
      <c r="BG833" s="55"/>
    </row>
    <row r="834" spans="57:59" x14ac:dyDescent="0.25">
      <c r="BE834" s="55"/>
      <c r="BF834" s="55"/>
      <c r="BG834" s="55"/>
    </row>
    <row r="835" spans="57:59" x14ac:dyDescent="0.25">
      <c r="BE835" s="55"/>
      <c r="BF835" s="55"/>
      <c r="BG835" s="55"/>
    </row>
    <row r="836" spans="57:59" x14ac:dyDescent="0.25">
      <c r="BE836" s="55"/>
      <c r="BF836" s="55"/>
      <c r="BG836" s="55"/>
    </row>
    <row r="837" spans="57:59" x14ac:dyDescent="0.25">
      <c r="BE837" s="55"/>
      <c r="BF837" s="55"/>
      <c r="BG837" s="55"/>
    </row>
    <row r="838" spans="57:59" x14ac:dyDescent="0.25">
      <c r="BE838" s="55"/>
      <c r="BF838" s="55"/>
      <c r="BG838" s="55"/>
    </row>
    <row r="839" spans="57:59" x14ac:dyDescent="0.25">
      <c r="BE839" s="55"/>
      <c r="BF839" s="55"/>
      <c r="BG839" s="55"/>
    </row>
    <row r="840" spans="57:59" x14ac:dyDescent="0.25">
      <c r="BE840" s="55"/>
      <c r="BF840" s="55"/>
      <c r="BG840" s="55"/>
    </row>
    <row r="841" spans="57:59" x14ac:dyDescent="0.25">
      <c r="BE841" s="55"/>
      <c r="BF841" s="55"/>
      <c r="BG841" s="55"/>
    </row>
    <row r="842" spans="57:59" x14ac:dyDescent="0.25">
      <c r="BE842" s="55"/>
      <c r="BF842" s="55"/>
      <c r="BG842" s="55"/>
    </row>
    <row r="843" spans="57:59" x14ac:dyDescent="0.25">
      <c r="BE843" s="55"/>
      <c r="BF843" s="55"/>
      <c r="BG843" s="55"/>
    </row>
    <row r="844" spans="57:59" x14ac:dyDescent="0.25">
      <c r="BE844" s="55"/>
      <c r="BF844" s="55"/>
      <c r="BG844" s="55"/>
    </row>
    <row r="845" spans="57:59" x14ac:dyDescent="0.25">
      <c r="BE845" s="55"/>
      <c r="BF845" s="55"/>
      <c r="BG845" s="55"/>
    </row>
    <row r="846" spans="57:59" x14ac:dyDescent="0.25">
      <c r="BE846" s="55"/>
      <c r="BF846" s="55"/>
      <c r="BG846" s="55"/>
    </row>
    <row r="847" spans="57:59" x14ac:dyDescent="0.25">
      <c r="BE847" s="55"/>
      <c r="BF847" s="55"/>
      <c r="BG847" s="55"/>
    </row>
    <row r="848" spans="57:59" x14ac:dyDescent="0.25">
      <c r="BE848" s="55"/>
      <c r="BF848" s="55"/>
      <c r="BG848" s="55"/>
    </row>
    <row r="849" spans="57:59" x14ac:dyDescent="0.25">
      <c r="BE849" s="55"/>
      <c r="BF849" s="55"/>
      <c r="BG849" s="55"/>
    </row>
    <row r="850" spans="57:59" x14ac:dyDescent="0.25">
      <c r="BE850" s="55"/>
      <c r="BF850" s="55"/>
      <c r="BG850" s="55"/>
    </row>
    <row r="851" spans="57:59" x14ac:dyDescent="0.25">
      <c r="BE851" s="55"/>
      <c r="BF851" s="55"/>
      <c r="BG851" s="55"/>
    </row>
    <row r="852" spans="57:59" x14ac:dyDescent="0.25">
      <c r="BE852" s="55"/>
      <c r="BF852" s="55"/>
      <c r="BG852" s="55"/>
    </row>
    <row r="853" spans="57:59" x14ac:dyDescent="0.25">
      <c r="BE853" s="55"/>
      <c r="BF853" s="55"/>
      <c r="BG853" s="55"/>
    </row>
    <row r="854" spans="57:59" x14ac:dyDescent="0.25">
      <c r="BE854" s="55"/>
      <c r="BF854" s="55"/>
      <c r="BG854" s="55"/>
    </row>
    <row r="855" spans="57:59" x14ac:dyDescent="0.25">
      <c r="BE855" s="55"/>
      <c r="BF855" s="55"/>
      <c r="BG855" s="55"/>
    </row>
    <row r="856" spans="57:59" x14ac:dyDescent="0.25">
      <c r="BE856" s="55"/>
      <c r="BF856" s="55"/>
      <c r="BG856" s="55"/>
    </row>
    <row r="857" spans="57:59" x14ac:dyDescent="0.25">
      <c r="BE857" s="55"/>
      <c r="BF857" s="55"/>
      <c r="BG857" s="55"/>
    </row>
    <row r="858" spans="57:59" x14ac:dyDescent="0.25">
      <c r="BE858" s="55"/>
      <c r="BF858" s="55"/>
      <c r="BG858" s="55"/>
    </row>
    <row r="859" spans="57:59" x14ac:dyDescent="0.25">
      <c r="BE859" s="55"/>
      <c r="BF859" s="55"/>
      <c r="BG859" s="55"/>
    </row>
    <row r="860" spans="57:59" x14ac:dyDescent="0.25">
      <c r="BE860" s="55"/>
      <c r="BF860" s="55"/>
      <c r="BG860" s="55"/>
    </row>
    <row r="861" spans="57:59" x14ac:dyDescent="0.25">
      <c r="BE861" s="55"/>
      <c r="BF861" s="55"/>
      <c r="BG861" s="55"/>
    </row>
    <row r="862" spans="57:59" x14ac:dyDescent="0.25">
      <c r="BE862" s="55"/>
      <c r="BF862" s="55"/>
      <c r="BG862" s="55"/>
    </row>
    <row r="863" spans="57:59" x14ac:dyDescent="0.25">
      <c r="BE863" s="55"/>
      <c r="BF863" s="55"/>
      <c r="BG863" s="55"/>
    </row>
    <row r="864" spans="57:59" x14ac:dyDescent="0.25">
      <c r="BE864" s="55"/>
      <c r="BF864" s="55"/>
      <c r="BG864" s="55"/>
    </row>
    <row r="865" spans="57:59" x14ac:dyDescent="0.25">
      <c r="BE865" s="55"/>
      <c r="BF865" s="55"/>
      <c r="BG865" s="55"/>
    </row>
    <row r="866" spans="57:59" x14ac:dyDescent="0.25">
      <c r="BE866" s="55"/>
      <c r="BF866" s="55"/>
      <c r="BG866" s="55"/>
    </row>
    <row r="867" spans="57:59" x14ac:dyDescent="0.25">
      <c r="BE867" s="55"/>
      <c r="BF867" s="55"/>
      <c r="BG867" s="55"/>
    </row>
    <row r="868" spans="57:59" x14ac:dyDescent="0.25">
      <c r="BE868" s="55"/>
      <c r="BF868" s="55"/>
      <c r="BG868" s="55"/>
    </row>
    <row r="869" spans="57:59" x14ac:dyDescent="0.25">
      <c r="BE869" s="55"/>
      <c r="BF869" s="55"/>
      <c r="BG869" s="55"/>
    </row>
    <row r="870" spans="57:59" x14ac:dyDescent="0.25">
      <c r="BE870" s="55"/>
      <c r="BF870" s="55"/>
      <c r="BG870" s="55"/>
    </row>
    <row r="871" spans="57:59" x14ac:dyDescent="0.25">
      <c r="BE871" s="55"/>
      <c r="BF871" s="55"/>
      <c r="BG871" s="55"/>
    </row>
    <row r="872" spans="57:59" x14ac:dyDescent="0.25">
      <c r="BE872" s="55"/>
      <c r="BF872" s="55"/>
      <c r="BG872" s="55"/>
    </row>
    <row r="873" spans="57:59" x14ac:dyDescent="0.25">
      <c r="BE873" s="55"/>
      <c r="BF873" s="55"/>
      <c r="BG873" s="55"/>
    </row>
    <row r="874" spans="57:59" x14ac:dyDescent="0.25">
      <c r="BE874" s="55"/>
      <c r="BF874" s="55"/>
      <c r="BG874" s="55"/>
    </row>
    <row r="875" spans="57:59" x14ac:dyDescent="0.25">
      <c r="BE875" s="55"/>
      <c r="BF875" s="55"/>
      <c r="BG875" s="55"/>
    </row>
    <row r="876" spans="57:59" x14ac:dyDescent="0.25">
      <c r="BE876" s="55"/>
      <c r="BF876" s="55"/>
      <c r="BG876" s="55"/>
    </row>
    <row r="877" spans="57:59" x14ac:dyDescent="0.25">
      <c r="BE877" s="55"/>
      <c r="BF877" s="55"/>
      <c r="BG877" s="55"/>
    </row>
    <row r="878" spans="57:59" x14ac:dyDescent="0.25">
      <c r="BE878" s="55"/>
      <c r="BF878" s="55"/>
      <c r="BG878" s="55"/>
    </row>
    <row r="879" spans="57:59" x14ac:dyDescent="0.25">
      <c r="BE879" s="55"/>
      <c r="BF879" s="55"/>
      <c r="BG879" s="55"/>
    </row>
    <row r="880" spans="57:59" x14ac:dyDescent="0.25">
      <c r="BE880" s="55"/>
      <c r="BF880" s="55"/>
      <c r="BG880" s="55"/>
    </row>
    <row r="881" spans="57:59" x14ac:dyDescent="0.25">
      <c r="BE881" s="55"/>
      <c r="BF881" s="55"/>
      <c r="BG881" s="55"/>
    </row>
    <row r="882" spans="57:59" x14ac:dyDescent="0.25">
      <c r="BE882" s="55"/>
      <c r="BF882" s="55"/>
      <c r="BG882" s="55"/>
    </row>
    <row r="883" spans="57:59" x14ac:dyDescent="0.25">
      <c r="BE883" s="55"/>
      <c r="BF883" s="55"/>
      <c r="BG883" s="55"/>
    </row>
    <row r="884" spans="57:59" x14ac:dyDescent="0.25">
      <c r="BE884" s="55"/>
      <c r="BF884" s="55"/>
      <c r="BG884" s="55"/>
    </row>
    <row r="885" spans="57:59" x14ac:dyDescent="0.25">
      <c r="BE885" s="55"/>
      <c r="BF885" s="55"/>
      <c r="BG885" s="55"/>
    </row>
    <row r="886" spans="57:59" x14ac:dyDescent="0.25">
      <c r="BE886" s="55"/>
      <c r="BF886" s="55"/>
      <c r="BG886" s="55"/>
    </row>
    <row r="887" spans="57:59" x14ac:dyDescent="0.25">
      <c r="BE887" s="55"/>
      <c r="BF887" s="55"/>
      <c r="BG887" s="55"/>
    </row>
    <row r="888" spans="57:59" x14ac:dyDescent="0.25">
      <c r="BE888" s="55"/>
      <c r="BF888" s="55"/>
      <c r="BG888" s="55"/>
    </row>
    <row r="889" spans="57:59" x14ac:dyDescent="0.25">
      <c r="BE889" s="55"/>
      <c r="BF889" s="55"/>
      <c r="BG889" s="55"/>
    </row>
    <row r="890" spans="57:59" x14ac:dyDescent="0.25">
      <c r="BE890" s="55"/>
      <c r="BF890" s="55"/>
      <c r="BG890" s="55"/>
    </row>
    <row r="891" spans="57:59" x14ac:dyDescent="0.25">
      <c r="BE891" s="55"/>
      <c r="BF891" s="55"/>
      <c r="BG891" s="55"/>
    </row>
    <row r="892" spans="57:59" x14ac:dyDescent="0.25">
      <c r="BE892" s="55"/>
      <c r="BF892" s="55"/>
      <c r="BG892" s="55"/>
    </row>
    <row r="893" spans="57:59" x14ac:dyDescent="0.25">
      <c r="BE893" s="55"/>
      <c r="BF893" s="55"/>
      <c r="BG893" s="55"/>
    </row>
    <row r="894" spans="57:59" x14ac:dyDescent="0.25">
      <c r="BE894" s="55"/>
      <c r="BF894" s="55"/>
      <c r="BG894" s="55"/>
    </row>
    <row r="895" spans="57:59" x14ac:dyDescent="0.25">
      <c r="BE895" s="55"/>
      <c r="BF895" s="55"/>
      <c r="BG895" s="55"/>
    </row>
    <row r="896" spans="57:59" x14ac:dyDescent="0.25">
      <c r="BE896" s="55"/>
      <c r="BF896" s="55"/>
      <c r="BG896" s="55"/>
    </row>
    <row r="897" spans="57:59" x14ac:dyDescent="0.25">
      <c r="BE897" s="55"/>
      <c r="BF897" s="55"/>
      <c r="BG897" s="55"/>
    </row>
    <row r="898" spans="57:59" x14ac:dyDescent="0.25">
      <c r="BE898" s="55"/>
      <c r="BF898" s="55"/>
      <c r="BG898" s="55"/>
    </row>
    <row r="899" spans="57:59" x14ac:dyDescent="0.25">
      <c r="BE899" s="55"/>
      <c r="BF899" s="55"/>
      <c r="BG899" s="55"/>
    </row>
    <row r="900" spans="57:59" x14ac:dyDescent="0.25">
      <c r="BE900" s="55"/>
      <c r="BF900" s="55"/>
      <c r="BG900" s="55"/>
    </row>
    <row r="901" spans="57:59" x14ac:dyDescent="0.25">
      <c r="BE901" s="55"/>
      <c r="BF901" s="55"/>
      <c r="BG901" s="55"/>
    </row>
    <row r="902" spans="57:59" x14ac:dyDescent="0.25">
      <c r="BE902" s="55"/>
      <c r="BF902" s="55"/>
      <c r="BG902" s="55"/>
    </row>
    <row r="903" spans="57:59" x14ac:dyDescent="0.25">
      <c r="BE903" s="55"/>
      <c r="BF903" s="55"/>
      <c r="BG903" s="55"/>
    </row>
    <row r="904" spans="57:59" x14ac:dyDescent="0.25">
      <c r="BE904" s="55"/>
      <c r="BF904" s="55"/>
      <c r="BG904" s="55"/>
    </row>
    <row r="905" spans="57:59" x14ac:dyDescent="0.25">
      <c r="BE905" s="55"/>
      <c r="BF905" s="55"/>
      <c r="BG905" s="55"/>
    </row>
    <row r="906" spans="57:59" x14ac:dyDescent="0.25">
      <c r="BE906" s="55"/>
      <c r="BF906" s="55"/>
      <c r="BG906" s="55"/>
    </row>
    <row r="907" spans="57:59" x14ac:dyDescent="0.25">
      <c r="BE907" s="55"/>
      <c r="BF907" s="55"/>
      <c r="BG907" s="55"/>
    </row>
    <row r="908" spans="57:59" x14ac:dyDescent="0.25">
      <c r="BE908" s="55"/>
      <c r="BF908" s="55"/>
      <c r="BG908" s="55"/>
    </row>
    <row r="909" spans="57:59" x14ac:dyDescent="0.25">
      <c r="BE909" s="55"/>
      <c r="BF909" s="55"/>
      <c r="BG909" s="55"/>
    </row>
    <row r="910" spans="57:59" x14ac:dyDescent="0.25">
      <c r="BE910" s="55"/>
      <c r="BF910" s="55"/>
      <c r="BG910" s="55"/>
    </row>
    <row r="911" spans="57:59" x14ac:dyDescent="0.25">
      <c r="BE911" s="55"/>
      <c r="BF911" s="55"/>
      <c r="BG911" s="55"/>
    </row>
    <row r="912" spans="57:59" x14ac:dyDescent="0.25">
      <c r="BE912" s="55"/>
      <c r="BF912" s="55"/>
      <c r="BG912" s="55"/>
    </row>
    <row r="913" spans="57:59" x14ac:dyDescent="0.25">
      <c r="BE913" s="55"/>
      <c r="BF913" s="55"/>
      <c r="BG913" s="55"/>
    </row>
    <row r="914" spans="57:59" x14ac:dyDescent="0.25">
      <c r="BE914" s="55"/>
      <c r="BF914" s="55"/>
      <c r="BG914" s="55"/>
    </row>
    <row r="915" spans="57:59" x14ac:dyDescent="0.25">
      <c r="BE915" s="55"/>
      <c r="BF915" s="55"/>
      <c r="BG915" s="55"/>
    </row>
    <row r="916" spans="57:59" x14ac:dyDescent="0.25">
      <c r="BE916" s="55"/>
      <c r="BF916" s="55"/>
      <c r="BG916" s="55"/>
    </row>
    <row r="917" spans="57:59" x14ac:dyDescent="0.25">
      <c r="BE917" s="55"/>
      <c r="BF917" s="55"/>
      <c r="BG917" s="55"/>
    </row>
    <row r="918" spans="57:59" x14ac:dyDescent="0.25">
      <c r="BE918" s="55"/>
      <c r="BF918" s="55"/>
      <c r="BG918" s="55"/>
    </row>
    <row r="919" spans="57:59" x14ac:dyDescent="0.25">
      <c r="BE919" s="55"/>
      <c r="BF919" s="55"/>
      <c r="BG919" s="55"/>
    </row>
    <row r="920" spans="57:59" x14ac:dyDescent="0.25">
      <c r="BE920" s="55"/>
      <c r="BF920" s="55"/>
      <c r="BG920" s="55"/>
    </row>
    <row r="921" spans="57:59" x14ac:dyDescent="0.25">
      <c r="BE921" s="55"/>
      <c r="BF921" s="55"/>
      <c r="BG921" s="55"/>
    </row>
    <row r="922" spans="57:59" x14ac:dyDescent="0.25">
      <c r="BE922" s="55"/>
      <c r="BF922" s="55"/>
      <c r="BG922" s="55"/>
    </row>
    <row r="923" spans="57:59" x14ac:dyDescent="0.25">
      <c r="BE923" s="55"/>
      <c r="BF923" s="55"/>
      <c r="BG923" s="55"/>
    </row>
    <row r="924" spans="57:59" x14ac:dyDescent="0.25">
      <c r="BE924" s="55"/>
      <c r="BF924" s="55"/>
      <c r="BG924" s="55"/>
    </row>
    <row r="925" spans="57:59" x14ac:dyDescent="0.25">
      <c r="BE925" s="55"/>
      <c r="BF925" s="55"/>
      <c r="BG925" s="55"/>
    </row>
    <row r="926" spans="57:59" x14ac:dyDescent="0.25">
      <c r="BE926" s="55"/>
      <c r="BF926" s="55"/>
      <c r="BG926" s="55"/>
    </row>
    <row r="927" spans="57:59" x14ac:dyDescent="0.25">
      <c r="BE927" s="55"/>
      <c r="BF927" s="55"/>
      <c r="BG927" s="55"/>
    </row>
    <row r="928" spans="57:59" x14ac:dyDescent="0.25">
      <c r="BE928" s="55"/>
      <c r="BF928" s="55"/>
      <c r="BG928" s="55"/>
    </row>
    <row r="929" spans="57:59" x14ac:dyDescent="0.25">
      <c r="BE929" s="55"/>
      <c r="BF929" s="55"/>
      <c r="BG929" s="55"/>
    </row>
    <row r="930" spans="57:59" x14ac:dyDescent="0.25">
      <c r="BE930" s="55"/>
      <c r="BF930" s="55"/>
      <c r="BG930" s="55"/>
    </row>
    <row r="931" spans="57:59" x14ac:dyDescent="0.25">
      <c r="BE931" s="55"/>
      <c r="BF931" s="55"/>
      <c r="BG931" s="55"/>
    </row>
    <row r="932" spans="57:59" x14ac:dyDescent="0.25">
      <c r="BE932" s="55"/>
      <c r="BF932" s="55"/>
      <c r="BG932" s="55"/>
    </row>
    <row r="933" spans="57:59" x14ac:dyDescent="0.25">
      <c r="BE933" s="55"/>
      <c r="BF933" s="55"/>
      <c r="BG933" s="55"/>
    </row>
    <row r="934" spans="57:59" x14ac:dyDescent="0.25">
      <c r="BE934" s="55"/>
      <c r="BF934" s="55"/>
      <c r="BG934" s="55"/>
    </row>
    <row r="935" spans="57:59" x14ac:dyDescent="0.25">
      <c r="BE935" s="55"/>
      <c r="BF935" s="55"/>
      <c r="BG935" s="55"/>
    </row>
    <row r="936" spans="57:59" x14ac:dyDescent="0.25">
      <c r="BE936" s="55"/>
      <c r="BF936" s="55"/>
      <c r="BG936" s="55"/>
    </row>
    <row r="937" spans="57:59" x14ac:dyDescent="0.25">
      <c r="BE937" s="55"/>
      <c r="BF937" s="55"/>
      <c r="BG937" s="55"/>
    </row>
    <row r="938" spans="57:59" x14ac:dyDescent="0.25">
      <c r="BE938" s="55"/>
      <c r="BF938" s="55"/>
      <c r="BG938" s="55"/>
    </row>
    <row r="939" spans="57:59" x14ac:dyDescent="0.25">
      <c r="BE939" s="55"/>
      <c r="BF939" s="55"/>
      <c r="BG939" s="55"/>
    </row>
    <row r="940" spans="57:59" x14ac:dyDescent="0.25">
      <c r="BE940" s="55"/>
      <c r="BF940" s="55"/>
      <c r="BG940" s="55"/>
    </row>
    <row r="941" spans="57:59" x14ac:dyDescent="0.25">
      <c r="BE941" s="55"/>
      <c r="BF941" s="55"/>
      <c r="BG941" s="55"/>
    </row>
    <row r="942" spans="57:59" x14ac:dyDescent="0.25">
      <c r="BE942" s="55"/>
      <c r="BF942" s="55"/>
      <c r="BG942" s="55"/>
    </row>
    <row r="943" spans="57:59" x14ac:dyDescent="0.25">
      <c r="BE943" s="55"/>
      <c r="BF943" s="55"/>
      <c r="BG943" s="55"/>
    </row>
    <row r="944" spans="57:59" x14ac:dyDescent="0.25">
      <c r="BE944" s="55"/>
      <c r="BF944" s="55"/>
      <c r="BG944" s="55"/>
    </row>
    <row r="945" spans="57:59" x14ac:dyDescent="0.25">
      <c r="BE945" s="55"/>
      <c r="BF945" s="55"/>
      <c r="BG945" s="55"/>
    </row>
    <row r="946" spans="57:59" x14ac:dyDescent="0.25">
      <c r="BE946" s="55"/>
      <c r="BF946" s="55"/>
      <c r="BG946" s="55"/>
    </row>
    <row r="947" spans="57:59" x14ac:dyDescent="0.25">
      <c r="BE947" s="55"/>
      <c r="BF947" s="55"/>
      <c r="BG947" s="55"/>
    </row>
    <row r="948" spans="57:59" x14ac:dyDescent="0.25">
      <c r="BE948" s="55"/>
      <c r="BF948" s="55"/>
      <c r="BG948" s="55"/>
    </row>
    <row r="949" spans="57:59" x14ac:dyDescent="0.25">
      <c r="BE949" s="55"/>
      <c r="BF949" s="55"/>
      <c r="BG949" s="55"/>
    </row>
    <row r="950" spans="57:59" x14ac:dyDescent="0.25">
      <c r="BE950" s="55"/>
      <c r="BF950" s="55"/>
      <c r="BG950" s="55"/>
    </row>
    <row r="951" spans="57:59" x14ac:dyDescent="0.25">
      <c r="BE951" s="55"/>
      <c r="BF951" s="55"/>
      <c r="BG951" s="55"/>
    </row>
    <row r="952" spans="57:59" x14ac:dyDescent="0.25">
      <c r="BE952" s="55"/>
      <c r="BF952" s="55"/>
      <c r="BG952" s="55"/>
    </row>
    <row r="953" spans="57:59" x14ac:dyDescent="0.25">
      <c r="BE953" s="55"/>
      <c r="BF953" s="55"/>
      <c r="BG953" s="55"/>
    </row>
    <row r="954" spans="57:59" x14ac:dyDescent="0.25">
      <c r="BE954" s="55"/>
      <c r="BF954" s="55"/>
      <c r="BG954" s="55"/>
    </row>
    <row r="955" spans="57:59" x14ac:dyDescent="0.25">
      <c r="BE955" s="55"/>
      <c r="BF955" s="55"/>
      <c r="BG955" s="55"/>
    </row>
    <row r="956" spans="57:59" x14ac:dyDescent="0.25">
      <c r="BE956" s="55"/>
      <c r="BF956" s="55"/>
      <c r="BG956" s="55"/>
    </row>
    <row r="957" spans="57:59" x14ac:dyDescent="0.25">
      <c r="BE957" s="55"/>
      <c r="BF957" s="55"/>
      <c r="BG957" s="55"/>
    </row>
    <row r="958" spans="57:59" x14ac:dyDescent="0.25">
      <c r="BE958" s="55"/>
      <c r="BF958" s="55"/>
      <c r="BG958" s="55"/>
    </row>
    <row r="959" spans="57:59" x14ac:dyDescent="0.25">
      <c r="BE959" s="55"/>
      <c r="BF959" s="55"/>
      <c r="BG959" s="55"/>
    </row>
    <row r="960" spans="57:59" x14ac:dyDescent="0.25">
      <c r="BE960" s="55"/>
      <c r="BF960" s="55"/>
      <c r="BG960" s="55"/>
    </row>
    <row r="961" spans="57:59" x14ac:dyDescent="0.25">
      <c r="BE961" s="55"/>
      <c r="BF961" s="55"/>
      <c r="BG961" s="55"/>
    </row>
    <row r="962" spans="57:59" x14ac:dyDescent="0.25">
      <c r="BE962" s="55"/>
      <c r="BF962" s="55"/>
      <c r="BG962" s="55"/>
    </row>
    <row r="963" spans="57:59" x14ac:dyDescent="0.25">
      <c r="BE963" s="55"/>
      <c r="BF963" s="55"/>
      <c r="BG963" s="55"/>
    </row>
    <row r="964" spans="57:59" x14ac:dyDescent="0.25">
      <c r="BE964" s="55"/>
      <c r="BF964" s="55"/>
      <c r="BG964" s="55"/>
    </row>
    <row r="965" spans="57:59" x14ac:dyDescent="0.25">
      <c r="BE965" s="55"/>
      <c r="BF965" s="55"/>
      <c r="BG965" s="55"/>
    </row>
    <row r="966" spans="57:59" x14ac:dyDescent="0.25">
      <c r="BE966" s="55"/>
      <c r="BF966" s="55"/>
      <c r="BG966" s="55"/>
    </row>
    <row r="967" spans="57:59" x14ac:dyDescent="0.25">
      <c r="BE967" s="55"/>
      <c r="BF967" s="55"/>
      <c r="BG967" s="55"/>
    </row>
    <row r="968" spans="57:59" x14ac:dyDescent="0.25">
      <c r="BE968" s="55"/>
      <c r="BF968" s="55"/>
      <c r="BG968" s="55"/>
    </row>
    <row r="969" spans="57:59" x14ac:dyDescent="0.25">
      <c r="BE969" s="55"/>
      <c r="BF969" s="55"/>
      <c r="BG969" s="55"/>
    </row>
    <row r="970" spans="57:59" x14ac:dyDescent="0.25">
      <c r="BE970" s="55"/>
      <c r="BF970" s="55"/>
      <c r="BG970" s="55"/>
    </row>
    <row r="971" spans="57:59" x14ac:dyDescent="0.25">
      <c r="BE971" s="55"/>
      <c r="BF971" s="55"/>
      <c r="BG971" s="55"/>
    </row>
    <row r="972" spans="57:59" x14ac:dyDescent="0.25">
      <c r="BE972" s="55"/>
      <c r="BF972" s="55"/>
      <c r="BG972" s="55"/>
    </row>
    <row r="973" spans="57:59" x14ac:dyDescent="0.25">
      <c r="BE973" s="55"/>
      <c r="BF973" s="55"/>
      <c r="BG973" s="55"/>
    </row>
    <row r="974" spans="57:59" x14ac:dyDescent="0.25">
      <c r="BE974" s="55"/>
      <c r="BF974" s="55"/>
      <c r="BG974" s="55"/>
    </row>
    <row r="975" spans="57:59" x14ac:dyDescent="0.25">
      <c r="BE975" s="55"/>
      <c r="BF975" s="55"/>
      <c r="BG975" s="55"/>
    </row>
    <row r="976" spans="57:59" x14ac:dyDescent="0.25">
      <c r="BE976" s="55"/>
      <c r="BF976" s="55"/>
      <c r="BG976" s="55"/>
    </row>
    <row r="977" spans="57:59" x14ac:dyDescent="0.25">
      <c r="BE977" s="55"/>
      <c r="BF977" s="55"/>
      <c r="BG977" s="55"/>
    </row>
    <row r="978" spans="57:59" x14ac:dyDescent="0.25">
      <c r="BE978" s="55"/>
      <c r="BF978" s="55"/>
      <c r="BG978" s="55"/>
    </row>
    <row r="979" spans="57:59" x14ac:dyDescent="0.25">
      <c r="BE979" s="55"/>
      <c r="BF979" s="55"/>
      <c r="BG979" s="55"/>
    </row>
    <row r="980" spans="57:59" x14ac:dyDescent="0.25">
      <c r="BE980" s="55"/>
      <c r="BF980" s="55"/>
      <c r="BG980" s="55"/>
    </row>
    <row r="981" spans="57:59" x14ac:dyDescent="0.25">
      <c r="BE981" s="55"/>
      <c r="BF981" s="55"/>
      <c r="BG981" s="55"/>
    </row>
    <row r="982" spans="57:59" x14ac:dyDescent="0.25">
      <c r="BE982" s="55"/>
      <c r="BF982" s="55"/>
      <c r="BG982" s="55"/>
    </row>
    <row r="983" spans="57:59" x14ac:dyDescent="0.25">
      <c r="BE983" s="55"/>
      <c r="BF983" s="55"/>
      <c r="BG983" s="55"/>
    </row>
    <row r="984" spans="57:59" x14ac:dyDescent="0.25">
      <c r="BE984" s="55"/>
      <c r="BF984" s="55"/>
      <c r="BG984" s="55"/>
    </row>
    <row r="985" spans="57:59" x14ac:dyDescent="0.25">
      <c r="BE985" s="55"/>
      <c r="BF985" s="55"/>
      <c r="BG985" s="55"/>
    </row>
    <row r="986" spans="57:59" x14ac:dyDescent="0.25">
      <c r="BE986" s="55"/>
      <c r="BF986" s="55"/>
      <c r="BG986" s="55"/>
    </row>
    <row r="987" spans="57:59" x14ac:dyDescent="0.25">
      <c r="BE987" s="55"/>
      <c r="BF987" s="55"/>
      <c r="BG987" s="55"/>
    </row>
    <row r="988" spans="57:59" x14ac:dyDescent="0.25">
      <c r="BE988" s="55"/>
      <c r="BF988" s="55"/>
      <c r="BG988" s="55"/>
    </row>
    <row r="989" spans="57:59" x14ac:dyDescent="0.25">
      <c r="BE989" s="55"/>
      <c r="BF989" s="55"/>
      <c r="BG989" s="55"/>
    </row>
    <row r="990" spans="57:59" x14ac:dyDescent="0.25">
      <c r="BE990" s="55"/>
      <c r="BF990" s="55"/>
      <c r="BG990" s="55"/>
    </row>
    <row r="991" spans="57:59" x14ac:dyDescent="0.25">
      <c r="BE991" s="55"/>
      <c r="BF991" s="55"/>
      <c r="BG991" s="55"/>
    </row>
    <row r="992" spans="57:59" x14ac:dyDescent="0.25">
      <c r="BE992" s="55"/>
      <c r="BF992" s="55"/>
      <c r="BG992" s="55"/>
    </row>
    <row r="993" spans="57:59" x14ac:dyDescent="0.25">
      <c r="BE993" s="55"/>
      <c r="BF993" s="55"/>
      <c r="BG993" s="55"/>
    </row>
    <row r="994" spans="57:59" x14ac:dyDescent="0.25">
      <c r="BE994" s="55"/>
      <c r="BF994" s="55"/>
      <c r="BG994" s="55"/>
    </row>
    <row r="995" spans="57:59" x14ac:dyDescent="0.25">
      <c r="BE995" s="55"/>
      <c r="BF995" s="55"/>
      <c r="BG995" s="55"/>
    </row>
    <row r="996" spans="57:59" x14ac:dyDescent="0.25">
      <c r="BE996" s="55"/>
      <c r="BF996" s="55"/>
      <c r="BG996" s="55"/>
    </row>
    <row r="997" spans="57:59" x14ac:dyDescent="0.25">
      <c r="BE997" s="55"/>
      <c r="BF997" s="55"/>
      <c r="BG997" s="55"/>
    </row>
    <row r="998" spans="57:59" x14ac:dyDescent="0.25">
      <c r="BE998" s="55"/>
      <c r="BF998" s="55"/>
      <c r="BG998" s="55"/>
    </row>
    <row r="999" spans="57:59" x14ac:dyDescent="0.25">
      <c r="BE999" s="55"/>
      <c r="BF999" s="55"/>
      <c r="BG999" s="55"/>
    </row>
    <row r="1000" spans="57:59" x14ac:dyDescent="0.25">
      <c r="BE1000" s="55"/>
      <c r="BF1000" s="55"/>
      <c r="BG1000" s="55"/>
    </row>
    <row r="1001" spans="57:59" x14ac:dyDescent="0.25">
      <c r="BE1001" s="55"/>
      <c r="BF1001" s="55"/>
      <c r="BG1001" s="55"/>
    </row>
    <row r="1002" spans="57:59" x14ac:dyDescent="0.25">
      <c r="BE1002" s="55"/>
      <c r="BF1002" s="55"/>
      <c r="BG1002" s="55"/>
    </row>
    <row r="1003" spans="57:59" x14ac:dyDescent="0.25">
      <c r="BE1003" s="55"/>
      <c r="BF1003" s="55"/>
      <c r="BG1003" s="55"/>
    </row>
    <row r="1004" spans="57:59" x14ac:dyDescent="0.25">
      <c r="BE1004" s="55"/>
      <c r="BF1004" s="55"/>
      <c r="BG1004" s="55"/>
    </row>
    <row r="1005" spans="57:59" x14ac:dyDescent="0.25">
      <c r="BE1005" s="55"/>
      <c r="BF1005" s="55"/>
      <c r="BG1005" s="55"/>
    </row>
    <row r="1006" spans="57:59" x14ac:dyDescent="0.25">
      <c r="BE1006" s="55"/>
      <c r="BF1006" s="55"/>
      <c r="BG1006" s="55"/>
    </row>
    <row r="1007" spans="57:59" x14ac:dyDescent="0.25">
      <c r="BE1007" s="55"/>
      <c r="BF1007" s="55"/>
      <c r="BG1007" s="55"/>
    </row>
    <row r="1008" spans="57:59" x14ac:dyDescent="0.25">
      <c r="BE1008" s="55"/>
      <c r="BF1008" s="55"/>
      <c r="BG1008" s="55"/>
    </row>
    <row r="1009" spans="57:59" x14ac:dyDescent="0.25">
      <c r="BE1009" s="55"/>
      <c r="BF1009" s="55"/>
      <c r="BG1009" s="55"/>
    </row>
    <row r="1010" spans="57:59" x14ac:dyDescent="0.25">
      <c r="BE1010" s="55"/>
      <c r="BF1010" s="55"/>
      <c r="BG1010" s="55"/>
    </row>
    <row r="1011" spans="57:59" x14ac:dyDescent="0.25">
      <c r="BE1011" s="55"/>
      <c r="BF1011" s="55"/>
      <c r="BG1011" s="55"/>
    </row>
    <row r="1012" spans="57:59" x14ac:dyDescent="0.25">
      <c r="BE1012" s="55"/>
      <c r="BF1012" s="55"/>
      <c r="BG1012" s="55"/>
    </row>
    <row r="1013" spans="57:59" x14ac:dyDescent="0.25">
      <c r="BE1013" s="55"/>
      <c r="BF1013" s="55"/>
      <c r="BG1013" s="55"/>
    </row>
    <row r="1014" spans="57:59" x14ac:dyDescent="0.25">
      <c r="BE1014" s="55"/>
      <c r="BF1014" s="55"/>
      <c r="BG1014" s="55"/>
    </row>
    <row r="1015" spans="57:59" x14ac:dyDescent="0.25">
      <c r="BE1015" s="55"/>
      <c r="BF1015" s="55"/>
      <c r="BG1015" s="55"/>
    </row>
    <row r="1016" spans="57:59" x14ac:dyDescent="0.25">
      <c r="BE1016" s="55"/>
      <c r="BF1016" s="55"/>
      <c r="BG1016" s="55"/>
    </row>
    <row r="1017" spans="57:59" x14ac:dyDescent="0.25">
      <c r="BE1017" s="55"/>
      <c r="BF1017" s="55"/>
      <c r="BG1017" s="55"/>
    </row>
    <row r="1018" spans="57:59" x14ac:dyDescent="0.25">
      <c r="BE1018" s="55"/>
      <c r="BF1018" s="55"/>
      <c r="BG1018" s="55"/>
    </row>
    <row r="1019" spans="57:59" x14ac:dyDescent="0.25">
      <c r="BE1019" s="55"/>
      <c r="BF1019" s="55"/>
      <c r="BG1019" s="55"/>
    </row>
    <row r="1020" spans="57:59" x14ac:dyDescent="0.25">
      <c r="BE1020" s="55"/>
      <c r="BF1020" s="55"/>
      <c r="BG1020" s="55"/>
    </row>
    <row r="1021" spans="57:59" x14ac:dyDescent="0.25">
      <c r="BE1021" s="55"/>
      <c r="BF1021" s="55"/>
      <c r="BG1021" s="55"/>
    </row>
    <row r="1022" spans="57:59" x14ac:dyDescent="0.25">
      <c r="BE1022" s="55"/>
      <c r="BF1022" s="55"/>
      <c r="BG1022" s="55"/>
    </row>
    <row r="1023" spans="57:59" x14ac:dyDescent="0.25">
      <c r="BE1023" s="55"/>
      <c r="BF1023" s="55"/>
      <c r="BG1023" s="55"/>
    </row>
    <row r="1024" spans="57:59" x14ac:dyDescent="0.25">
      <c r="BE1024" s="55"/>
      <c r="BF1024" s="55"/>
      <c r="BG1024" s="55"/>
    </row>
    <row r="1025" spans="57:59" x14ac:dyDescent="0.25">
      <c r="BE1025" s="55"/>
      <c r="BF1025" s="55"/>
      <c r="BG1025" s="55"/>
    </row>
    <row r="1026" spans="57:59" x14ac:dyDescent="0.25">
      <c r="BE1026" s="55"/>
      <c r="BF1026" s="55"/>
      <c r="BG1026" s="55"/>
    </row>
    <row r="1027" spans="57:59" x14ac:dyDescent="0.25">
      <c r="BE1027" s="55"/>
      <c r="BF1027" s="55"/>
      <c r="BG1027" s="55"/>
    </row>
    <row r="1028" spans="57:59" x14ac:dyDescent="0.25">
      <c r="BE1028" s="55"/>
      <c r="BF1028" s="55"/>
      <c r="BG1028" s="55"/>
    </row>
    <row r="1029" spans="57:59" x14ac:dyDescent="0.25">
      <c r="BE1029" s="55"/>
      <c r="BF1029" s="55"/>
      <c r="BG1029" s="55"/>
    </row>
    <row r="1030" spans="57:59" x14ac:dyDescent="0.25">
      <c r="BE1030" s="55"/>
      <c r="BF1030" s="55"/>
      <c r="BG1030" s="55"/>
    </row>
    <row r="1031" spans="57:59" x14ac:dyDescent="0.25">
      <c r="BE1031" s="55"/>
      <c r="BF1031" s="55"/>
      <c r="BG1031" s="55"/>
    </row>
    <row r="1032" spans="57:59" x14ac:dyDescent="0.25">
      <c r="BE1032" s="55"/>
      <c r="BF1032" s="55"/>
      <c r="BG1032" s="55"/>
    </row>
  </sheetData>
  <sheetProtection formatCells="0" formatRows="0" insertColumns="0" insertRows="0" insertHyperlinks="0" deleteColumns="0" deleteRows="0" sort="0" autoFilter="0" pivotTables="0"/>
  <dataValidations disablePrompts="1" count="3">
    <dataValidation type="list" allowBlank="1" showInputMessage="1" showErrorMessage="1" sqref="Z5" xr:uid="{56CAB428-336D-4AE4-A93C-06827CC827A9}">
      <formula1>$Y$5:$Y$5</formula1>
    </dataValidation>
    <dataValidation type="list" allowBlank="1" showInputMessage="1" showErrorMessage="1" sqref="B36" xr:uid="{6C706FA4-257F-40AD-B05A-18898DAFF3B9}">
      <formula1>$C$39:$F$39</formula1>
    </dataValidation>
    <dataValidation type="list" allowBlank="1" showInputMessage="1" showErrorMessage="1" sqref="C46" xr:uid="{1766A57E-CD0B-47AF-8CB5-7D4FA9B88012}">
      <formula1>$C$40:$S$40</formula1>
    </dataValidation>
  </dataValidations>
  <pageMargins left="0.7" right="0.7" top="0.75" bottom="0.75" header="0.3" footer="0.3"/>
  <ignoredErrors>
    <ignoredError sqref="B49 BK6" 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1">
    <tabColor theme="2" tint="-0.14999847407452621"/>
  </sheetPr>
  <dimension ref="A1:AD1939"/>
  <sheetViews>
    <sheetView topLeftCell="C1" workbookViewId="0">
      <pane ySplit="1" topLeftCell="A1214" activePane="bottomLeft" state="frozen"/>
      <selection pane="bottomLeft" activeCell="L1255" sqref="L1255"/>
    </sheetView>
  </sheetViews>
  <sheetFormatPr defaultColWidth="12.5703125" defaultRowHeight="15.75" customHeight="1" x14ac:dyDescent="0.2"/>
  <cols>
    <col min="1" max="1" width="14.28515625" style="47" customWidth="1"/>
    <col min="2" max="2" width="27.7109375" style="48" customWidth="1"/>
    <col min="3" max="3" width="15.7109375" style="48" customWidth="1"/>
    <col min="4" max="4" width="11" style="49" bestFit="1" customWidth="1"/>
    <col min="5" max="5" width="12.140625" style="50" bestFit="1" customWidth="1"/>
    <col min="6" max="6" width="16" style="50" bestFit="1" customWidth="1"/>
    <col min="7" max="7" width="13.7109375" style="51" customWidth="1"/>
    <col min="8" max="8" width="20.85546875" style="48" customWidth="1"/>
    <col min="9" max="9" width="19.140625" style="48" customWidth="1"/>
    <col min="10" max="10" width="30.28515625" style="48" customWidth="1"/>
    <col min="11" max="11" width="20" style="48" customWidth="1"/>
    <col min="12" max="12" width="92.42578125" style="37" customWidth="1"/>
    <col min="13" max="13" width="22.42578125" style="46" bestFit="1" customWidth="1"/>
    <col min="14" max="14" width="12.85546875" style="48" customWidth="1"/>
    <col min="15" max="15" width="9.7109375" style="48" customWidth="1"/>
    <col min="16" max="17" width="19.140625" style="48" customWidth="1"/>
    <col min="18" max="18" width="14.140625" style="52" customWidth="1"/>
    <col min="19" max="19" width="13.140625" style="53" customWidth="1"/>
    <col min="20" max="20" width="12.140625" style="53" customWidth="1"/>
    <col min="21" max="21" width="10.85546875" style="50" bestFit="1" customWidth="1"/>
    <col min="22" max="22" width="23.28515625" style="47" bestFit="1" customWidth="1"/>
    <col min="23" max="23" width="10.140625" style="50" bestFit="1" customWidth="1"/>
    <col min="24" max="24" width="10.85546875" style="47" bestFit="1" customWidth="1"/>
    <col min="25" max="25" width="15.85546875" style="50" bestFit="1" customWidth="1"/>
    <col min="26" max="26" width="11.28515625" style="48" customWidth="1"/>
    <col min="27" max="27" width="17.140625" style="46" bestFit="1" customWidth="1"/>
    <col min="28" max="28" width="16.42578125" style="46" bestFit="1" customWidth="1"/>
    <col min="29" max="29" width="13.7109375" style="46" bestFit="1" customWidth="1"/>
    <col min="30" max="30" width="17.85546875" style="46" bestFit="1" customWidth="1"/>
  </cols>
  <sheetData>
    <row r="1" spans="1:30" s="25" customFormat="1" ht="15.75" customHeight="1" x14ac:dyDescent="0.2">
      <c r="A1" s="19" t="s">
        <v>0</v>
      </c>
      <c r="B1" s="20" t="s">
        <v>1</v>
      </c>
      <c r="C1" s="20" t="s">
        <v>2</v>
      </c>
      <c r="D1" s="21" t="s">
        <v>3</v>
      </c>
      <c r="E1" s="22" t="s">
        <v>4</v>
      </c>
      <c r="F1" s="22" t="s">
        <v>5</v>
      </c>
      <c r="G1" s="20" t="s">
        <v>6</v>
      </c>
      <c r="H1" s="20" t="s">
        <v>7</v>
      </c>
      <c r="I1" s="20" t="s">
        <v>8</v>
      </c>
      <c r="J1" s="20" t="s">
        <v>9</v>
      </c>
      <c r="K1" s="20" t="s">
        <v>10</v>
      </c>
      <c r="L1" s="23" t="s">
        <v>11</v>
      </c>
      <c r="M1" s="23" t="s">
        <v>12</v>
      </c>
      <c r="N1" s="20" t="s">
        <v>13</v>
      </c>
      <c r="O1" s="20" t="s">
        <v>14</v>
      </c>
      <c r="P1" s="20" t="s">
        <v>15</v>
      </c>
      <c r="Q1" s="20" t="s">
        <v>16</v>
      </c>
      <c r="R1" s="19" t="s">
        <v>17</v>
      </c>
      <c r="S1" s="24" t="s">
        <v>18</v>
      </c>
      <c r="T1" s="24" t="s">
        <v>19</v>
      </c>
      <c r="U1" s="22" t="s">
        <v>20</v>
      </c>
      <c r="V1" s="19" t="s">
        <v>21</v>
      </c>
      <c r="W1" s="22" t="s">
        <v>22</v>
      </c>
      <c r="X1" s="19" t="s">
        <v>23</v>
      </c>
      <c r="Y1" s="22" t="s">
        <v>3051</v>
      </c>
      <c r="Z1" s="20" t="s">
        <v>24</v>
      </c>
      <c r="AA1" s="23" t="s">
        <v>3019</v>
      </c>
      <c r="AB1" s="23" t="s">
        <v>3050</v>
      </c>
      <c r="AC1" s="23" t="s">
        <v>3018</v>
      </c>
      <c r="AD1" s="23" t="s">
        <v>3020</v>
      </c>
    </row>
    <row r="2" spans="1:30" s="37" customFormat="1" ht="15.75" customHeight="1" x14ac:dyDescent="0.2">
      <c r="A2" s="26">
        <v>3275</v>
      </c>
      <c r="B2" s="27" t="s">
        <v>63</v>
      </c>
      <c r="C2" s="27" t="s">
        <v>48</v>
      </c>
      <c r="D2" s="28">
        <v>0.04</v>
      </c>
      <c r="E2" s="29">
        <v>449.99</v>
      </c>
      <c r="F2" s="29">
        <v>24.49</v>
      </c>
      <c r="G2" s="30" t="s">
        <v>39</v>
      </c>
      <c r="H2" s="27" t="s">
        <v>3095</v>
      </c>
      <c r="I2" s="27" t="s">
        <v>41</v>
      </c>
      <c r="J2" s="27" t="s">
        <v>64</v>
      </c>
      <c r="K2" s="27" t="s">
        <v>65</v>
      </c>
      <c r="L2" s="31" t="s">
        <v>66</v>
      </c>
      <c r="M2" s="32">
        <v>0.52</v>
      </c>
      <c r="N2" s="27" t="s">
        <v>33</v>
      </c>
      <c r="O2" s="27" t="s">
        <v>60</v>
      </c>
      <c r="P2" s="27" t="s">
        <v>67</v>
      </c>
      <c r="Q2" s="27" t="s">
        <v>68</v>
      </c>
      <c r="R2" s="33">
        <v>98273</v>
      </c>
      <c r="S2" s="34">
        <v>42005</v>
      </c>
      <c r="T2" s="34">
        <v>42009</v>
      </c>
      <c r="U2" s="29">
        <v>3576.8841000000002</v>
      </c>
      <c r="V2" s="26">
        <v>12</v>
      </c>
      <c r="W2" s="29">
        <v>5183.8900000000003</v>
      </c>
      <c r="X2" s="26">
        <v>86234</v>
      </c>
      <c r="Y2" s="35">
        <v>348.2</v>
      </c>
      <c r="Z2" s="1" t="s">
        <v>3013</v>
      </c>
      <c r="AA2" s="36">
        <v>215.99520000000001</v>
      </c>
      <c r="AB2" s="54">
        <v>2488.2672000000002</v>
      </c>
      <c r="AC2" s="54">
        <v>224.63523333333333</v>
      </c>
      <c r="AD2" s="36">
        <v>1366.5207000000005</v>
      </c>
    </row>
    <row r="3" spans="1:30" s="37" customFormat="1" ht="15.75" customHeight="1" x14ac:dyDescent="0.2">
      <c r="A3" s="26">
        <v>1425</v>
      </c>
      <c r="B3" s="27" t="s">
        <v>56</v>
      </c>
      <c r="C3" s="27" t="s">
        <v>48</v>
      </c>
      <c r="D3" s="28">
        <v>0.04</v>
      </c>
      <c r="E3" s="29">
        <v>2036.48</v>
      </c>
      <c r="F3" s="29">
        <v>14.7</v>
      </c>
      <c r="G3" s="30" t="s">
        <v>27</v>
      </c>
      <c r="H3" s="27" t="s">
        <v>3095</v>
      </c>
      <c r="I3" s="27" t="s">
        <v>41</v>
      </c>
      <c r="J3" s="27" t="s">
        <v>57</v>
      </c>
      <c r="K3" s="27" t="s">
        <v>58</v>
      </c>
      <c r="L3" s="31" t="s">
        <v>59</v>
      </c>
      <c r="M3" s="32">
        <v>0.55000000000000004</v>
      </c>
      <c r="N3" s="27" t="s">
        <v>33</v>
      </c>
      <c r="O3" s="27" t="s">
        <v>60</v>
      </c>
      <c r="P3" s="27" t="s">
        <v>61</v>
      </c>
      <c r="Q3" s="27" t="s">
        <v>62</v>
      </c>
      <c r="R3" s="33">
        <v>80525</v>
      </c>
      <c r="S3" s="34">
        <v>42005</v>
      </c>
      <c r="T3" s="34">
        <v>42010</v>
      </c>
      <c r="U3" s="29">
        <v>-4793.0039999999999</v>
      </c>
      <c r="V3" s="26">
        <v>1</v>
      </c>
      <c r="W3" s="29">
        <v>2013.67</v>
      </c>
      <c r="X3" s="26">
        <v>89450</v>
      </c>
      <c r="Y3" s="35">
        <v>45.15</v>
      </c>
      <c r="Z3" s="1" t="s">
        <v>3013</v>
      </c>
      <c r="AA3" s="36">
        <v>81.459199999999996</v>
      </c>
      <c r="AB3" s="54">
        <v>906.15149999999994</v>
      </c>
      <c r="AC3" s="54">
        <v>1107.5185000000001</v>
      </c>
      <c r="AD3" s="36">
        <v>6710.5147999999999</v>
      </c>
    </row>
    <row r="4" spans="1:30" s="37" customFormat="1" ht="15.75" customHeight="1" x14ac:dyDescent="0.2">
      <c r="A4" s="26">
        <v>1552</v>
      </c>
      <c r="B4" s="27" t="s">
        <v>25</v>
      </c>
      <c r="C4" s="27" t="s">
        <v>26</v>
      </c>
      <c r="D4" s="28">
        <v>0.01</v>
      </c>
      <c r="E4" s="29">
        <v>348.21</v>
      </c>
      <c r="F4" s="29">
        <v>40.19</v>
      </c>
      <c r="G4" s="30" t="s">
        <v>27</v>
      </c>
      <c r="H4" s="27" t="s">
        <v>3095</v>
      </c>
      <c r="I4" s="27" t="s">
        <v>29</v>
      </c>
      <c r="J4" s="27" t="s">
        <v>30</v>
      </c>
      <c r="K4" s="27" t="s">
        <v>31</v>
      </c>
      <c r="L4" s="31" t="s">
        <v>32</v>
      </c>
      <c r="M4" s="32">
        <v>0.62</v>
      </c>
      <c r="N4" s="27" t="s">
        <v>33</v>
      </c>
      <c r="O4" s="27" t="s">
        <v>34</v>
      </c>
      <c r="P4" s="27" t="s">
        <v>35</v>
      </c>
      <c r="Q4" s="27" t="s">
        <v>36</v>
      </c>
      <c r="R4" s="33">
        <v>39056</v>
      </c>
      <c r="S4" s="34">
        <v>42005</v>
      </c>
      <c r="T4" s="34">
        <v>42008</v>
      </c>
      <c r="U4" s="29">
        <v>-337.09199999999998</v>
      </c>
      <c r="V4" s="26">
        <v>2</v>
      </c>
      <c r="W4" s="29">
        <v>723.54</v>
      </c>
      <c r="X4" s="26">
        <v>87486</v>
      </c>
      <c r="Y4" s="35">
        <v>4.7699999999999996</v>
      </c>
      <c r="Z4" s="1" t="s">
        <v>3011</v>
      </c>
      <c r="AA4" s="36">
        <v>6.9641999999999999</v>
      </c>
      <c r="AB4" s="54">
        <v>274.9452</v>
      </c>
      <c r="AC4" s="54">
        <v>224.29739999999998</v>
      </c>
      <c r="AD4" s="36">
        <v>1013.4777999999999</v>
      </c>
    </row>
    <row r="5" spans="1:30" s="37" customFormat="1" ht="15.75" customHeight="1" x14ac:dyDescent="0.2">
      <c r="A5" s="26">
        <v>2124</v>
      </c>
      <c r="B5" s="27" t="s">
        <v>37</v>
      </c>
      <c r="C5" s="27" t="s">
        <v>38</v>
      </c>
      <c r="D5" s="28">
        <v>0.04</v>
      </c>
      <c r="E5" s="29">
        <v>45.19</v>
      </c>
      <c r="F5" s="29">
        <v>1.99</v>
      </c>
      <c r="G5" s="30" t="s">
        <v>39</v>
      </c>
      <c r="H5" s="27" t="s">
        <v>40</v>
      </c>
      <c r="I5" s="27" t="s">
        <v>41</v>
      </c>
      <c r="J5" s="27" t="s">
        <v>42</v>
      </c>
      <c r="K5" s="27" t="s">
        <v>43</v>
      </c>
      <c r="L5" s="31" t="s">
        <v>44</v>
      </c>
      <c r="M5" s="32">
        <v>0.55000000000000004</v>
      </c>
      <c r="N5" s="27" t="s">
        <v>33</v>
      </c>
      <c r="O5" s="27" t="s">
        <v>34</v>
      </c>
      <c r="P5" s="27" t="s">
        <v>45</v>
      </c>
      <c r="Q5" s="27" t="s">
        <v>46</v>
      </c>
      <c r="R5" s="33">
        <v>72301</v>
      </c>
      <c r="S5" s="34">
        <v>42005</v>
      </c>
      <c r="T5" s="34">
        <v>42006</v>
      </c>
      <c r="U5" s="29">
        <v>-61.194000000000003</v>
      </c>
      <c r="V5" s="26">
        <v>13</v>
      </c>
      <c r="W5" s="29">
        <v>609.09</v>
      </c>
      <c r="X5" s="26">
        <v>89665</v>
      </c>
      <c r="Y5" s="35">
        <v>2036.44</v>
      </c>
      <c r="Z5" s="1" t="s">
        <v>3011</v>
      </c>
      <c r="AA5" s="36">
        <v>23.498799999999999</v>
      </c>
      <c r="AB5" s="54">
        <v>274.09049999999996</v>
      </c>
      <c r="AC5" s="54">
        <v>25.769192307692311</v>
      </c>
      <c r="AD5" s="36">
        <v>644.79520000000002</v>
      </c>
    </row>
    <row r="6" spans="1:30" s="37" customFormat="1" ht="15.75" customHeight="1" x14ac:dyDescent="0.2">
      <c r="A6" s="26">
        <v>1910</v>
      </c>
      <c r="B6" s="27" t="s">
        <v>70</v>
      </c>
      <c r="C6" s="27" t="s">
        <v>3094</v>
      </c>
      <c r="D6" s="28">
        <v>0.02</v>
      </c>
      <c r="E6" s="29">
        <v>29.17</v>
      </c>
      <c r="F6" s="29">
        <v>6.27</v>
      </c>
      <c r="G6" s="30" t="s">
        <v>39</v>
      </c>
      <c r="H6" s="27" t="s">
        <v>71</v>
      </c>
      <c r="I6" s="27" t="s">
        <v>49</v>
      </c>
      <c r="J6" s="27" t="s">
        <v>72</v>
      </c>
      <c r="K6" s="27" t="s">
        <v>73</v>
      </c>
      <c r="L6" s="31" t="s">
        <v>74</v>
      </c>
      <c r="M6" s="32">
        <v>0.37</v>
      </c>
      <c r="N6" s="27" t="s">
        <v>33</v>
      </c>
      <c r="O6" s="27" t="s">
        <v>34</v>
      </c>
      <c r="P6" s="27" t="s">
        <v>75</v>
      </c>
      <c r="Q6" s="27" t="s">
        <v>76</v>
      </c>
      <c r="R6" s="33">
        <v>30269</v>
      </c>
      <c r="S6" s="34">
        <v>42005</v>
      </c>
      <c r="T6" s="34">
        <v>42006</v>
      </c>
      <c r="U6" s="29">
        <v>36.905999999999999</v>
      </c>
      <c r="V6" s="26">
        <v>2</v>
      </c>
      <c r="W6" s="29">
        <v>63.32</v>
      </c>
      <c r="X6" s="26">
        <v>91371</v>
      </c>
      <c r="Y6" s="35">
        <v>449.95</v>
      </c>
      <c r="Z6" s="1" t="s">
        <v>3011</v>
      </c>
      <c r="AA6" s="36">
        <v>1.1668000000000001</v>
      </c>
      <c r="AB6" s="54">
        <v>39.891600000000004</v>
      </c>
      <c r="AC6" s="54">
        <v>11.7142</v>
      </c>
      <c r="AD6" s="36">
        <v>18.977199999999996</v>
      </c>
    </row>
    <row r="7" spans="1:30" s="37" customFormat="1" ht="15.75" customHeight="1" x14ac:dyDescent="0.2">
      <c r="A7" s="26">
        <v>1418</v>
      </c>
      <c r="B7" s="27" t="s">
        <v>47</v>
      </c>
      <c r="C7" s="27" t="s">
        <v>48</v>
      </c>
      <c r="D7" s="28">
        <v>7.0000000000000007E-2</v>
      </c>
      <c r="E7" s="29">
        <v>4.84</v>
      </c>
      <c r="F7" s="29">
        <v>0.71</v>
      </c>
      <c r="G7" s="30" t="s">
        <v>39</v>
      </c>
      <c r="H7" s="27" t="s">
        <v>3095</v>
      </c>
      <c r="I7" s="27" t="s">
        <v>49</v>
      </c>
      <c r="J7" s="27" t="s">
        <v>50</v>
      </c>
      <c r="K7" s="27" t="s">
        <v>51</v>
      </c>
      <c r="L7" s="31" t="s">
        <v>52</v>
      </c>
      <c r="M7" s="32">
        <v>0.52</v>
      </c>
      <c r="N7" s="27" t="s">
        <v>33</v>
      </c>
      <c r="O7" s="27" t="s">
        <v>53</v>
      </c>
      <c r="P7" s="27" t="s">
        <v>54</v>
      </c>
      <c r="Q7" s="27" t="s">
        <v>55</v>
      </c>
      <c r="R7" s="33">
        <v>46901</v>
      </c>
      <c r="S7" s="34">
        <v>42005</v>
      </c>
      <c r="T7" s="34">
        <v>42007</v>
      </c>
      <c r="U7" s="29">
        <v>25.240200000000002</v>
      </c>
      <c r="V7" s="26">
        <v>8</v>
      </c>
      <c r="W7" s="29">
        <v>36.58</v>
      </c>
      <c r="X7" s="26">
        <v>90539</v>
      </c>
      <c r="Y7" s="35">
        <v>5.83</v>
      </c>
      <c r="Z7" s="1" t="s">
        <v>3012</v>
      </c>
      <c r="AA7" s="36">
        <v>2.7104000000000004</v>
      </c>
      <c r="AB7" s="54">
        <v>17.558399999999999</v>
      </c>
      <c r="AC7" s="54">
        <v>2.3776999999999999</v>
      </c>
      <c r="AD7" s="36">
        <v>7.919399999999996</v>
      </c>
    </row>
    <row r="8" spans="1:30" s="37" customFormat="1" ht="15.75" customHeight="1" x14ac:dyDescent="0.2">
      <c r="A8" s="26">
        <v>3275</v>
      </c>
      <c r="B8" s="27" t="s">
        <v>63</v>
      </c>
      <c r="C8" s="27" t="s">
        <v>48</v>
      </c>
      <c r="D8" s="28">
        <v>0.01</v>
      </c>
      <c r="E8" s="29">
        <v>5.84</v>
      </c>
      <c r="F8" s="29">
        <v>1.2</v>
      </c>
      <c r="G8" s="30" t="s">
        <v>39</v>
      </c>
      <c r="H8" s="27" t="s">
        <v>3095</v>
      </c>
      <c r="I8" s="27" t="s">
        <v>49</v>
      </c>
      <c r="J8" s="27" t="s">
        <v>50</v>
      </c>
      <c r="K8" s="27" t="s">
        <v>51</v>
      </c>
      <c r="L8" s="31" t="s">
        <v>69</v>
      </c>
      <c r="M8" s="32">
        <v>0.55000000000000004</v>
      </c>
      <c r="N8" s="27" t="s">
        <v>33</v>
      </c>
      <c r="O8" s="27" t="s">
        <v>60</v>
      </c>
      <c r="P8" s="27" t="s">
        <v>67</v>
      </c>
      <c r="Q8" s="27" t="s">
        <v>68</v>
      </c>
      <c r="R8" s="33">
        <v>98273</v>
      </c>
      <c r="S8" s="34">
        <v>42005</v>
      </c>
      <c r="T8" s="34">
        <v>42014</v>
      </c>
      <c r="U8" s="29">
        <v>20.38</v>
      </c>
      <c r="V8" s="26">
        <v>6</v>
      </c>
      <c r="W8" s="29">
        <v>36.090000000000003</v>
      </c>
      <c r="X8" s="26">
        <v>86234</v>
      </c>
      <c r="Y8" s="35">
        <v>29.150000000000002</v>
      </c>
      <c r="Z8" s="1" t="s">
        <v>3013</v>
      </c>
      <c r="AA8" s="36">
        <v>0.35039999999999999</v>
      </c>
      <c r="AB8" s="54">
        <v>16.240500000000001</v>
      </c>
      <c r="AC8" s="54">
        <v>3.3082500000000006</v>
      </c>
      <c r="AD8" s="36">
        <v>14.159600000000005</v>
      </c>
    </row>
    <row r="9" spans="1:30" s="37" customFormat="1" ht="15.75" customHeight="1" x14ac:dyDescent="0.2">
      <c r="A9" s="26">
        <v>349</v>
      </c>
      <c r="B9" s="27" t="s">
        <v>125</v>
      </c>
      <c r="C9" s="27" t="s">
        <v>116</v>
      </c>
      <c r="D9" s="28">
        <v>0.04</v>
      </c>
      <c r="E9" s="29">
        <v>99.23</v>
      </c>
      <c r="F9" s="29">
        <v>8.99</v>
      </c>
      <c r="G9" s="30" t="s">
        <v>39</v>
      </c>
      <c r="H9" s="27" t="s">
        <v>71</v>
      </c>
      <c r="I9" s="27" t="s">
        <v>29</v>
      </c>
      <c r="J9" s="27" t="s">
        <v>126</v>
      </c>
      <c r="K9" s="27" t="s">
        <v>43</v>
      </c>
      <c r="L9" s="31" t="s">
        <v>127</v>
      </c>
      <c r="M9" s="32">
        <v>0.35</v>
      </c>
      <c r="N9" s="27" t="s">
        <v>33</v>
      </c>
      <c r="O9" s="27" t="s">
        <v>34</v>
      </c>
      <c r="P9" s="27" t="s">
        <v>123</v>
      </c>
      <c r="Q9" s="27" t="s">
        <v>128</v>
      </c>
      <c r="R9" s="33">
        <v>33132</v>
      </c>
      <c r="S9" s="34">
        <v>42006</v>
      </c>
      <c r="T9" s="34">
        <v>42008</v>
      </c>
      <c r="U9" s="29">
        <v>1916.6757</v>
      </c>
      <c r="V9" s="26">
        <v>54</v>
      </c>
      <c r="W9" s="29">
        <v>5555.6</v>
      </c>
      <c r="X9" s="26">
        <v>11527</v>
      </c>
      <c r="Y9" s="35">
        <v>161.49</v>
      </c>
      <c r="Z9" s="1" t="s">
        <v>3011</v>
      </c>
      <c r="AA9" s="36">
        <v>214.33680000000001</v>
      </c>
      <c r="AB9" s="54">
        <v>3611.1400000000003</v>
      </c>
      <c r="AC9" s="54">
        <v>36.008518518518521</v>
      </c>
      <c r="AD9" s="36">
        <v>3415.5975000000003</v>
      </c>
    </row>
    <row r="10" spans="1:30" s="37" customFormat="1" ht="15.75" customHeight="1" x14ac:dyDescent="0.2">
      <c r="A10" s="26">
        <v>68</v>
      </c>
      <c r="B10" s="27" t="s">
        <v>108</v>
      </c>
      <c r="C10" s="27" t="s">
        <v>48</v>
      </c>
      <c r="D10" s="28">
        <v>0.05</v>
      </c>
      <c r="E10" s="29">
        <v>155.06</v>
      </c>
      <c r="F10" s="29">
        <v>7.07</v>
      </c>
      <c r="G10" s="30" t="s">
        <v>39</v>
      </c>
      <c r="H10" s="27" t="s">
        <v>94</v>
      </c>
      <c r="I10" s="27" t="s">
        <v>49</v>
      </c>
      <c r="J10" s="27" t="s">
        <v>78</v>
      </c>
      <c r="K10" s="27" t="s">
        <v>73</v>
      </c>
      <c r="L10" s="31" t="s">
        <v>106</v>
      </c>
      <c r="M10" s="32">
        <v>0.59</v>
      </c>
      <c r="N10" s="27" t="s">
        <v>33</v>
      </c>
      <c r="O10" s="27" t="s">
        <v>111</v>
      </c>
      <c r="P10" s="27" t="s">
        <v>112</v>
      </c>
      <c r="Q10" s="27" t="s">
        <v>113</v>
      </c>
      <c r="R10" s="33">
        <v>10177</v>
      </c>
      <c r="S10" s="34">
        <v>42006</v>
      </c>
      <c r="T10" s="34">
        <v>42013</v>
      </c>
      <c r="U10" s="29">
        <v>575.39599999999996</v>
      </c>
      <c r="V10" s="26">
        <v>32</v>
      </c>
      <c r="W10" s="29">
        <v>4902.38</v>
      </c>
      <c r="X10" s="26">
        <v>37537</v>
      </c>
      <c r="Y10" s="35">
        <v>40.919999999999995</v>
      </c>
      <c r="Z10" s="1" t="s">
        <v>3014</v>
      </c>
      <c r="AA10" s="36">
        <v>248.096</v>
      </c>
      <c r="AB10" s="54">
        <v>2009.9758000000002</v>
      </c>
      <c r="AC10" s="54">
        <v>90.387631249999998</v>
      </c>
      <c r="AD10" s="36">
        <v>4071.8180000000002</v>
      </c>
    </row>
    <row r="11" spans="1:30" s="37" customFormat="1" ht="15.75" customHeight="1" x14ac:dyDescent="0.2">
      <c r="A11" s="26">
        <v>68</v>
      </c>
      <c r="B11" s="27" t="s">
        <v>108</v>
      </c>
      <c r="C11" s="27" t="s">
        <v>48</v>
      </c>
      <c r="D11" s="28">
        <v>7.0000000000000007E-2</v>
      </c>
      <c r="E11" s="29">
        <v>100.98</v>
      </c>
      <c r="F11" s="29">
        <v>45</v>
      </c>
      <c r="G11" s="30" t="s">
        <v>27</v>
      </c>
      <c r="H11" s="27" t="s">
        <v>94</v>
      </c>
      <c r="I11" s="27" t="s">
        <v>29</v>
      </c>
      <c r="J11" s="27" t="s">
        <v>109</v>
      </c>
      <c r="K11" s="27" t="s">
        <v>58</v>
      </c>
      <c r="L11" s="31" t="s">
        <v>114</v>
      </c>
      <c r="M11" s="32">
        <v>0.69</v>
      </c>
      <c r="N11" s="27" t="s">
        <v>33</v>
      </c>
      <c r="O11" s="27" t="s">
        <v>111</v>
      </c>
      <c r="P11" s="27" t="s">
        <v>112</v>
      </c>
      <c r="Q11" s="27" t="s">
        <v>113</v>
      </c>
      <c r="R11" s="33">
        <v>10177</v>
      </c>
      <c r="S11" s="34">
        <v>42006</v>
      </c>
      <c r="T11" s="34">
        <v>42008</v>
      </c>
      <c r="U11" s="29">
        <v>-1679.76</v>
      </c>
      <c r="V11" s="26">
        <v>43</v>
      </c>
      <c r="W11" s="29">
        <v>4083.19</v>
      </c>
      <c r="X11" s="26">
        <v>37537</v>
      </c>
      <c r="Y11" s="35">
        <v>9.02</v>
      </c>
      <c r="Z11" s="1" t="s">
        <v>3014</v>
      </c>
      <c r="AA11" s="36">
        <v>303.94980000000004</v>
      </c>
      <c r="AB11" s="54">
        <v>1265.7889000000002</v>
      </c>
      <c r="AC11" s="54">
        <v>65.520955813953478</v>
      </c>
      <c r="AD11" s="36">
        <v>5414.0002000000004</v>
      </c>
    </row>
    <row r="12" spans="1:30" s="37" customFormat="1" ht="15.75" customHeight="1" x14ac:dyDescent="0.2">
      <c r="A12" s="26">
        <v>1136</v>
      </c>
      <c r="B12" s="27" t="s">
        <v>101</v>
      </c>
      <c r="C12" s="27" t="s">
        <v>38</v>
      </c>
      <c r="D12" s="28">
        <v>0.09</v>
      </c>
      <c r="E12" s="29">
        <v>270.97000000000003</v>
      </c>
      <c r="F12" s="29">
        <v>28.06</v>
      </c>
      <c r="G12" s="30" t="s">
        <v>27</v>
      </c>
      <c r="H12" s="27" t="s">
        <v>40</v>
      </c>
      <c r="I12" s="27" t="s">
        <v>41</v>
      </c>
      <c r="J12" s="27" t="s">
        <v>57</v>
      </c>
      <c r="K12" s="27" t="s">
        <v>58</v>
      </c>
      <c r="L12" s="31" t="s">
        <v>102</v>
      </c>
      <c r="M12" s="32">
        <v>0.56000000000000005</v>
      </c>
      <c r="N12" s="27" t="s">
        <v>33</v>
      </c>
      <c r="O12" s="27" t="s">
        <v>53</v>
      </c>
      <c r="P12" s="27" t="s">
        <v>103</v>
      </c>
      <c r="Q12" s="27" t="s">
        <v>104</v>
      </c>
      <c r="R12" s="33">
        <v>60188</v>
      </c>
      <c r="S12" s="34">
        <v>42006</v>
      </c>
      <c r="T12" s="34">
        <v>42008</v>
      </c>
      <c r="U12" s="29">
        <v>2660.1432</v>
      </c>
      <c r="V12" s="26">
        <v>15</v>
      </c>
      <c r="W12" s="29">
        <v>3855.28</v>
      </c>
      <c r="X12" s="26">
        <v>87940</v>
      </c>
      <c r="Y12" s="35">
        <v>14.959999999999999</v>
      </c>
      <c r="Z12" s="1" t="s">
        <v>3012</v>
      </c>
      <c r="AA12" s="36">
        <v>365.80950000000007</v>
      </c>
      <c r="AB12" s="54">
        <v>1696.3231999999998</v>
      </c>
      <c r="AC12" s="54">
        <v>143.93045333333333</v>
      </c>
      <c r="AD12" s="36">
        <v>801.26729999999998</v>
      </c>
    </row>
    <row r="13" spans="1:30" s="37" customFormat="1" ht="15.75" customHeight="1" x14ac:dyDescent="0.2">
      <c r="A13" s="26">
        <v>351</v>
      </c>
      <c r="B13" s="27" t="s">
        <v>129</v>
      </c>
      <c r="C13" s="27" t="s">
        <v>116</v>
      </c>
      <c r="D13" s="28">
        <v>0.04</v>
      </c>
      <c r="E13" s="29">
        <v>99.23</v>
      </c>
      <c r="F13" s="29">
        <v>8.99</v>
      </c>
      <c r="G13" s="30" t="s">
        <v>39</v>
      </c>
      <c r="H13" s="27" t="s">
        <v>71</v>
      </c>
      <c r="I13" s="27" t="s">
        <v>29</v>
      </c>
      <c r="J13" s="27" t="s">
        <v>126</v>
      </c>
      <c r="K13" s="27" t="s">
        <v>43</v>
      </c>
      <c r="L13" s="31" t="s">
        <v>127</v>
      </c>
      <c r="M13" s="32">
        <v>0.35</v>
      </c>
      <c r="N13" s="27" t="s">
        <v>33</v>
      </c>
      <c r="O13" s="27" t="s">
        <v>111</v>
      </c>
      <c r="P13" s="27" t="s">
        <v>112</v>
      </c>
      <c r="Q13" s="27" t="s">
        <v>130</v>
      </c>
      <c r="R13" s="33">
        <v>13601</v>
      </c>
      <c r="S13" s="34">
        <v>42006</v>
      </c>
      <c r="T13" s="34">
        <v>42008</v>
      </c>
      <c r="U13" s="29">
        <v>993.83460000000002</v>
      </c>
      <c r="V13" s="26">
        <v>14</v>
      </c>
      <c r="W13" s="29">
        <v>1440.34</v>
      </c>
      <c r="X13" s="26">
        <v>88686</v>
      </c>
      <c r="Y13" s="35">
        <v>60.9</v>
      </c>
      <c r="Z13" s="1" t="s">
        <v>3014</v>
      </c>
      <c r="AA13" s="36">
        <v>55.568800000000003</v>
      </c>
      <c r="AB13" s="54">
        <v>936.221</v>
      </c>
      <c r="AC13" s="54">
        <v>36.008499999999998</v>
      </c>
      <c r="AD13" s="36">
        <v>381.94659999999999</v>
      </c>
    </row>
    <row r="14" spans="1:30" s="37" customFormat="1" ht="15.75" customHeight="1" x14ac:dyDescent="0.2">
      <c r="A14" s="26">
        <v>68</v>
      </c>
      <c r="B14" s="27" t="s">
        <v>108</v>
      </c>
      <c r="C14" s="27" t="s">
        <v>48</v>
      </c>
      <c r="D14" s="28">
        <v>0</v>
      </c>
      <c r="E14" s="29">
        <v>291.73</v>
      </c>
      <c r="F14" s="29">
        <v>48.8</v>
      </c>
      <c r="G14" s="30" t="s">
        <v>27</v>
      </c>
      <c r="H14" s="27" t="s">
        <v>94</v>
      </c>
      <c r="I14" s="27" t="s">
        <v>29</v>
      </c>
      <c r="J14" s="27" t="s">
        <v>109</v>
      </c>
      <c r="K14" s="27" t="s">
        <v>58</v>
      </c>
      <c r="L14" s="31" t="s">
        <v>110</v>
      </c>
      <c r="M14" s="32">
        <v>0.56000000000000005</v>
      </c>
      <c r="N14" s="27" t="s">
        <v>33</v>
      </c>
      <c r="O14" s="27" t="s">
        <v>111</v>
      </c>
      <c r="P14" s="27" t="s">
        <v>112</v>
      </c>
      <c r="Q14" s="27" t="s">
        <v>113</v>
      </c>
      <c r="R14" s="33">
        <v>10177</v>
      </c>
      <c r="S14" s="34">
        <v>42006</v>
      </c>
      <c r="T14" s="34">
        <v>42006</v>
      </c>
      <c r="U14" s="29">
        <v>-308.928</v>
      </c>
      <c r="V14" s="26">
        <v>4</v>
      </c>
      <c r="W14" s="29">
        <v>1239.06</v>
      </c>
      <c r="X14" s="26">
        <v>37537</v>
      </c>
      <c r="Y14" s="35">
        <v>40.919999999999995</v>
      </c>
      <c r="Z14" s="1" t="s">
        <v>3014</v>
      </c>
      <c r="AA14" s="36">
        <v>0</v>
      </c>
      <c r="AB14" s="54">
        <v>545.18639999999994</v>
      </c>
      <c r="AC14" s="54">
        <v>173.4684</v>
      </c>
      <c r="AD14" s="36">
        <v>1499.1879999999999</v>
      </c>
    </row>
    <row r="15" spans="1:30" s="37" customFormat="1" ht="15.75" customHeight="1" x14ac:dyDescent="0.2">
      <c r="A15" s="26">
        <v>67</v>
      </c>
      <c r="B15" s="27" t="s">
        <v>105</v>
      </c>
      <c r="C15" s="27" t="s">
        <v>48</v>
      </c>
      <c r="D15" s="28">
        <v>0.05</v>
      </c>
      <c r="E15" s="29">
        <v>155.06</v>
      </c>
      <c r="F15" s="29">
        <v>7.07</v>
      </c>
      <c r="G15" s="30" t="s">
        <v>39</v>
      </c>
      <c r="H15" s="27" t="s">
        <v>94</v>
      </c>
      <c r="I15" s="27" t="s">
        <v>49</v>
      </c>
      <c r="J15" s="27" t="s">
        <v>78</v>
      </c>
      <c r="K15" s="27" t="s">
        <v>73</v>
      </c>
      <c r="L15" s="31" t="s">
        <v>106</v>
      </c>
      <c r="M15" s="32">
        <v>0.59</v>
      </c>
      <c r="N15" s="27" t="s">
        <v>33</v>
      </c>
      <c r="O15" s="27" t="s">
        <v>60</v>
      </c>
      <c r="P15" s="27" t="s">
        <v>90</v>
      </c>
      <c r="Q15" s="27" t="s">
        <v>107</v>
      </c>
      <c r="R15" s="33">
        <v>94559</v>
      </c>
      <c r="S15" s="34">
        <v>42006</v>
      </c>
      <c r="T15" s="34">
        <v>42013</v>
      </c>
      <c r="U15" s="29">
        <v>845.66399999999999</v>
      </c>
      <c r="V15" s="26">
        <v>8</v>
      </c>
      <c r="W15" s="29">
        <v>1225.5999999999999</v>
      </c>
      <c r="X15" s="26">
        <v>87946</v>
      </c>
      <c r="Y15" s="35">
        <v>270.88000000000005</v>
      </c>
      <c r="Z15" s="1" t="s">
        <v>3013</v>
      </c>
      <c r="AA15" s="36">
        <v>62.024000000000001</v>
      </c>
      <c r="AB15" s="54">
        <v>502.49599999999998</v>
      </c>
      <c r="AC15" s="54">
        <v>90.387999999999991</v>
      </c>
      <c r="AD15" s="36">
        <v>310.84199999999987</v>
      </c>
    </row>
    <row r="16" spans="1:30" s="37" customFormat="1" ht="15.75" customHeight="1" x14ac:dyDescent="0.2">
      <c r="A16" s="26">
        <v>164</v>
      </c>
      <c r="B16" s="27" t="s">
        <v>115</v>
      </c>
      <c r="C16" s="27" t="s">
        <v>116</v>
      </c>
      <c r="D16" s="28">
        <v>0.05</v>
      </c>
      <c r="E16" s="29">
        <v>100.98</v>
      </c>
      <c r="F16" s="29">
        <v>35.840000000000003</v>
      </c>
      <c r="G16" s="30" t="s">
        <v>27</v>
      </c>
      <c r="H16" s="27" t="s">
        <v>71</v>
      </c>
      <c r="I16" s="27" t="s">
        <v>29</v>
      </c>
      <c r="J16" s="27" t="s">
        <v>117</v>
      </c>
      <c r="K16" s="27" t="s">
        <v>31</v>
      </c>
      <c r="L16" s="31" t="s">
        <v>118</v>
      </c>
      <c r="M16" s="32">
        <v>0.62</v>
      </c>
      <c r="N16" s="27" t="s">
        <v>33</v>
      </c>
      <c r="O16" s="27" t="s">
        <v>60</v>
      </c>
      <c r="P16" s="27" t="s">
        <v>67</v>
      </c>
      <c r="Q16" s="27" t="s">
        <v>119</v>
      </c>
      <c r="R16" s="33">
        <v>99352</v>
      </c>
      <c r="S16" s="34">
        <v>42006</v>
      </c>
      <c r="T16" s="34">
        <v>42008</v>
      </c>
      <c r="U16" s="29">
        <v>-111.4</v>
      </c>
      <c r="V16" s="26">
        <v>7</v>
      </c>
      <c r="W16" s="29">
        <v>715.55</v>
      </c>
      <c r="X16" s="26">
        <v>89961</v>
      </c>
      <c r="Y16" s="35">
        <v>155.01</v>
      </c>
      <c r="Z16" s="1" t="s">
        <v>3013</v>
      </c>
      <c r="AA16" s="36">
        <v>35.343000000000004</v>
      </c>
      <c r="AB16" s="54">
        <v>271.90899999999999</v>
      </c>
      <c r="AC16" s="54">
        <v>63.377285714285705</v>
      </c>
      <c r="AD16" s="36">
        <v>755.76699999999994</v>
      </c>
    </row>
    <row r="17" spans="1:30" s="37" customFormat="1" ht="15.75" customHeight="1" x14ac:dyDescent="0.2">
      <c r="A17" s="26">
        <v>674</v>
      </c>
      <c r="B17" s="27" t="s">
        <v>77</v>
      </c>
      <c r="C17" s="27" t="s">
        <v>26</v>
      </c>
      <c r="D17" s="28">
        <v>0.06</v>
      </c>
      <c r="E17" s="29">
        <v>161.55000000000001</v>
      </c>
      <c r="F17" s="29">
        <v>19.989999999999998</v>
      </c>
      <c r="G17" s="30" t="s">
        <v>39</v>
      </c>
      <c r="H17" s="27" t="s">
        <v>3095</v>
      </c>
      <c r="I17" s="27" t="s">
        <v>49</v>
      </c>
      <c r="J17" s="27" t="s">
        <v>78</v>
      </c>
      <c r="K17" s="27" t="s">
        <v>73</v>
      </c>
      <c r="L17" s="31" t="s">
        <v>79</v>
      </c>
      <c r="M17" s="32">
        <v>0.66</v>
      </c>
      <c r="N17" s="27" t="s">
        <v>33</v>
      </c>
      <c r="O17" s="27" t="s">
        <v>53</v>
      </c>
      <c r="P17" s="27" t="s">
        <v>80</v>
      </c>
      <c r="Q17" s="27" t="s">
        <v>81</v>
      </c>
      <c r="R17" s="33">
        <v>64133</v>
      </c>
      <c r="S17" s="34">
        <v>42006</v>
      </c>
      <c r="T17" s="34">
        <v>42007</v>
      </c>
      <c r="U17" s="29">
        <v>-7.58</v>
      </c>
      <c r="V17" s="26">
        <v>3</v>
      </c>
      <c r="W17" s="29">
        <v>485.01</v>
      </c>
      <c r="X17" s="26">
        <v>88174</v>
      </c>
      <c r="Y17" s="35">
        <v>291.73</v>
      </c>
      <c r="Z17" s="1" t="s">
        <v>3012</v>
      </c>
      <c r="AA17" s="36">
        <v>29.079000000000001</v>
      </c>
      <c r="AB17" s="54">
        <v>164.90339999999998</v>
      </c>
      <c r="AC17" s="54">
        <v>106.70219999999999</v>
      </c>
      <c r="AD17" s="36">
        <v>443.52100000000002</v>
      </c>
    </row>
    <row r="18" spans="1:30" s="37" customFormat="1" ht="15.75" customHeight="1" x14ac:dyDescent="0.2">
      <c r="A18" s="26">
        <v>2256</v>
      </c>
      <c r="B18" s="27" t="s">
        <v>93</v>
      </c>
      <c r="C18" s="27" t="s">
        <v>26</v>
      </c>
      <c r="D18" s="28">
        <v>7.0000000000000007E-2</v>
      </c>
      <c r="E18" s="29">
        <v>60.97</v>
      </c>
      <c r="F18" s="29">
        <v>4.5</v>
      </c>
      <c r="G18" s="30" t="s">
        <v>87</v>
      </c>
      <c r="H18" s="27" t="s">
        <v>94</v>
      </c>
      <c r="I18" s="27" t="s">
        <v>49</v>
      </c>
      <c r="J18" s="27" t="s">
        <v>95</v>
      </c>
      <c r="K18" s="27" t="s">
        <v>73</v>
      </c>
      <c r="L18" s="31" t="s">
        <v>96</v>
      </c>
      <c r="M18" s="32">
        <v>0.56000000000000005</v>
      </c>
      <c r="N18" s="27" t="s">
        <v>33</v>
      </c>
      <c r="O18" s="27" t="s">
        <v>34</v>
      </c>
      <c r="P18" s="27" t="s">
        <v>97</v>
      </c>
      <c r="Q18" s="27" t="s">
        <v>98</v>
      </c>
      <c r="R18" s="33">
        <v>28560</v>
      </c>
      <c r="S18" s="34">
        <v>42006</v>
      </c>
      <c r="T18" s="34">
        <v>42008</v>
      </c>
      <c r="U18" s="29">
        <v>-42.588000000000001</v>
      </c>
      <c r="V18" s="26">
        <v>6</v>
      </c>
      <c r="W18" s="29">
        <v>361.72</v>
      </c>
      <c r="X18" s="26">
        <v>87963</v>
      </c>
      <c r="Y18" s="35">
        <v>100.91000000000001</v>
      </c>
      <c r="Z18" s="1" t="s">
        <v>3011</v>
      </c>
      <c r="AA18" s="36">
        <v>25.607399999999998</v>
      </c>
      <c r="AB18" s="54">
        <v>159.1568</v>
      </c>
      <c r="AC18" s="54">
        <v>33.760533333333335</v>
      </c>
      <c r="AD18" s="36">
        <v>374.20060000000001</v>
      </c>
    </row>
    <row r="19" spans="1:30" s="37" customFormat="1" ht="15.75" customHeight="1" x14ac:dyDescent="0.2">
      <c r="A19" s="26">
        <v>1155</v>
      </c>
      <c r="B19" s="27" t="s">
        <v>86</v>
      </c>
      <c r="C19" s="27" t="s">
        <v>26</v>
      </c>
      <c r="D19" s="28">
        <v>0.08</v>
      </c>
      <c r="E19" s="29">
        <v>15.04</v>
      </c>
      <c r="F19" s="29">
        <v>1.97</v>
      </c>
      <c r="G19" s="30" t="s">
        <v>39</v>
      </c>
      <c r="H19" s="27" t="s">
        <v>40</v>
      </c>
      <c r="I19" s="27" t="s">
        <v>49</v>
      </c>
      <c r="J19" s="27" t="s">
        <v>88</v>
      </c>
      <c r="K19" s="27" t="s">
        <v>51</v>
      </c>
      <c r="L19" s="31" t="s">
        <v>92</v>
      </c>
      <c r="M19" s="32">
        <v>0.39</v>
      </c>
      <c r="N19" s="27" t="s">
        <v>33</v>
      </c>
      <c r="O19" s="27" t="s">
        <v>60</v>
      </c>
      <c r="P19" s="27" t="s">
        <v>90</v>
      </c>
      <c r="Q19" s="27" t="s">
        <v>91</v>
      </c>
      <c r="R19" s="33">
        <v>90640</v>
      </c>
      <c r="S19" s="34">
        <v>42006</v>
      </c>
      <c r="T19" s="34">
        <v>42006</v>
      </c>
      <c r="U19" s="29">
        <v>108.5163</v>
      </c>
      <c r="V19" s="26">
        <v>11</v>
      </c>
      <c r="W19" s="29">
        <v>157.27000000000001</v>
      </c>
      <c r="X19" s="26">
        <v>90853</v>
      </c>
      <c r="Y19" s="35">
        <v>155.01</v>
      </c>
      <c r="Z19" s="1" t="s">
        <v>3013</v>
      </c>
      <c r="AA19" s="36">
        <v>13.235200000000001</v>
      </c>
      <c r="AB19" s="54">
        <v>95.934700000000007</v>
      </c>
      <c r="AC19" s="54">
        <v>5.5759363636363641</v>
      </c>
      <c r="AD19" s="36">
        <v>33.548500000000004</v>
      </c>
    </row>
    <row r="20" spans="1:30" s="37" customFormat="1" ht="15.75" customHeight="1" x14ac:dyDescent="0.2">
      <c r="A20" s="26">
        <v>949</v>
      </c>
      <c r="B20" s="27" t="s">
        <v>99</v>
      </c>
      <c r="C20" s="27" t="s">
        <v>26</v>
      </c>
      <c r="D20" s="28">
        <v>0.06</v>
      </c>
      <c r="E20" s="29">
        <v>40.98</v>
      </c>
      <c r="F20" s="29">
        <v>2.99</v>
      </c>
      <c r="G20" s="30" t="s">
        <v>39</v>
      </c>
      <c r="H20" s="27" t="s">
        <v>40</v>
      </c>
      <c r="I20" s="27" t="s">
        <v>49</v>
      </c>
      <c r="J20" s="27" t="s">
        <v>72</v>
      </c>
      <c r="K20" s="27" t="s">
        <v>73</v>
      </c>
      <c r="L20" s="31" t="s">
        <v>83</v>
      </c>
      <c r="M20" s="32">
        <v>0.36</v>
      </c>
      <c r="N20" s="27" t="s">
        <v>33</v>
      </c>
      <c r="O20" s="27" t="s">
        <v>60</v>
      </c>
      <c r="P20" s="27" t="s">
        <v>90</v>
      </c>
      <c r="Q20" s="27" t="s">
        <v>100</v>
      </c>
      <c r="R20" s="33">
        <v>90049</v>
      </c>
      <c r="S20" s="34">
        <v>42006</v>
      </c>
      <c r="T20" s="34">
        <v>42008</v>
      </c>
      <c r="U20" s="29">
        <v>-19.0992</v>
      </c>
      <c r="V20" s="26">
        <v>3</v>
      </c>
      <c r="W20" s="29">
        <v>124.81</v>
      </c>
      <c r="X20" s="26">
        <v>9285</v>
      </c>
      <c r="Y20" s="35">
        <v>100.93</v>
      </c>
      <c r="Z20" s="1" t="s">
        <v>3013</v>
      </c>
      <c r="AA20" s="36">
        <v>7.3763999999999985</v>
      </c>
      <c r="AB20" s="54">
        <v>79.878399999999999</v>
      </c>
      <c r="AC20" s="54">
        <v>14.977199999999998</v>
      </c>
      <c r="AD20" s="36">
        <v>133.5428</v>
      </c>
    </row>
    <row r="21" spans="1:30" s="37" customFormat="1" ht="15.75" customHeight="1" x14ac:dyDescent="0.2">
      <c r="A21" s="26">
        <v>258</v>
      </c>
      <c r="B21" s="27" t="s">
        <v>121</v>
      </c>
      <c r="C21" s="27" t="s">
        <v>116</v>
      </c>
      <c r="D21" s="28">
        <v>0.05</v>
      </c>
      <c r="E21" s="29">
        <v>17.48</v>
      </c>
      <c r="F21" s="29">
        <v>1.99</v>
      </c>
      <c r="G21" s="30" t="s">
        <v>39</v>
      </c>
      <c r="H21" s="27" t="s">
        <v>40</v>
      </c>
      <c r="I21" s="27" t="s">
        <v>41</v>
      </c>
      <c r="J21" s="27" t="s">
        <v>42</v>
      </c>
      <c r="K21" s="27" t="s">
        <v>43</v>
      </c>
      <c r="L21" s="31" t="s">
        <v>122</v>
      </c>
      <c r="M21" s="32">
        <v>0.45</v>
      </c>
      <c r="N21" s="27" t="s">
        <v>33</v>
      </c>
      <c r="O21" s="27" t="s">
        <v>34</v>
      </c>
      <c r="P21" s="27" t="s">
        <v>123</v>
      </c>
      <c r="Q21" s="27" t="s">
        <v>124</v>
      </c>
      <c r="R21" s="33">
        <v>33772</v>
      </c>
      <c r="S21" s="34">
        <v>42006</v>
      </c>
      <c r="T21" s="34">
        <v>42008</v>
      </c>
      <c r="U21" s="29">
        <v>-127.008</v>
      </c>
      <c r="V21" s="26">
        <v>3</v>
      </c>
      <c r="W21" s="29">
        <v>52.47</v>
      </c>
      <c r="X21" s="26">
        <v>85858</v>
      </c>
      <c r="Y21" s="35">
        <v>4.9600000000000009</v>
      </c>
      <c r="Z21" s="1" t="s">
        <v>3011</v>
      </c>
      <c r="AA21" s="36">
        <v>2.6220000000000003</v>
      </c>
      <c r="AB21" s="54">
        <v>28.858500000000003</v>
      </c>
      <c r="AC21" s="54">
        <v>7.8704999999999998</v>
      </c>
      <c r="AD21" s="36">
        <v>174.86599999999999</v>
      </c>
    </row>
    <row r="22" spans="1:30" s="37" customFormat="1" ht="15.75" customHeight="1" x14ac:dyDescent="0.2">
      <c r="A22" s="26">
        <v>164</v>
      </c>
      <c r="B22" s="27" t="s">
        <v>115</v>
      </c>
      <c r="C22" s="27" t="s">
        <v>116</v>
      </c>
      <c r="D22" s="28">
        <v>0.02</v>
      </c>
      <c r="E22" s="29">
        <v>4.9800000000000004</v>
      </c>
      <c r="F22" s="29">
        <v>5.49</v>
      </c>
      <c r="G22" s="30" t="s">
        <v>39</v>
      </c>
      <c r="H22" s="27" t="s">
        <v>71</v>
      </c>
      <c r="I22" s="27" t="s">
        <v>49</v>
      </c>
      <c r="J22" s="27" t="s">
        <v>88</v>
      </c>
      <c r="K22" s="27" t="s">
        <v>73</v>
      </c>
      <c r="L22" s="31" t="s">
        <v>120</v>
      </c>
      <c r="M22" s="32">
        <v>0.38</v>
      </c>
      <c r="N22" s="27" t="s">
        <v>33</v>
      </c>
      <c r="O22" s="27" t="s">
        <v>60</v>
      </c>
      <c r="P22" s="27" t="s">
        <v>67</v>
      </c>
      <c r="Q22" s="27" t="s">
        <v>119</v>
      </c>
      <c r="R22" s="33">
        <v>99352</v>
      </c>
      <c r="S22" s="34">
        <v>42006</v>
      </c>
      <c r="T22" s="34">
        <v>42007</v>
      </c>
      <c r="U22" s="29">
        <v>-77.03</v>
      </c>
      <c r="V22" s="26">
        <v>9</v>
      </c>
      <c r="W22" s="29">
        <v>45.63</v>
      </c>
      <c r="X22" s="26">
        <v>89961</v>
      </c>
      <c r="Y22" s="35">
        <v>17.43</v>
      </c>
      <c r="Z22" s="1" t="s">
        <v>3013</v>
      </c>
      <c r="AA22" s="36">
        <v>0.89640000000000009</v>
      </c>
      <c r="AB22" s="54">
        <v>28.290600000000001</v>
      </c>
      <c r="AC22" s="54">
        <v>1.9266000000000001</v>
      </c>
      <c r="AD22" s="36">
        <v>116.27360000000002</v>
      </c>
    </row>
    <row r="23" spans="1:30" s="37" customFormat="1" ht="15.75" customHeight="1" x14ac:dyDescent="0.2">
      <c r="A23" s="26">
        <v>950</v>
      </c>
      <c r="B23" s="27" t="s">
        <v>82</v>
      </c>
      <c r="C23" s="27" t="s">
        <v>26</v>
      </c>
      <c r="D23" s="28">
        <v>0.06</v>
      </c>
      <c r="E23" s="29">
        <v>40.98</v>
      </c>
      <c r="F23" s="29">
        <v>2.99</v>
      </c>
      <c r="G23" s="30" t="s">
        <v>39</v>
      </c>
      <c r="H23" s="27" t="s">
        <v>40</v>
      </c>
      <c r="I23" s="27" t="s">
        <v>49</v>
      </c>
      <c r="J23" s="27" t="s">
        <v>72</v>
      </c>
      <c r="K23" s="27" t="s">
        <v>73</v>
      </c>
      <c r="L23" s="31" t="s">
        <v>83</v>
      </c>
      <c r="M23" s="32">
        <v>0.36</v>
      </c>
      <c r="N23" s="27" t="s">
        <v>33</v>
      </c>
      <c r="O23" s="27" t="s">
        <v>53</v>
      </c>
      <c r="P23" s="27" t="s">
        <v>84</v>
      </c>
      <c r="Q23" s="27" t="s">
        <v>85</v>
      </c>
      <c r="R23" s="33">
        <v>55372</v>
      </c>
      <c r="S23" s="34">
        <v>42006</v>
      </c>
      <c r="T23" s="34">
        <v>42008</v>
      </c>
      <c r="U23" s="29">
        <v>-14.801880000000001</v>
      </c>
      <c r="V23" s="26">
        <v>1</v>
      </c>
      <c r="W23" s="29">
        <v>41.6</v>
      </c>
      <c r="X23" s="26">
        <v>89083</v>
      </c>
      <c r="Y23" s="35">
        <v>99.19</v>
      </c>
      <c r="Z23" s="1" t="s">
        <v>3012</v>
      </c>
      <c r="AA23" s="36">
        <v>2.4587999999999997</v>
      </c>
      <c r="AB23" s="54">
        <v>26.624000000000002</v>
      </c>
      <c r="AC23" s="54">
        <v>14.975999999999999</v>
      </c>
      <c r="AD23" s="36">
        <v>50.95308</v>
      </c>
    </row>
    <row r="24" spans="1:30" s="37" customFormat="1" ht="15.75" customHeight="1" x14ac:dyDescent="0.2">
      <c r="A24" s="26">
        <v>1155</v>
      </c>
      <c r="B24" s="27" t="s">
        <v>86</v>
      </c>
      <c r="C24" s="27" t="s">
        <v>26</v>
      </c>
      <c r="D24" s="28">
        <v>0.09</v>
      </c>
      <c r="E24" s="29">
        <v>9.11</v>
      </c>
      <c r="F24" s="29">
        <v>2.15</v>
      </c>
      <c r="G24" s="30" t="s">
        <v>87</v>
      </c>
      <c r="H24" s="27" t="s">
        <v>40</v>
      </c>
      <c r="I24" s="27" t="s">
        <v>49</v>
      </c>
      <c r="J24" s="27" t="s">
        <v>88</v>
      </c>
      <c r="K24" s="27" t="s">
        <v>51</v>
      </c>
      <c r="L24" s="31" t="s">
        <v>89</v>
      </c>
      <c r="M24" s="32">
        <v>0.4</v>
      </c>
      <c r="N24" s="27" t="s">
        <v>33</v>
      </c>
      <c r="O24" s="27" t="s">
        <v>60</v>
      </c>
      <c r="P24" s="27" t="s">
        <v>90</v>
      </c>
      <c r="Q24" s="27" t="s">
        <v>91</v>
      </c>
      <c r="R24" s="33">
        <v>90640</v>
      </c>
      <c r="S24" s="34">
        <v>42006</v>
      </c>
      <c r="T24" s="34">
        <v>42008</v>
      </c>
      <c r="U24" s="29">
        <v>20.299600000000002</v>
      </c>
      <c r="V24" s="26">
        <v>4</v>
      </c>
      <c r="W24" s="29">
        <v>34.409999999999997</v>
      </c>
      <c r="X24" s="26">
        <v>90853</v>
      </c>
      <c r="Y24" s="35">
        <v>99.19</v>
      </c>
      <c r="Z24" s="1" t="s">
        <v>3013</v>
      </c>
      <c r="AA24" s="36">
        <v>3.2795999999999998</v>
      </c>
      <c r="AB24" s="54">
        <v>20.645999999999997</v>
      </c>
      <c r="AC24" s="54">
        <v>3.4409999999999998</v>
      </c>
      <c r="AD24" s="36">
        <v>8.6807999999999979</v>
      </c>
    </row>
    <row r="25" spans="1:30" s="37" customFormat="1" ht="15.75" customHeight="1" x14ac:dyDescent="0.2">
      <c r="A25" s="26">
        <v>169</v>
      </c>
      <c r="B25" s="27" t="s">
        <v>166</v>
      </c>
      <c r="C25" s="27" t="s">
        <v>48</v>
      </c>
      <c r="D25" s="28">
        <v>0.05</v>
      </c>
      <c r="E25" s="29">
        <v>574.74</v>
      </c>
      <c r="F25" s="29">
        <v>24.49</v>
      </c>
      <c r="G25" s="30" t="s">
        <v>39</v>
      </c>
      <c r="H25" s="27" t="s">
        <v>94</v>
      </c>
      <c r="I25" s="27" t="s">
        <v>41</v>
      </c>
      <c r="J25" s="27" t="s">
        <v>57</v>
      </c>
      <c r="K25" s="27" t="s">
        <v>65</v>
      </c>
      <c r="L25" s="31" t="s">
        <v>170</v>
      </c>
      <c r="M25" s="32">
        <v>0.37</v>
      </c>
      <c r="N25" s="27" t="s">
        <v>33</v>
      </c>
      <c r="O25" s="27" t="s">
        <v>34</v>
      </c>
      <c r="P25" s="27" t="s">
        <v>168</v>
      </c>
      <c r="Q25" s="27" t="s">
        <v>169</v>
      </c>
      <c r="R25" s="33">
        <v>70802</v>
      </c>
      <c r="S25" s="34">
        <v>42007</v>
      </c>
      <c r="T25" s="34">
        <v>42014</v>
      </c>
      <c r="U25" s="29">
        <v>-112.4263</v>
      </c>
      <c r="V25" s="26">
        <v>12</v>
      </c>
      <c r="W25" s="29">
        <v>6945.16</v>
      </c>
      <c r="X25" s="26">
        <v>87463</v>
      </c>
      <c r="Y25" s="35">
        <v>5.25</v>
      </c>
      <c r="Z25" s="1" t="s">
        <v>3011</v>
      </c>
      <c r="AA25" s="36">
        <v>344.84400000000005</v>
      </c>
      <c r="AB25" s="54">
        <v>4375.4507999999996</v>
      </c>
      <c r="AC25" s="54">
        <v>214.14243333333332</v>
      </c>
      <c r="AD25" s="36">
        <v>6688.2523000000001</v>
      </c>
    </row>
    <row r="26" spans="1:30" s="37" customFormat="1" ht="15.75" customHeight="1" x14ac:dyDescent="0.2">
      <c r="A26" s="26">
        <v>2303</v>
      </c>
      <c r="B26" s="27" t="s">
        <v>156</v>
      </c>
      <c r="C26" s="27" t="s">
        <v>38</v>
      </c>
      <c r="D26" s="28">
        <v>0.1</v>
      </c>
      <c r="E26" s="29">
        <v>146.34</v>
      </c>
      <c r="F26" s="29">
        <v>43.75</v>
      </c>
      <c r="G26" s="30" t="s">
        <v>27</v>
      </c>
      <c r="H26" s="27" t="s">
        <v>94</v>
      </c>
      <c r="I26" s="27" t="s">
        <v>29</v>
      </c>
      <c r="J26" s="27" t="s">
        <v>30</v>
      </c>
      <c r="K26" s="27" t="s">
        <v>31</v>
      </c>
      <c r="L26" s="31" t="s">
        <v>155</v>
      </c>
      <c r="M26" s="32">
        <v>0.64</v>
      </c>
      <c r="N26" s="27" t="s">
        <v>33</v>
      </c>
      <c r="O26" s="27" t="s">
        <v>111</v>
      </c>
      <c r="P26" s="27" t="s">
        <v>112</v>
      </c>
      <c r="Q26" s="27" t="s">
        <v>113</v>
      </c>
      <c r="R26" s="33">
        <v>10011</v>
      </c>
      <c r="S26" s="34">
        <v>42007</v>
      </c>
      <c r="T26" s="34">
        <v>42008</v>
      </c>
      <c r="U26" s="29">
        <v>-270.85000000000002</v>
      </c>
      <c r="V26" s="26">
        <v>6</v>
      </c>
      <c r="W26" s="29">
        <v>850.64</v>
      </c>
      <c r="X26" s="26">
        <v>37987</v>
      </c>
      <c r="Y26" s="35">
        <v>110.97999999999999</v>
      </c>
      <c r="Z26" s="1" t="s">
        <v>3014</v>
      </c>
      <c r="AA26" s="36">
        <v>87.804000000000002</v>
      </c>
      <c r="AB26" s="54">
        <v>306.23039999999997</v>
      </c>
      <c r="AC26" s="54">
        <v>90.734933333333345</v>
      </c>
      <c r="AD26" s="36">
        <v>989.93600000000004</v>
      </c>
    </row>
    <row r="27" spans="1:30" s="37" customFormat="1" ht="15.75" customHeight="1" x14ac:dyDescent="0.2">
      <c r="A27" s="26">
        <v>2460</v>
      </c>
      <c r="B27" s="27" t="s">
        <v>160</v>
      </c>
      <c r="C27" s="27" t="s">
        <v>38</v>
      </c>
      <c r="D27" s="28">
        <v>7.0000000000000007E-2</v>
      </c>
      <c r="E27" s="29">
        <v>9.93</v>
      </c>
      <c r="F27" s="29">
        <v>1.0900000000000001</v>
      </c>
      <c r="G27" s="30" t="s">
        <v>39</v>
      </c>
      <c r="H27" s="27" t="s">
        <v>71</v>
      </c>
      <c r="I27" s="27" t="s">
        <v>49</v>
      </c>
      <c r="J27" s="27" t="s">
        <v>50</v>
      </c>
      <c r="K27" s="27" t="s">
        <v>51</v>
      </c>
      <c r="L27" s="31" t="s">
        <v>161</v>
      </c>
      <c r="M27" s="32">
        <v>0.43</v>
      </c>
      <c r="N27" s="27" t="s">
        <v>33</v>
      </c>
      <c r="O27" s="27" t="s">
        <v>111</v>
      </c>
      <c r="P27" s="27" t="s">
        <v>112</v>
      </c>
      <c r="Q27" s="27" t="s">
        <v>113</v>
      </c>
      <c r="R27" s="33">
        <v>10035</v>
      </c>
      <c r="S27" s="34">
        <v>42007</v>
      </c>
      <c r="T27" s="34">
        <v>42010</v>
      </c>
      <c r="U27" s="29">
        <v>149.53</v>
      </c>
      <c r="V27" s="26">
        <v>46</v>
      </c>
      <c r="W27" s="29">
        <v>451.61</v>
      </c>
      <c r="X27" s="26">
        <v>30785</v>
      </c>
      <c r="Y27" s="35">
        <v>4.2299999999999995</v>
      </c>
      <c r="Z27" s="1" t="s">
        <v>3014</v>
      </c>
      <c r="AA27" s="36">
        <v>31.974600000000002</v>
      </c>
      <c r="AB27" s="54">
        <v>257.41770000000002</v>
      </c>
      <c r="AC27" s="54">
        <v>4.221571739130435</v>
      </c>
      <c r="AD27" s="36">
        <v>269.0154</v>
      </c>
    </row>
    <row r="28" spans="1:30" s="37" customFormat="1" ht="15.75" customHeight="1" x14ac:dyDescent="0.2">
      <c r="A28" s="26">
        <v>2131</v>
      </c>
      <c r="B28" s="27" t="s">
        <v>148</v>
      </c>
      <c r="C28" s="27" t="s">
        <v>38</v>
      </c>
      <c r="D28" s="28">
        <v>0.09</v>
      </c>
      <c r="E28" s="29">
        <v>150.97999999999999</v>
      </c>
      <c r="F28" s="29">
        <v>66.27</v>
      </c>
      <c r="G28" s="30" t="s">
        <v>27</v>
      </c>
      <c r="H28" s="27" t="s">
        <v>71</v>
      </c>
      <c r="I28" s="27" t="s">
        <v>29</v>
      </c>
      <c r="J28" s="27" t="s">
        <v>117</v>
      </c>
      <c r="K28" s="27" t="s">
        <v>31</v>
      </c>
      <c r="L28" s="31" t="s">
        <v>149</v>
      </c>
      <c r="M28" s="32">
        <v>0.65</v>
      </c>
      <c r="N28" s="27" t="s">
        <v>33</v>
      </c>
      <c r="O28" s="27" t="s">
        <v>53</v>
      </c>
      <c r="P28" s="27" t="s">
        <v>80</v>
      </c>
      <c r="Q28" s="27" t="s">
        <v>150</v>
      </c>
      <c r="R28" s="33">
        <v>64118</v>
      </c>
      <c r="S28" s="34">
        <v>42007</v>
      </c>
      <c r="T28" s="34">
        <v>42008</v>
      </c>
      <c r="U28" s="29">
        <v>-407.85</v>
      </c>
      <c r="V28" s="26">
        <v>2</v>
      </c>
      <c r="W28" s="29">
        <v>302.33999999999997</v>
      </c>
      <c r="X28" s="26">
        <v>90079</v>
      </c>
      <c r="Y28" s="35">
        <v>4.2299999999999995</v>
      </c>
      <c r="Z28" s="1" t="s">
        <v>3012</v>
      </c>
      <c r="AA28" s="36">
        <v>27.176399999999997</v>
      </c>
      <c r="AB28" s="54">
        <v>105.81899999999999</v>
      </c>
      <c r="AC28" s="54">
        <v>98.260499999999993</v>
      </c>
      <c r="AD28" s="36">
        <v>616.74360000000001</v>
      </c>
    </row>
    <row r="29" spans="1:30" s="37" customFormat="1" ht="15.75" customHeight="1" x14ac:dyDescent="0.2">
      <c r="A29" s="26">
        <v>2302</v>
      </c>
      <c r="B29" s="27" t="s">
        <v>151</v>
      </c>
      <c r="C29" s="27" t="s">
        <v>38</v>
      </c>
      <c r="D29" s="28">
        <v>0.1</v>
      </c>
      <c r="E29" s="29">
        <v>146.34</v>
      </c>
      <c r="F29" s="29">
        <v>43.75</v>
      </c>
      <c r="G29" s="30" t="s">
        <v>27</v>
      </c>
      <c r="H29" s="27" t="s">
        <v>94</v>
      </c>
      <c r="I29" s="27" t="s">
        <v>29</v>
      </c>
      <c r="J29" s="27" t="s">
        <v>30</v>
      </c>
      <c r="K29" s="27" t="s">
        <v>31</v>
      </c>
      <c r="L29" s="31" t="s">
        <v>155</v>
      </c>
      <c r="M29" s="32">
        <v>0.64</v>
      </c>
      <c r="N29" s="27" t="s">
        <v>33</v>
      </c>
      <c r="O29" s="27" t="s">
        <v>34</v>
      </c>
      <c r="P29" s="27" t="s">
        <v>123</v>
      </c>
      <c r="Q29" s="27" t="s">
        <v>154</v>
      </c>
      <c r="R29" s="33">
        <v>32404</v>
      </c>
      <c r="S29" s="34">
        <v>42007</v>
      </c>
      <c r="T29" s="34">
        <v>42008</v>
      </c>
      <c r="U29" s="29">
        <v>-473.57799999999997</v>
      </c>
      <c r="V29" s="26">
        <v>2</v>
      </c>
      <c r="W29" s="29">
        <v>283.55</v>
      </c>
      <c r="X29" s="26">
        <v>87696</v>
      </c>
      <c r="Y29" s="35">
        <v>20.93</v>
      </c>
      <c r="Z29" s="1" t="s">
        <v>3011</v>
      </c>
      <c r="AA29" s="36">
        <v>29.268000000000001</v>
      </c>
      <c r="AB29" s="54">
        <v>102.078</v>
      </c>
      <c r="AC29" s="54">
        <v>90.736000000000004</v>
      </c>
      <c r="AD29" s="36">
        <v>684.1099999999999</v>
      </c>
    </row>
    <row r="30" spans="1:30" s="37" customFormat="1" ht="15.75" customHeight="1" x14ac:dyDescent="0.2">
      <c r="A30" s="26">
        <v>193</v>
      </c>
      <c r="B30" s="27" t="s">
        <v>179</v>
      </c>
      <c r="C30" s="27" t="s">
        <v>3094</v>
      </c>
      <c r="D30" s="28">
        <v>0</v>
      </c>
      <c r="E30" s="29">
        <v>213.45</v>
      </c>
      <c r="F30" s="29">
        <v>14.7</v>
      </c>
      <c r="G30" s="30" t="s">
        <v>27</v>
      </c>
      <c r="H30" s="27" t="s">
        <v>94</v>
      </c>
      <c r="I30" s="27" t="s">
        <v>41</v>
      </c>
      <c r="J30" s="27" t="s">
        <v>57</v>
      </c>
      <c r="K30" s="27" t="s">
        <v>58</v>
      </c>
      <c r="L30" s="31" t="s">
        <v>180</v>
      </c>
      <c r="M30" s="32">
        <v>0.59</v>
      </c>
      <c r="N30" s="27" t="s">
        <v>33</v>
      </c>
      <c r="O30" s="27" t="s">
        <v>60</v>
      </c>
      <c r="P30" s="27" t="s">
        <v>146</v>
      </c>
      <c r="Q30" s="27" t="s">
        <v>181</v>
      </c>
      <c r="R30" s="33">
        <v>84041</v>
      </c>
      <c r="S30" s="34">
        <v>42007</v>
      </c>
      <c r="T30" s="34">
        <v>42009</v>
      </c>
      <c r="U30" s="29">
        <v>-560.81417999999996</v>
      </c>
      <c r="V30" s="26">
        <v>1</v>
      </c>
      <c r="W30" s="29">
        <v>224.12</v>
      </c>
      <c r="X30" s="26">
        <v>90430</v>
      </c>
      <c r="Y30" s="35">
        <v>150.88999999999999</v>
      </c>
      <c r="Z30" s="1" t="s">
        <v>3013</v>
      </c>
      <c r="AA30" s="36">
        <v>0</v>
      </c>
      <c r="AB30" s="54">
        <v>91.889200000000002</v>
      </c>
      <c r="AC30" s="54">
        <v>132.23079999999999</v>
      </c>
      <c r="AD30" s="36">
        <v>770.23417999999992</v>
      </c>
    </row>
    <row r="31" spans="1:30" s="37" customFormat="1" ht="15.75" customHeight="1" x14ac:dyDescent="0.2">
      <c r="A31" s="26">
        <v>388</v>
      </c>
      <c r="B31" s="27" t="s">
        <v>131</v>
      </c>
      <c r="C31" s="27" t="s">
        <v>26</v>
      </c>
      <c r="D31" s="28">
        <v>0.01</v>
      </c>
      <c r="E31" s="29">
        <v>110.99</v>
      </c>
      <c r="F31" s="29">
        <v>2.5</v>
      </c>
      <c r="G31" s="30" t="s">
        <v>39</v>
      </c>
      <c r="H31" s="27" t="s">
        <v>94</v>
      </c>
      <c r="I31" s="27" t="s">
        <v>41</v>
      </c>
      <c r="J31" s="27" t="s">
        <v>135</v>
      </c>
      <c r="K31" s="27" t="s">
        <v>73</v>
      </c>
      <c r="L31" s="31" t="s">
        <v>136</v>
      </c>
      <c r="M31" s="32">
        <v>0.56999999999999995</v>
      </c>
      <c r="N31" s="27" t="s">
        <v>33</v>
      </c>
      <c r="O31" s="27" t="s">
        <v>53</v>
      </c>
      <c r="P31" s="27" t="s">
        <v>133</v>
      </c>
      <c r="Q31" s="27" t="s">
        <v>134</v>
      </c>
      <c r="R31" s="33">
        <v>68847</v>
      </c>
      <c r="S31" s="34">
        <v>42007</v>
      </c>
      <c r="T31" s="34">
        <v>42010</v>
      </c>
      <c r="U31" s="29">
        <v>-263.56572</v>
      </c>
      <c r="V31" s="26">
        <v>2</v>
      </c>
      <c r="W31" s="29">
        <v>188.66</v>
      </c>
      <c r="X31" s="26">
        <v>90337</v>
      </c>
      <c r="Y31" s="35">
        <v>12.43</v>
      </c>
      <c r="Z31" s="1" t="s">
        <v>3012</v>
      </c>
      <c r="AA31" s="36">
        <v>2.2197999999999998</v>
      </c>
      <c r="AB31" s="54">
        <v>81.123800000000003</v>
      </c>
      <c r="AC31" s="54">
        <v>53.768099999999997</v>
      </c>
      <c r="AD31" s="36">
        <v>447.50591999999995</v>
      </c>
    </row>
    <row r="32" spans="1:30" s="37" customFormat="1" ht="15.75" customHeight="1" x14ac:dyDescent="0.2">
      <c r="A32" s="26">
        <v>2579</v>
      </c>
      <c r="B32" s="27" t="s">
        <v>162</v>
      </c>
      <c r="C32" s="27" t="s">
        <v>38</v>
      </c>
      <c r="D32" s="28">
        <v>0.09</v>
      </c>
      <c r="E32" s="29">
        <v>212.6</v>
      </c>
      <c r="F32" s="29">
        <v>52.2</v>
      </c>
      <c r="G32" s="30" t="s">
        <v>27</v>
      </c>
      <c r="H32" s="27" t="s">
        <v>71</v>
      </c>
      <c r="I32" s="27" t="s">
        <v>29</v>
      </c>
      <c r="J32" s="27" t="s">
        <v>30</v>
      </c>
      <c r="K32" s="27" t="s">
        <v>31</v>
      </c>
      <c r="L32" s="31" t="s">
        <v>163</v>
      </c>
      <c r="M32" s="32">
        <v>0.64</v>
      </c>
      <c r="N32" s="27" t="s">
        <v>33</v>
      </c>
      <c r="O32" s="27" t="s">
        <v>34</v>
      </c>
      <c r="P32" s="27" t="s">
        <v>164</v>
      </c>
      <c r="Q32" s="27" t="s">
        <v>165</v>
      </c>
      <c r="R32" s="33">
        <v>36869</v>
      </c>
      <c r="S32" s="34">
        <v>42007</v>
      </c>
      <c r="T32" s="34">
        <v>42008</v>
      </c>
      <c r="U32" s="29">
        <v>-274.49799999999999</v>
      </c>
      <c r="V32" s="26">
        <v>1</v>
      </c>
      <c r="W32" s="29">
        <v>174.5</v>
      </c>
      <c r="X32" s="26">
        <v>88296</v>
      </c>
      <c r="Y32" s="35">
        <v>146.24</v>
      </c>
      <c r="Z32" s="1" t="s">
        <v>3011</v>
      </c>
      <c r="AA32" s="36">
        <v>19.134</v>
      </c>
      <c r="AB32" s="54">
        <v>62.82</v>
      </c>
      <c r="AC32" s="54">
        <v>111.68</v>
      </c>
      <c r="AD32" s="36">
        <v>377.66399999999999</v>
      </c>
    </row>
    <row r="33" spans="1:30" s="37" customFormat="1" ht="15.75" customHeight="1" x14ac:dyDescent="0.2">
      <c r="A33" s="26">
        <v>1777</v>
      </c>
      <c r="B33" s="27" t="s">
        <v>172</v>
      </c>
      <c r="C33" s="27" t="s">
        <v>48</v>
      </c>
      <c r="D33" s="28">
        <v>0.02</v>
      </c>
      <c r="E33" s="29">
        <v>10.06</v>
      </c>
      <c r="F33" s="29">
        <v>2.06</v>
      </c>
      <c r="G33" s="30" t="s">
        <v>39</v>
      </c>
      <c r="H33" s="27" t="s">
        <v>40</v>
      </c>
      <c r="I33" s="27" t="s">
        <v>49</v>
      </c>
      <c r="J33" s="27" t="s">
        <v>88</v>
      </c>
      <c r="K33" s="27" t="s">
        <v>51</v>
      </c>
      <c r="L33" s="31" t="s">
        <v>173</v>
      </c>
      <c r="M33" s="32">
        <v>0.39</v>
      </c>
      <c r="N33" s="27" t="s">
        <v>33</v>
      </c>
      <c r="O33" s="27" t="s">
        <v>53</v>
      </c>
      <c r="P33" s="27" t="s">
        <v>54</v>
      </c>
      <c r="Q33" s="27" t="s">
        <v>174</v>
      </c>
      <c r="R33" s="33">
        <v>46383</v>
      </c>
      <c r="S33" s="34">
        <v>42007</v>
      </c>
      <c r="T33" s="34">
        <v>42012</v>
      </c>
      <c r="U33" s="29">
        <v>90.624600000000001</v>
      </c>
      <c r="V33" s="26">
        <v>13</v>
      </c>
      <c r="W33" s="29">
        <v>131.34</v>
      </c>
      <c r="X33" s="26">
        <v>89940</v>
      </c>
      <c r="Y33" s="35">
        <v>146.24</v>
      </c>
      <c r="Z33" s="1" t="s">
        <v>3012</v>
      </c>
      <c r="AA33" s="36">
        <v>2.6156000000000001</v>
      </c>
      <c r="AB33" s="54">
        <v>80.117400000000004</v>
      </c>
      <c r="AC33" s="54">
        <v>3.9401999999999999</v>
      </c>
      <c r="AD33" s="36">
        <v>36.0398</v>
      </c>
    </row>
    <row r="34" spans="1:30" s="37" customFormat="1" ht="15.75" customHeight="1" x14ac:dyDescent="0.2">
      <c r="A34" s="26">
        <v>169</v>
      </c>
      <c r="B34" s="27" t="s">
        <v>166</v>
      </c>
      <c r="C34" s="27" t="s">
        <v>48</v>
      </c>
      <c r="D34" s="28">
        <v>0.08</v>
      </c>
      <c r="E34" s="29">
        <v>43.22</v>
      </c>
      <c r="F34" s="29">
        <v>16.71</v>
      </c>
      <c r="G34" s="30" t="s">
        <v>39</v>
      </c>
      <c r="H34" s="27" t="s">
        <v>94</v>
      </c>
      <c r="I34" s="27" t="s">
        <v>41</v>
      </c>
      <c r="J34" s="27" t="s">
        <v>42</v>
      </c>
      <c r="K34" s="27" t="s">
        <v>73</v>
      </c>
      <c r="L34" s="31" t="s">
        <v>167</v>
      </c>
      <c r="M34" s="32">
        <v>0.66</v>
      </c>
      <c r="N34" s="27" t="s">
        <v>33</v>
      </c>
      <c r="O34" s="27" t="s">
        <v>34</v>
      </c>
      <c r="P34" s="27" t="s">
        <v>168</v>
      </c>
      <c r="Q34" s="27" t="s">
        <v>169</v>
      </c>
      <c r="R34" s="33">
        <v>70802</v>
      </c>
      <c r="S34" s="34">
        <v>42007</v>
      </c>
      <c r="T34" s="34">
        <v>42009</v>
      </c>
      <c r="U34" s="29">
        <v>280.27458000000001</v>
      </c>
      <c r="V34" s="26">
        <v>3</v>
      </c>
      <c r="W34" s="29">
        <v>130.62</v>
      </c>
      <c r="X34" s="26">
        <v>87463</v>
      </c>
      <c r="Y34" s="35">
        <v>6.45</v>
      </c>
      <c r="Z34" s="1" t="s">
        <v>3011</v>
      </c>
      <c r="AA34" s="36">
        <v>10.3728</v>
      </c>
      <c r="AB34" s="54">
        <v>44.410799999999995</v>
      </c>
      <c r="AC34" s="54">
        <v>28.7364</v>
      </c>
      <c r="AD34" s="36">
        <v>-176.73737999999997</v>
      </c>
    </row>
    <row r="35" spans="1:30" s="37" customFormat="1" ht="15.75" customHeight="1" x14ac:dyDescent="0.2">
      <c r="A35" s="26">
        <v>117</v>
      </c>
      <c r="B35" s="27" t="s">
        <v>141</v>
      </c>
      <c r="C35" s="27" t="s">
        <v>38</v>
      </c>
      <c r="D35" s="28">
        <v>0.03</v>
      </c>
      <c r="E35" s="29">
        <v>4.26</v>
      </c>
      <c r="F35" s="29">
        <v>1.2</v>
      </c>
      <c r="G35" s="30" t="s">
        <v>39</v>
      </c>
      <c r="H35" s="27" t="s">
        <v>71</v>
      </c>
      <c r="I35" s="27" t="s">
        <v>49</v>
      </c>
      <c r="J35" s="27" t="s">
        <v>50</v>
      </c>
      <c r="K35" s="27" t="s">
        <v>51</v>
      </c>
      <c r="L35" s="31" t="s">
        <v>138</v>
      </c>
      <c r="M35" s="32">
        <v>0.44</v>
      </c>
      <c r="N35" s="27" t="s">
        <v>33</v>
      </c>
      <c r="O35" s="27" t="s">
        <v>60</v>
      </c>
      <c r="P35" s="27" t="s">
        <v>67</v>
      </c>
      <c r="Q35" s="27" t="s">
        <v>142</v>
      </c>
      <c r="R35" s="33">
        <v>98103</v>
      </c>
      <c r="S35" s="34">
        <v>42007</v>
      </c>
      <c r="T35" s="34">
        <v>42008</v>
      </c>
      <c r="U35" s="29">
        <v>9.82</v>
      </c>
      <c r="V35" s="26">
        <v>29</v>
      </c>
      <c r="W35" s="29">
        <v>122.23</v>
      </c>
      <c r="X35" s="26">
        <v>7909</v>
      </c>
      <c r="Y35" s="35">
        <v>6.45</v>
      </c>
      <c r="Z35" s="1" t="s">
        <v>3013</v>
      </c>
      <c r="AA35" s="36">
        <v>3.7061999999999999</v>
      </c>
      <c r="AB35" s="54">
        <v>68.448800000000006</v>
      </c>
      <c r="AC35" s="54">
        <v>1.8545241379310347</v>
      </c>
      <c r="AD35" s="36">
        <v>107.50380000000001</v>
      </c>
    </row>
    <row r="36" spans="1:30" s="37" customFormat="1" ht="15.75" customHeight="1" x14ac:dyDescent="0.2">
      <c r="A36" s="26">
        <v>2302</v>
      </c>
      <c r="B36" s="27" t="s">
        <v>151</v>
      </c>
      <c r="C36" s="27" t="s">
        <v>38</v>
      </c>
      <c r="D36" s="28">
        <v>0.1</v>
      </c>
      <c r="E36" s="29">
        <v>12.53</v>
      </c>
      <c r="F36" s="29">
        <v>0.49</v>
      </c>
      <c r="G36" s="30" t="s">
        <v>39</v>
      </c>
      <c r="H36" s="27" t="s">
        <v>94</v>
      </c>
      <c r="I36" s="27" t="s">
        <v>49</v>
      </c>
      <c r="J36" s="27" t="s">
        <v>152</v>
      </c>
      <c r="K36" s="27" t="s">
        <v>73</v>
      </c>
      <c r="L36" s="31" t="s">
        <v>153</v>
      </c>
      <c r="M36" s="32">
        <v>0.38</v>
      </c>
      <c r="N36" s="27" t="s">
        <v>33</v>
      </c>
      <c r="O36" s="27" t="s">
        <v>34</v>
      </c>
      <c r="P36" s="27" t="s">
        <v>123</v>
      </c>
      <c r="Q36" s="27" t="s">
        <v>154</v>
      </c>
      <c r="R36" s="33">
        <v>32404</v>
      </c>
      <c r="S36" s="34">
        <v>42007</v>
      </c>
      <c r="T36" s="34">
        <v>42008</v>
      </c>
      <c r="U36" s="29">
        <v>244.464</v>
      </c>
      <c r="V36" s="26">
        <v>8</v>
      </c>
      <c r="W36" s="29">
        <v>92.02</v>
      </c>
      <c r="X36" s="26">
        <v>87696</v>
      </c>
      <c r="Y36" s="35">
        <v>9.86</v>
      </c>
      <c r="Z36" s="1" t="s">
        <v>3011</v>
      </c>
      <c r="AA36" s="36">
        <v>10.024000000000001</v>
      </c>
      <c r="AB36" s="54">
        <v>57.052399999999999</v>
      </c>
      <c r="AC36" s="54">
        <v>4.3709499999999997</v>
      </c>
      <c r="AD36" s="36">
        <v>-162.95800000000003</v>
      </c>
    </row>
    <row r="37" spans="1:30" s="37" customFormat="1" ht="15.75" customHeight="1" x14ac:dyDescent="0.2">
      <c r="A37" s="26">
        <v>1988</v>
      </c>
      <c r="B37" s="27" t="s">
        <v>143</v>
      </c>
      <c r="C37" s="27" t="s">
        <v>38</v>
      </c>
      <c r="D37" s="28">
        <v>0.05</v>
      </c>
      <c r="E37" s="29">
        <v>20.98</v>
      </c>
      <c r="F37" s="29">
        <v>21.2</v>
      </c>
      <c r="G37" s="30" t="s">
        <v>39</v>
      </c>
      <c r="H37" s="27" t="s">
        <v>71</v>
      </c>
      <c r="I37" s="27" t="s">
        <v>29</v>
      </c>
      <c r="J37" s="27" t="s">
        <v>126</v>
      </c>
      <c r="K37" s="27" t="s">
        <v>144</v>
      </c>
      <c r="L37" s="31" t="s">
        <v>145</v>
      </c>
      <c r="M37" s="32">
        <v>0.78</v>
      </c>
      <c r="N37" s="27" t="s">
        <v>33</v>
      </c>
      <c r="O37" s="27" t="s">
        <v>60</v>
      </c>
      <c r="P37" s="27" t="s">
        <v>146</v>
      </c>
      <c r="Q37" s="27" t="s">
        <v>147</v>
      </c>
      <c r="R37" s="33">
        <v>84020</v>
      </c>
      <c r="S37" s="34">
        <v>42007</v>
      </c>
      <c r="T37" s="34">
        <v>42008</v>
      </c>
      <c r="U37" s="29">
        <v>-181.102</v>
      </c>
      <c r="V37" s="26">
        <v>3</v>
      </c>
      <c r="W37" s="29">
        <v>65.69</v>
      </c>
      <c r="X37" s="26">
        <v>89999</v>
      </c>
      <c r="Y37" s="35">
        <v>212.51</v>
      </c>
      <c r="Z37" s="1" t="s">
        <v>3013</v>
      </c>
      <c r="AA37" s="36">
        <v>3.1470000000000002</v>
      </c>
      <c r="AB37" s="54">
        <v>14.451799999999997</v>
      </c>
      <c r="AC37" s="54">
        <v>17.0794</v>
      </c>
      <c r="AD37" s="36">
        <v>222.44500000000002</v>
      </c>
    </row>
    <row r="38" spans="1:30" s="37" customFormat="1" ht="15.75" customHeight="1" x14ac:dyDescent="0.2">
      <c r="A38" s="26">
        <v>2460</v>
      </c>
      <c r="B38" s="27" t="s">
        <v>160</v>
      </c>
      <c r="C38" s="27" t="s">
        <v>38</v>
      </c>
      <c r="D38" s="28">
        <v>0.03</v>
      </c>
      <c r="E38" s="29">
        <v>6.48</v>
      </c>
      <c r="F38" s="29">
        <v>8.73</v>
      </c>
      <c r="G38" s="30" t="s">
        <v>39</v>
      </c>
      <c r="H38" s="27" t="s">
        <v>71</v>
      </c>
      <c r="I38" s="27" t="s">
        <v>49</v>
      </c>
      <c r="J38" s="27" t="s">
        <v>88</v>
      </c>
      <c r="K38" s="27" t="s">
        <v>73</v>
      </c>
      <c r="L38" s="31" t="s">
        <v>158</v>
      </c>
      <c r="M38" s="32">
        <v>0.37</v>
      </c>
      <c r="N38" s="27" t="s">
        <v>33</v>
      </c>
      <c r="O38" s="27" t="s">
        <v>111</v>
      </c>
      <c r="P38" s="27" t="s">
        <v>112</v>
      </c>
      <c r="Q38" s="27" t="s">
        <v>113</v>
      </c>
      <c r="R38" s="33">
        <v>10035</v>
      </c>
      <c r="S38" s="34">
        <v>42007</v>
      </c>
      <c r="T38" s="34">
        <v>42009</v>
      </c>
      <c r="U38" s="29">
        <v>-35.04</v>
      </c>
      <c r="V38" s="26">
        <v>8</v>
      </c>
      <c r="W38" s="29">
        <v>63.78</v>
      </c>
      <c r="X38" s="26">
        <v>30785</v>
      </c>
      <c r="Y38" s="35">
        <v>43.14</v>
      </c>
      <c r="Z38" s="1" t="s">
        <v>3014</v>
      </c>
      <c r="AA38" s="36">
        <v>1.5552000000000001</v>
      </c>
      <c r="AB38" s="54">
        <v>40.181400000000004</v>
      </c>
      <c r="AC38" s="54">
        <v>2.9498250000000001</v>
      </c>
      <c r="AD38" s="36">
        <v>88.534800000000004</v>
      </c>
    </row>
    <row r="39" spans="1:30" s="37" customFormat="1" ht="15.75" customHeight="1" x14ac:dyDescent="0.2">
      <c r="A39" s="26">
        <v>169</v>
      </c>
      <c r="B39" s="27" t="s">
        <v>166</v>
      </c>
      <c r="C39" s="27" t="s">
        <v>48</v>
      </c>
      <c r="D39" s="28">
        <v>0.04</v>
      </c>
      <c r="E39" s="29">
        <v>10.14</v>
      </c>
      <c r="F39" s="29">
        <v>2.27</v>
      </c>
      <c r="G39" s="30" t="s">
        <v>39</v>
      </c>
      <c r="H39" s="27" t="s">
        <v>94</v>
      </c>
      <c r="I39" s="27" t="s">
        <v>49</v>
      </c>
      <c r="J39" s="27" t="s">
        <v>88</v>
      </c>
      <c r="K39" s="27" t="s">
        <v>51</v>
      </c>
      <c r="L39" s="31" t="s">
        <v>171</v>
      </c>
      <c r="M39" s="32">
        <v>0.36</v>
      </c>
      <c r="N39" s="27" t="s">
        <v>33</v>
      </c>
      <c r="O39" s="27" t="s">
        <v>34</v>
      </c>
      <c r="P39" s="27" t="s">
        <v>168</v>
      </c>
      <c r="Q39" s="27" t="s">
        <v>169</v>
      </c>
      <c r="R39" s="33">
        <v>70802</v>
      </c>
      <c r="S39" s="34">
        <v>42007</v>
      </c>
      <c r="T39" s="34">
        <v>42011</v>
      </c>
      <c r="U39" s="29">
        <v>24.923999999999999</v>
      </c>
      <c r="V39" s="26">
        <v>3</v>
      </c>
      <c r="W39" s="29">
        <v>30.94</v>
      </c>
      <c r="X39" s="26">
        <v>87463</v>
      </c>
      <c r="Y39" s="35">
        <v>574.69000000000005</v>
      </c>
      <c r="Z39" s="1" t="s">
        <v>3011</v>
      </c>
      <c r="AA39" s="36">
        <v>1.2168000000000001</v>
      </c>
      <c r="AB39" s="54">
        <v>19.801600000000001</v>
      </c>
      <c r="AC39" s="54">
        <v>3.7128000000000001</v>
      </c>
      <c r="AD39" s="36">
        <v>2.529200000000003</v>
      </c>
    </row>
    <row r="40" spans="1:30" s="37" customFormat="1" ht="15.75" customHeight="1" x14ac:dyDescent="0.2">
      <c r="A40" s="26">
        <v>114</v>
      </c>
      <c r="B40" s="27" t="s">
        <v>137</v>
      </c>
      <c r="C40" s="27" t="s">
        <v>38</v>
      </c>
      <c r="D40" s="28">
        <v>0.03</v>
      </c>
      <c r="E40" s="29">
        <v>4.26</v>
      </c>
      <c r="F40" s="29">
        <v>1.2</v>
      </c>
      <c r="G40" s="30" t="s">
        <v>39</v>
      </c>
      <c r="H40" s="27" t="s">
        <v>71</v>
      </c>
      <c r="I40" s="27" t="s">
        <v>49</v>
      </c>
      <c r="J40" s="27" t="s">
        <v>50</v>
      </c>
      <c r="K40" s="27" t="s">
        <v>51</v>
      </c>
      <c r="L40" s="31" t="s">
        <v>138</v>
      </c>
      <c r="M40" s="32">
        <v>0.44</v>
      </c>
      <c r="N40" s="27" t="s">
        <v>33</v>
      </c>
      <c r="O40" s="27" t="s">
        <v>60</v>
      </c>
      <c r="P40" s="27" t="s">
        <v>139</v>
      </c>
      <c r="Q40" s="27" t="s">
        <v>140</v>
      </c>
      <c r="R40" s="33">
        <v>97035</v>
      </c>
      <c r="S40" s="34">
        <v>42007</v>
      </c>
      <c r="T40" s="34">
        <v>42008</v>
      </c>
      <c r="U40" s="29">
        <v>18.658000000000001</v>
      </c>
      <c r="V40" s="26">
        <v>7</v>
      </c>
      <c r="W40" s="29">
        <v>29.5</v>
      </c>
      <c r="X40" s="26">
        <v>89583</v>
      </c>
      <c r="Y40" s="35">
        <v>10.100000000000001</v>
      </c>
      <c r="Z40" s="1" t="s">
        <v>3013</v>
      </c>
      <c r="AA40" s="36">
        <v>0.89459999999999995</v>
      </c>
      <c r="AB40" s="54">
        <v>16.520000000000003</v>
      </c>
      <c r="AC40" s="54">
        <v>1.8542857142857143</v>
      </c>
      <c r="AD40" s="36">
        <v>8.747399999999999</v>
      </c>
    </row>
    <row r="41" spans="1:30" s="37" customFormat="1" ht="15.75" customHeight="1" x14ac:dyDescent="0.2">
      <c r="A41" s="26">
        <v>388</v>
      </c>
      <c r="B41" s="27" t="s">
        <v>131</v>
      </c>
      <c r="C41" s="27" t="s">
        <v>26</v>
      </c>
      <c r="D41" s="28">
        <v>0.03</v>
      </c>
      <c r="E41" s="29">
        <v>5.28</v>
      </c>
      <c r="F41" s="29">
        <v>5.66</v>
      </c>
      <c r="G41" s="30" t="s">
        <v>39</v>
      </c>
      <c r="H41" s="27" t="s">
        <v>94</v>
      </c>
      <c r="I41" s="27" t="s">
        <v>49</v>
      </c>
      <c r="J41" s="27" t="s">
        <v>88</v>
      </c>
      <c r="K41" s="27" t="s">
        <v>73</v>
      </c>
      <c r="L41" s="31" t="s">
        <v>132</v>
      </c>
      <c r="M41" s="32">
        <v>0.4</v>
      </c>
      <c r="N41" s="27" t="s">
        <v>33</v>
      </c>
      <c r="O41" s="27" t="s">
        <v>53</v>
      </c>
      <c r="P41" s="27" t="s">
        <v>133</v>
      </c>
      <c r="Q41" s="27" t="s">
        <v>134</v>
      </c>
      <c r="R41" s="33">
        <v>68847</v>
      </c>
      <c r="S41" s="34">
        <v>42007</v>
      </c>
      <c r="T41" s="34">
        <v>42009</v>
      </c>
      <c r="U41" s="29">
        <v>-51.559199999999997</v>
      </c>
      <c r="V41" s="26">
        <v>4</v>
      </c>
      <c r="W41" s="29">
        <v>22.82</v>
      </c>
      <c r="X41" s="26">
        <v>90337</v>
      </c>
      <c r="Y41" s="35">
        <v>10.040000000000001</v>
      </c>
      <c r="Z41" s="1" t="s">
        <v>3012</v>
      </c>
      <c r="AA41" s="36">
        <v>0.63360000000000005</v>
      </c>
      <c r="AB41" s="54">
        <v>13.692</v>
      </c>
      <c r="AC41" s="54">
        <v>2.282</v>
      </c>
      <c r="AD41" s="36">
        <v>68.085599999999999</v>
      </c>
    </row>
    <row r="42" spans="1:30" s="37" customFormat="1" ht="15.75" customHeight="1" x14ac:dyDescent="0.2">
      <c r="A42" s="26">
        <v>2458</v>
      </c>
      <c r="B42" s="27" t="s">
        <v>157</v>
      </c>
      <c r="C42" s="27" t="s">
        <v>38</v>
      </c>
      <c r="D42" s="28">
        <v>0.03</v>
      </c>
      <c r="E42" s="29">
        <v>6.48</v>
      </c>
      <c r="F42" s="29">
        <v>8.73</v>
      </c>
      <c r="G42" s="30" t="s">
        <v>39</v>
      </c>
      <c r="H42" s="27" t="s">
        <v>71</v>
      </c>
      <c r="I42" s="27" t="s">
        <v>49</v>
      </c>
      <c r="J42" s="27" t="s">
        <v>88</v>
      </c>
      <c r="K42" s="27" t="s">
        <v>73</v>
      </c>
      <c r="L42" s="31" t="s">
        <v>158</v>
      </c>
      <c r="M42" s="32">
        <v>0.37</v>
      </c>
      <c r="N42" s="27" t="s">
        <v>33</v>
      </c>
      <c r="O42" s="27" t="s">
        <v>53</v>
      </c>
      <c r="P42" s="27" t="s">
        <v>84</v>
      </c>
      <c r="Q42" s="27" t="s">
        <v>159</v>
      </c>
      <c r="R42" s="33">
        <v>55410</v>
      </c>
      <c r="S42" s="34">
        <v>42007</v>
      </c>
      <c r="T42" s="34">
        <v>42009</v>
      </c>
      <c r="U42" s="29">
        <v>-35.04</v>
      </c>
      <c r="V42" s="26">
        <v>2</v>
      </c>
      <c r="W42" s="29">
        <v>15.95</v>
      </c>
      <c r="X42" s="26">
        <v>91285</v>
      </c>
      <c r="Y42" s="35">
        <v>1.39</v>
      </c>
      <c r="Z42" s="1" t="s">
        <v>3012</v>
      </c>
      <c r="AA42" s="36">
        <v>0.38880000000000003</v>
      </c>
      <c r="AB42" s="54">
        <v>10.048499999999999</v>
      </c>
      <c r="AC42" s="54">
        <v>2.9507499999999998</v>
      </c>
      <c r="AD42" s="36">
        <v>41.871200000000002</v>
      </c>
    </row>
    <row r="43" spans="1:30" s="37" customFormat="1" ht="15.75" customHeight="1" x14ac:dyDescent="0.2">
      <c r="A43" s="26">
        <v>2081</v>
      </c>
      <c r="B43" s="27" t="s">
        <v>175</v>
      </c>
      <c r="C43" s="27" t="s">
        <v>48</v>
      </c>
      <c r="D43" s="28">
        <v>0.09</v>
      </c>
      <c r="E43" s="29">
        <v>1.48</v>
      </c>
      <c r="F43" s="29">
        <v>0.7</v>
      </c>
      <c r="G43" s="30" t="s">
        <v>39</v>
      </c>
      <c r="H43" s="27" t="s">
        <v>94</v>
      </c>
      <c r="I43" s="27" t="s">
        <v>49</v>
      </c>
      <c r="J43" s="27" t="s">
        <v>176</v>
      </c>
      <c r="K43" s="27" t="s">
        <v>51</v>
      </c>
      <c r="L43" s="31" t="s">
        <v>177</v>
      </c>
      <c r="M43" s="32">
        <v>0.37</v>
      </c>
      <c r="N43" s="27" t="s">
        <v>33</v>
      </c>
      <c r="O43" s="27" t="s">
        <v>111</v>
      </c>
      <c r="P43" s="27" t="s">
        <v>112</v>
      </c>
      <c r="Q43" s="27" t="s">
        <v>178</v>
      </c>
      <c r="R43" s="33">
        <v>14853</v>
      </c>
      <c r="S43" s="34">
        <v>42007</v>
      </c>
      <c r="T43" s="34">
        <v>42009</v>
      </c>
      <c r="U43" s="29">
        <v>1.68</v>
      </c>
      <c r="V43" s="26">
        <v>6</v>
      </c>
      <c r="W43" s="29">
        <v>8.9499999999999993</v>
      </c>
      <c r="X43" s="26">
        <v>86092</v>
      </c>
      <c r="Y43" s="35">
        <v>213.45</v>
      </c>
      <c r="Z43" s="1" t="s">
        <v>3014</v>
      </c>
      <c r="AA43" s="36">
        <v>0.79919999999999991</v>
      </c>
      <c r="AB43" s="54">
        <v>5.6384999999999996</v>
      </c>
      <c r="AC43" s="54">
        <v>0.55191666666666661</v>
      </c>
      <c r="AD43" s="36">
        <v>5.7707999999999995</v>
      </c>
    </row>
    <row r="44" spans="1:30" s="37" customFormat="1" ht="15.75" customHeight="1" x14ac:dyDescent="0.2">
      <c r="A44" s="26">
        <v>1142</v>
      </c>
      <c r="B44" s="27" t="s">
        <v>198</v>
      </c>
      <c r="C44" s="27" t="s">
        <v>116</v>
      </c>
      <c r="D44" s="28">
        <v>0.05</v>
      </c>
      <c r="E44" s="29">
        <v>363.25</v>
      </c>
      <c r="F44" s="29">
        <v>19.989999999999998</v>
      </c>
      <c r="G44" s="30" t="s">
        <v>39</v>
      </c>
      <c r="H44" s="27" t="s">
        <v>71</v>
      </c>
      <c r="I44" s="27" t="s">
        <v>49</v>
      </c>
      <c r="J44" s="27" t="s">
        <v>95</v>
      </c>
      <c r="K44" s="27" t="s">
        <v>73</v>
      </c>
      <c r="L44" s="31" t="s">
        <v>199</v>
      </c>
      <c r="M44" s="32">
        <v>0.56999999999999995</v>
      </c>
      <c r="N44" s="27" t="s">
        <v>33</v>
      </c>
      <c r="O44" s="27" t="s">
        <v>53</v>
      </c>
      <c r="P44" s="27" t="s">
        <v>187</v>
      </c>
      <c r="Q44" s="27" t="s">
        <v>200</v>
      </c>
      <c r="R44" s="33">
        <v>76706</v>
      </c>
      <c r="S44" s="34">
        <v>42008</v>
      </c>
      <c r="T44" s="34">
        <v>42010</v>
      </c>
      <c r="U44" s="29">
        <v>1766.7795000000001</v>
      </c>
      <c r="V44" s="26">
        <v>7</v>
      </c>
      <c r="W44" s="29">
        <v>2560.5500000000002</v>
      </c>
      <c r="X44" s="26">
        <v>86573</v>
      </c>
      <c r="Y44" s="35">
        <v>399.95000000000005</v>
      </c>
      <c r="Z44" s="1" t="s">
        <v>3012</v>
      </c>
      <c r="AA44" s="36">
        <v>127.13750000000002</v>
      </c>
      <c r="AB44" s="54">
        <v>1101.0365000000002</v>
      </c>
      <c r="AC44" s="54">
        <v>208.50192857142855</v>
      </c>
      <c r="AD44" s="36">
        <v>646.64300000000003</v>
      </c>
    </row>
    <row r="45" spans="1:30" s="37" customFormat="1" ht="15.75" customHeight="1" x14ac:dyDescent="0.2">
      <c r="A45" s="26">
        <v>2393</v>
      </c>
      <c r="B45" s="27" t="s">
        <v>193</v>
      </c>
      <c r="C45" s="27" t="s">
        <v>38</v>
      </c>
      <c r="D45" s="28">
        <v>0.06</v>
      </c>
      <c r="E45" s="29">
        <v>105.29</v>
      </c>
      <c r="F45" s="29">
        <v>10.119999999999999</v>
      </c>
      <c r="G45" s="30" t="s">
        <v>39</v>
      </c>
      <c r="H45" s="27" t="s">
        <v>94</v>
      </c>
      <c r="I45" s="27" t="s">
        <v>29</v>
      </c>
      <c r="J45" s="27" t="s">
        <v>126</v>
      </c>
      <c r="K45" s="27" t="s">
        <v>65</v>
      </c>
      <c r="L45" s="31" t="s">
        <v>194</v>
      </c>
      <c r="M45" s="32">
        <v>0.79</v>
      </c>
      <c r="N45" s="27" t="s">
        <v>33</v>
      </c>
      <c r="O45" s="27" t="s">
        <v>34</v>
      </c>
      <c r="P45" s="27" t="s">
        <v>75</v>
      </c>
      <c r="Q45" s="27" t="s">
        <v>195</v>
      </c>
      <c r="R45" s="33">
        <v>30076</v>
      </c>
      <c r="S45" s="34">
        <v>42008</v>
      </c>
      <c r="T45" s="34">
        <v>42010</v>
      </c>
      <c r="U45" s="29">
        <v>-45.01</v>
      </c>
      <c r="V45" s="26">
        <v>12</v>
      </c>
      <c r="W45" s="29">
        <v>1202.6600000000001</v>
      </c>
      <c r="X45" s="26">
        <v>86951</v>
      </c>
      <c r="Y45" s="35">
        <v>3.33</v>
      </c>
      <c r="Z45" s="1" t="s">
        <v>3011</v>
      </c>
      <c r="AA45" s="36">
        <v>75.808800000000005</v>
      </c>
      <c r="AB45" s="54">
        <v>252.55859999999998</v>
      </c>
      <c r="AC45" s="54">
        <v>79.175116666666682</v>
      </c>
      <c r="AD45" s="36">
        <v>1161.7412000000002</v>
      </c>
    </row>
    <row r="46" spans="1:30" s="37" customFormat="1" ht="15.75" customHeight="1" x14ac:dyDescent="0.2">
      <c r="A46" s="26">
        <v>2203</v>
      </c>
      <c r="B46" s="27" t="s">
        <v>182</v>
      </c>
      <c r="C46" s="27" t="s">
        <v>26</v>
      </c>
      <c r="D46" s="28">
        <v>0.03</v>
      </c>
      <c r="E46" s="29">
        <v>399.98</v>
      </c>
      <c r="F46" s="29">
        <v>12.06</v>
      </c>
      <c r="G46" s="30" t="s">
        <v>27</v>
      </c>
      <c r="H46" s="27" t="s">
        <v>71</v>
      </c>
      <c r="I46" s="27" t="s">
        <v>41</v>
      </c>
      <c r="J46" s="27" t="s">
        <v>57</v>
      </c>
      <c r="K46" s="27" t="s">
        <v>31</v>
      </c>
      <c r="L46" s="31" t="s">
        <v>183</v>
      </c>
      <c r="M46" s="32">
        <v>0.56000000000000005</v>
      </c>
      <c r="N46" s="27" t="s">
        <v>33</v>
      </c>
      <c r="O46" s="27" t="s">
        <v>53</v>
      </c>
      <c r="P46" s="27" t="s">
        <v>84</v>
      </c>
      <c r="Q46" s="27" t="s">
        <v>184</v>
      </c>
      <c r="R46" s="33">
        <v>55445</v>
      </c>
      <c r="S46" s="34">
        <v>42008</v>
      </c>
      <c r="T46" s="34">
        <v>42010</v>
      </c>
      <c r="U46" s="29">
        <v>-663.51419999999996</v>
      </c>
      <c r="V46" s="26">
        <v>2</v>
      </c>
      <c r="W46" s="29">
        <v>807</v>
      </c>
      <c r="X46" s="26">
        <v>86052</v>
      </c>
      <c r="Y46" s="35">
        <v>3.64</v>
      </c>
      <c r="Z46" s="1" t="s">
        <v>3012</v>
      </c>
      <c r="AA46" s="36">
        <v>23.998799999999999</v>
      </c>
      <c r="AB46" s="54">
        <v>355.08</v>
      </c>
      <c r="AC46" s="54">
        <v>225.96</v>
      </c>
      <c r="AD46" s="36">
        <v>1434.4554000000001</v>
      </c>
    </row>
    <row r="47" spans="1:30" s="37" customFormat="1" ht="15.75" customHeight="1" x14ac:dyDescent="0.2">
      <c r="A47" s="26">
        <v>916</v>
      </c>
      <c r="B47" s="27" t="s">
        <v>196</v>
      </c>
      <c r="C47" s="27" t="s">
        <v>48</v>
      </c>
      <c r="D47" s="28">
        <v>0.05</v>
      </c>
      <c r="E47" s="29">
        <v>161.55000000000001</v>
      </c>
      <c r="F47" s="29">
        <v>19.989999999999998</v>
      </c>
      <c r="G47" s="30" t="s">
        <v>39</v>
      </c>
      <c r="H47" s="27" t="s">
        <v>94</v>
      </c>
      <c r="I47" s="27" t="s">
        <v>49</v>
      </c>
      <c r="J47" s="27" t="s">
        <v>78</v>
      </c>
      <c r="K47" s="27" t="s">
        <v>73</v>
      </c>
      <c r="L47" s="31" t="s">
        <v>79</v>
      </c>
      <c r="M47" s="32">
        <v>0.66</v>
      </c>
      <c r="N47" s="27" t="s">
        <v>33</v>
      </c>
      <c r="O47" s="27" t="s">
        <v>53</v>
      </c>
      <c r="P47" s="27" t="s">
        <v>187</v>
      </c>
      <c r="Q47" s="27" t="s">
        <v>197</v>
      </c>
      <c r="R47" s="33">
        <v>76028</v>
      </c>
      <c r="S47" s="34">
        <v>42008</v>
      </c>
      <c r="T47" s="34">
        <v>42015</v>
      </c>
      <c r="U47" s="29">
        <v>35.31</v>
      </c>
      <c r="V47" s="26">
        <v>3</v>
      </c>
      <c r="W47" s="29">
        <v>499.31</v>
      </c>
      <c r="X47" s="26">
        <v>86357</v>
      </c>
      <c r="Y47" s="35">
        <v>350.92</v>
      </c>
      <c r="Z47" s="1" t="s">
        <v>3012</v>
      </c>
      <c r="AA47" s="36">
        <v>24.232500000000002</v>
      </c>
      <c r="AB47" s="54">
        <v>169.76539999999997</v>
      </c>
      <c r="AC47" s="54">
        <v>109.84820000000001</v>
      </c>
      <c r="AD47" s="36">
        <v>419.77750000000003</v>
      </c>
    </row>
    <row r="48" spans="1:30" s="37" customFormat="1" ht="15.75" customHeight="1" x14ac:dyDescent="0.2">
      <c r="A48" s="26">
        <v>915</v>
      </c>
      <c r="B48" s="27" t="s">
        <v>190</v>
      </c>
      <c r="C48" s="27" t="s">
        <v>38</v>
      </c>
      <c r="D48" s="28">
        <v>0.06</v>
      </c>
      <c r="E48" s="29">
        <v>350.98</v>
      </c>
      <c r="F48" s="29">
        <v>30</v>
      </c>
      <c r="G48" s="30" t="s">
        <v>27</v>
      </c>
      <c r="H48" s="27" t="s">
        <v>71</v>
      </c>
      <c r="I48" s="27" t="s">
        <v>29</v>
      </c>
      <c r="J48" s="27" t="s">
        <v>109</v>
      </c>
      <c r="K48" s="27" t="s">
        <v>58</v>
      </c>
      <c r="L48" s="31" t="s">
        <v>191</v>
      </c>
      <c r="M48" s="32">
        <v>0.61</v>
      </c>
      <c r="N48" s="27" t="s">
        <v>33</v>
      </c>
      <c r="O48" s="27" t="s">
        <v>53</v>
      </c>
      <c r="P48" s="27" t="s">
        <v>187</v>
      </c>
      <c r="Q48" s="27" t="s">
        <v>192</v>
      </c>
      <c r="R48" s="33">
        <v>77803</v>
      </c>
      <c r="S48" s="34">
        <v>42008</v>
      </c>
      <c r="T48" s="34">
        <v>42009</v>
      </c>
      <c r="U48" s="29">
        <v>-489.41559999999998</v>
      </c>
      <c r="V48" s="26">
        <v>1</v>
      </c>
      <c r="W48" s="29">
        <v>346.52</v>
      </c>
      <c r="X48" s="26">
        <v>86356</v>
      </c>
      <c r="Y48" s="35">
        <v>105.23</v>
      </c>
      <c r="Z48" s="1" t="s">
        <v>3012</v>
      </c>
      <c r="AA48" s="36">
        <v>21.058800000000002</v>
      </c>
      <c r="AB48" s="54">
        <v>135.14279999999999</v>
      </c>
      <c r="AC48" s="54">
        <v>211.37719999999999</v>
      </c>
      <c r="AD48" s="36">
        <v>784.8768</v>
      </c>
    </row>
    <row r="49" spans="1:30" s="37" customFormat="1" ht="15.75" customHeight="1" x14ac:dyDescent="0.2">
      <c r="A49" s="26">
        <v>3146</v>
      </c>
      <c r="B49" s="27" t="s">
        <v>185</v>
      </c>
      <c r="C49" s="27" t="s">
        <v>26</v>
      </c>
      <c r="D49" s="28">
        <v>7.0000000000000007E-2</v>
      </c>
      <c r="E49" s="29">
        <v>3.71</v>
      </c>
      <c r="F49" s="29">
        <v>1.93</v>
      </c>
      <c r="G49" s="30" t="s">
        <v>87</v>
      </c>
      <c r="H49" s="27" t="s">
        <v>94</v>
      </c>
      <c r="I49" s="27" t="s">
        <v>49</v>
      </c>
      <c r="J49" s="27" t="s">
        <v>88</v>
      </c>
      <c r="K49" s="27" t="s">
        <v>51</v>
      </c>
      <c r="L49" s="31" t="s">
        <v>189</v>
      </c>
      <c r="M49" s="32">
        <v>0.35</v>
      </c>
      <c r="N49" s="27" t="s">
        <v>33</v>
      </c>
      <c r="O49" s="27" t="s">
        <v>53</v>
      </c>
      <c r="P49" s="27" t="s">
        <v>187</v>
      </c>
      <c r="Q49" s="27" t="s">
        <v>188</v>
      </c>
      <c r="R49" s="33">
        <v>78577</v>
      </c>
      <c r="S49" s="34">
        <v>42008</v>
      </c>
      <c r="T49" s="34">
        <v>42010</v>
      </c>
      <c r="U49" s="29">
        <v>6.3308</v>
      </c>
      <c r="V49" s="26">
        <v>11</v>
      </c>
      <c r="W49" s="29">
        <v>39.64</v>
      </c>
      <c r="X49" s="26">
        <v>85850</v>
      </c>
      <c r="Y49" s="35">
        <v>161.5</v>
      </c>
      <c r="Z49" s="1" t="s">
        <v>3012</v>
      </c>
      <c r="AA49" s="36">
        <v>2.8567000000000005</v>
      </c>
      <c r="AB49" s="54">
        <v>25.766000000000002</v>
      </c>
      <c r="AC49" s="54">
        <v>1.2612727272727271</v>
      </c>
      <c r="AD49" s="36">
        <v>28.522500000000001</v>
      </c>
    </row>
    <row r="50" spans="1:30" s="37" customFormat="1" ht="15.75" customHeight="1" x14ac:dyDescent="0.2">
      <c r="A50" s="26">
        <v>3146</v>
      </c>
      <c r="B50" s="27" t="s">
        <v>185</v>
      </c>
      <c r="C50" s="27" t="s">
        <v>26</v>
      </c>
      <c r="D50" s="28">
        <v>0.03</v>
      </c>
      <c r="E50" s="29">
        <v>3.36</v>
      </c>
      <c r="F50" s="29">
        <v>6.27</v>
      </c>
      <c r="G50" s="30" t="s">
        <v>39</v>
      </c>
      <c r="H50" s="27" t="s">
        <v>94</v>
      </c>
      <c r="I50" s="27" t="s">
        <v>49</v>
      </c>
      <c r="J50" s="27" t="s">
        <v>72</v>
      </c>
      <c r="K50" s="27" t="s">
        <v>73</v>
      </c>
      <c r="L50" s="31" t="s">
        <v>186</v>
      </c>
      <c r="M50" s="32">
        <v>0.4</v>
      </c>
      <c r="N50" s="27" t="s">
        <v>33</v>
      </c>
      <c r="O50" s="27" t="s">
        <v>53</v>
      </c>
      <c r="P50" s="27" t="s">
        <v>187</v>
      </c>
      <c r="Q50" s="27" t="s">
        <v>188</v>
      </c>
      <c r="R50" s="33">
        <v>78577</v>
      </c>
      <c r="S50" s="34">
        <v>42008</v>
      </c>
      <c r="T50" s="34">
        <v>42009</v>
      </c>
      <c r="U50" s="29">
        <v>-94.258600000000001</v>
      </c>
      <c r="V50" s="26">
        <v>4</v>
      </c>
      <c r="W50" s="29">
        <v>14.9</v>
      </c>
      <c r="X50" s="26">
        <v>85850</v>
      </c>
      <c r="Y50" s="35">
        <v>363.2</v>
      </c>
      <c r="Z50" s="1" t="s">
        <v>3012</v>
      </c>
      <c r="AA50" s="36">
        <v>0.40319999999999995</v>
      </c>
      <c r="AB50" s="54">
        <v>8.94</v>
      </c>
      <c r="AC50" s="54">
        <v>1.4900000000000002</v>
      </c>
      <c r="AD50" s="36">
        <v>102.48540000000001</v>
      </c>
    </row>
    <row r="51" spans="1:30" s="37" customFormat="1" ht="15.75" customHeight="1" x14ac:dyDescent="0.2">
      <c r="A51" s="26">
        <v>1314</v>
      </c>
      <c r="B51" s="27" t="s">
        <v>223</v>
      </c>
      <c r="C51" s="27" t="s">
        <v>48</v>
      </c>
      <c r="D51" s="28">
        <v>0.05</v>
      </c>
      <c r="E51" s="29">
        <v>279.48</v>
      </c>
      <c r="F51" s="29">
        <v>35</v>
      </c>
      <c r="G51" s="30" t="s">
        <v>39</v>
      </c>
      <c r="H51" s="27" t="s">
        <v>71</v>
      </c>
      <c r="I51" s="27" t="s">
        <v>49</v>
      </c>
      <c r="J51" s="27" t="s">
        <v>78</v>
      </c>
      <c r="K51" s="27" t="s">
        <v>65</v>
      </c>
      <c r="L51" s="31" t="s">
        <v>225</v>
      </c>
      <c r="M51" s="32">
        <v>0.8</v>
      </c>
      <c r="N51" s="27" t="s">
        <v>33</v>
      </c>
      <c r="O51" s="27" t="s">
        <v>60</v>
      </c>
      <c r="P51" s="27" t="s">
        <v>90</v>
      </c>
      <c r="Q51" s="27" t="s">
        <v>100</v>
      </c>
      <c r="R51" s="33">
        <v>90058</v>
      </c>
      <c r="S51" s="34">
        <v>42009</v>
      </c>
      <c r="T51" s="34">
        <v>42009</v>
      </c>
      <c r="U51" s="29">
        <v>-274.95</v>
      </c>
      <c r="V51" s="26">
        <v>31</v>
      </c>
      <c r="W51" s="29">
        <v>8354.73</v>
      </c>
      <c r="X51" s="26">
        <v>27013</v>
      </c>
      <c r="Y51" s="35">
        <v>1.73</v>
      </c>
      <c r="Z51" s="1" t="s">
        <v>3013</v>
      </c>
      <c r="AA51" s="36">
        <v>433.19400000000007</v>
      </c>
      <c r="AB51" s="54">
        <v>1670.9459999999995</v>
      </c>
      <c r="AC51" s="54">
        <v>215.60593548387098</v>
      </c>
      <c r="AD51" s="36">
        <v>8161.4859999999999</v>
      </c>
    </row>
    <row r="52" spans="1:30" s="37" customFormat="1" ht="15.75" customHeight="1" x14ac:dyDescent="0.2">
      <c r="A52" s="26">
        <v>1314</v>
      </c>
      <c r="B52" s="27" t="s">
        <v>223</v>
      </c>
      <c r="C52" s="27" t="s">
        <v>48</v>
      </c>
      <c r="D52" s="28">
        <v>0.05</v>
      </c>
      <c r="E52" s="29">
        <v>80.98</v>
      </c>
      <c r="F52" s="29">
        <v>35</v>
      </c>
      <c r="G52" s="30" t="s">
        <v>39</v>
      </c>
      <c r="H52" s="27" t="s">
        <v>71</v>
      </c>
      <c r="I52" s="27" t="s">
        <v>49</v>
      </c>
      <c r="J52" s="27" t="s">
        <v>78</v>
      </c>
      <c r="K52" s="27" t="s">
        <v>65</v>
      </c>
      <c r="L52" s="31" t="s">
        <v>224</v>
      </c>
      <c r="M52" s="32">
        <v>0.81</v>
      </c>
      <c r="N52" s="27" t="s">
        <v>33</v>
      </c>
      <c r="O52" s="27" t="s">
        <v>60</v>
      </c>
      <c r="P52" s="27" t="s">
        <v>90</v>
      </c>
      <c r="Q52" s="27" t="s">
        <v>100</v>
      </c>
      <c r="R52" s="33">
        <v>90058</v>
      </c>
      <c r="S52" s="34">
        <v>42009</v>
      </c>
      <c r="T52" s="34">
        <v>42013</v>
      </c>
      <c r="U52" s="29">
        <v>-746.44</v>
      </c>
      <c r="V52" s="26">
        <v>34</v>
      </c>
      <c r="W52" s="29">
        <v>2710.47</v>
      </c>
      <c r="X52" s="26">
        <v>27013</v>
      </c>
      <c r="Y52" s="35">
        <v>125.94999999999999</v>
      </c>
      <c r="Z52" s="1" t="s">
        <v>3013</v>
      </c>
      <c r="AA52" s="36">
        <v>137.66600000000003</v>
      </c>
      <c r="AB52" s="54">
        <v>514.98929999999984</v>
      </c>
      <c r="AC52" s="54">
        <v>64.57296176470588</v>
      </c>
      <c r="AD52" s="36">
        <v>3284.2439999999997</v>
      </c>
    </row>
    <row r="53" spans="1:30" s="37" customFormat="1" ht="15.75" customHeight="1" x14ac:dyDescent="0.2">
      <c r="A53" s="26">
        <v>2630</v>
      </c>
      <c r="B53" s="27" t="s">
        <v>205</v>
      </c>
      <c r="C53" s="27" t="s">
        <v>26</v>
      </c>
      <c r="D53" s="28">
        <v>0.02</v>
      </c>
      <c r="E53" s="29">
        <v>209.84</v>
      </c>
      <c r="F53" s="29">
        <v>21.21</v>
      </c>
      <c r="G53" s="30" t="s">
        <v>39</v>
      </c>
      <c r="H53" s="27" t="s">
        <v>3095</v>
      </c>
      <c r="I53" s="27" t="s">
        <v>29</v>
      </c>
      <c r="J53" s="27" t="s">
        <v>126</v>
      </c>
      <c r="K53" s="27" t="s">
        <v>65</v>
      </c>
      <c r="L53" s="31" t="s">
        <v>209</v>
      </c>
      <c r="M53" s="32">
        <v>0.59</v>
      </c>
      <c r="N53" s="27" t="s">
        <v>33</v>
      </c>
      <c r="O53" s="27" t="s">
        <v>53</v>
      </c>
      <c r="P53" s="27" t="s">
        <v>207</v>
      </c>
      <c r="Q53" s="27" t="s">
        <v>208</v>
      </c>
      <c r="R53" s="33">
        <v>73071</v>
      </c>
      <c r="S53" s="34">
        <v>42009</v>
      </c>
      <c r="T53" s="34">
        <v>42010</v>
      </c>
      <c r="U53" s="29">
        <v>1507.6431</v>
      </c>
      <c r="V53" s="26">
        <v>10</v>
      </c>
      <c r="W53" s="29">
        <v>2184.9899999999998</v>
      </c>
      <c r="X53" s="26">
        <v>85914</v>
      </c>
      <c r="Y53" s="35">
        <v>194.29000000000002</v>
      </c>
      <c r="Z53" s="1" t="s">
        <v>3012</v>
      </c>
      <c r="AA53" s="36">
        <v>41.968000000000004</v>
      </c>
      <c r="AB53" s="54">
        <v>895.84590000000003</v>
      </c>
      <c r="AC53" s="54">
        <v>128.91440999999998</v>
      </c>
      <c r="AD53" s="36">
        <v>614.16889999999967</v>
      </c>
    </row>
    <row r="54" spans="1:30" s="37" customFormat="1" ht="15.75" customHeight="1" x14ac:dyDescent="0.2">
      <c r="A54" s="26">
        <v>1316</v>
      </c>
      <c r="B54" s="27" t="s">
        <v>226</v>
      </c>
      <c r="C54" s="27" t="s">
        <v>48</v>
      </c>
      <c r="D54" s="28">
        <v>0.05</v>
      </c>
      <c r="E54" s="29">
        <v>279.48</v>
      </c>
      <c r="F54" s="29">
        <v>35</v>
      </c>
      <c r="G54" s="30" t="s">
        <v>39</v>
      </c>
      <c r="H54" s="27" t="s">
        <v>71</v>
      </c>
      <c r="I54" s="27" t="s">
        <v>49</v>
      </c>
      <c r="J54" s="27" t="s">
        <v>78</v>
      </c>
      <c r="K54" s="27" t="s">
        <v>65</v>
      </c>
      <c r="L54" s="31" t="s">
        <v>225</v>
      </c>
      <c r="M54" s="32">
        <v>0.8</v>
      </c>
      <c r="N54" s="27" t="s">
        <v>33</v>
      </c>
      <c r="O54" s="27" t="s">
        <v>60</v>
      </c>
      <c r="P54" s="27" t="s">
        <v>61</v>
      </c>
      <c r="Q54" s="27" t="s">
        <v>227</v>
      </c>
      <c r="R54" s="33">
        <v>80022</v>
      </c>
      <c r="S54" s="34">
        <v>42009</v>
      </c>
      <c r="T54" s="34">
        <v>42009</v>
      </c>
      <c r="U54" s="29">
        <v>-274.95</v>
      </c>
      <c r="V54" s="26">
        <v>8</v>
      </c>
      <c r="W54" s="29">
        <v>2156.06</v>
      </c>
      <c r="X54" s="26">
        <v>87603</v>
      </c>
      <c r="Y54" s="35">
        <v>209.82</v>
      </c>
      <c r="Z54" s="1" t="s">
        <v>3013</v>
      </c>
      <c r="AA54" s="36">
        <v>111.79200000000002</v>
      </c>
      <c r="AB54" s="54">
        <v>431.21199999999988</v>
      </c>
      <c r="AC54" s="54">
        <v>215.60599999999999</v>
      </c>
      <c r="AD54" s="36">
        <v>2284.2179999999998</v>
      </c>
    </row>
    <row r="55" spans="1:30" s="37" customFormat="1" ht="15.75" customHeight="1" x14ac:dyDescent="0.2">
      <c r="A55" s="26">
        <v>2630</v>
      </c>
      <c r="B55" s="27" t="s">
        <v>205</v>
      </c>
      <c r="C55" s="27" t="s">
        <v>26</v>
      </c>
      <c r="D55" s="28">
        <v>0</v>
      </c>
      <c r="E55" s="29">
        <v>145.44999999999999</v>
      </c>
      <c r="F55" s="29">
        <v>17.850000000000001</v>
      </c>
      <c r="G55" s="30" t="s">
        <v>27</v>
      </c>
      <c r="H55" s="27" t="s">
        <v>3095</v>
      </c>
      <c r="I55" s="27" t="s">
        <v>41</v>
      </c>
      <c r="J55" s="27" t="s">
        <v>57</v>
      </c>
      <c r="K55" s="27" t="s">
        <v>58</v>
      </c>
      <c r="L55" s="31" t="s">
        <v>210</v>
      </c>
      <c r="M55" s="32">
        <v>0.56000000000000005</v>
      </c>
      <c r="N55" s="27" t="s">
        <v>33</v>
      </c>
      <c r="O55" s="27" t="s">
        <v>53</v>
      </c>
      <c r="P55" s="27" t="s">
        <v>207</v>
      </c>
      <c r="Q55" s="27" t="s">
        <v>208</v>
      </c>
      <c r="R55" s="33">
        <v>73071</v>
      </c>
      <c r="S55" s="34">
        <v>42009</v>
      </c>
      <c r="T55" s="34">
        <v>42011</v>
      </c>
      <c r="U55" s="29">
        <v>801.74680000000001</v>
      </c>
      <c r="V55" s="26">
        <v>8</v>
      </c>
      <c r="W55" s="29">
        <v>1191.2</v>
      </c>
      <c r="X55" s="26">
        <v>85914</v>
      </c>
      <c r="Y55" s="35">
        <v>145.44999999999999</v>
      </c>
      <c r="Z55" s="1" t="s">
        <v>3012</v>
      </c>
      <c r="AA55" s="36">
        <v>0</v>
      </c>
      <c r="AB55" s="54">
        <v>524.12799999999993</v>
      </c>
      <c r="AC55" s="54">
        <v>83.384000000000015</v>
      </c>
      <c r="AD55" s="36">
        <v>371.60320000000002</v>
      </c>
    </row>
    <row r="56" spans="1:30" s="37" customFormat="1" ht="15.75" customHeight="1" x14ac:dyDescent="0.2">
      <c r="A56" s="26">
        <v>2630</v>
      </c>
      <c r="B56" s="27" t="s">
        <v>205</v>
      </c>
      <c r="C56" s="27" t="s">
        <v>26</v>
      </c>
      <c r="D56" s="28">
        <v>0.01</v>
      </c>
      <c r="E56" s="29">
        <v>194.3</v>
      </c>
      <c r="F56" s="29">
        <v>11.54</v>
      </c>
      <c r="G56" s="30" t="s">
        <v>39</v>
      </c>
      <c r="H56" s="27" t="s">
        <v>3095</v>
      </c>
      <c r="I56" s="27" t="s">
        <v>29</v>
      </c>
      <c r="J56" s="27" t="s">
        <v>126</v>
      </c>
      <c r="K56" s="27" t="s">
        <v>65</v>
      </c>
      <c r="L56" s="31" t="s">
        <v>206</v>
      </c>
      <c r="M56" s="32">
        <v>0.59</v>
      </c>
      <c r="N56" s="27" t="s">
        <v>33</v>
      </c>
      <c r="O56" s="27" t="s">
        <v>53</v>
      </c>
      <c r="P56" s="27" t="s">
        <v>207</v>
      </c>
      <c r="Q56" s="27" t="s">
        <v>208</v>
      </c>
      <c r="R56" s="33">
        <v>73071</v>
      </c>
      <c r="S56" s="34">
        <v>42009</v>
      </c>
      <c r="T56" s="34">
        <v>42011</v>
      </c>
      <c r="U56" s="29">
        <v>690.17939999999999</v>
      </c>
      <c r="V56" s="26">
        <v>5</v>
      </c>
      <c r="W56" s="29">
        <v>1000.26</v>
      </c>
      <c r="X56" s="26">
        <v>85914</v>
      </c>
      <c r="Y56" s="35">
        <v>28.45</v>
      </c>
      <c r="Z56" s="1" t="s">
        <v>3012</v>
      </c>
      <c r="AA56" s="36">
        <v>9.7149999999999999</v>
      </c>
      <c r="AB56" s="54">
        <v>410.10660000000001</v>
      </c>
      <c r="AC56" s="54">
        <v>118.03067999999999</v>
      </c>
      <c r="AD56" s="36">
        <v>288.82560000000001</v>
      </c>
    </row>
    <row r="57" spans="1:30" s="37" customFormat="1" ht="15.75" customHeight="1" x14ac:dyDescent="0.2">
      <c r="A57" s="26">
        <v>890</v>
      </c>
      <c r="B57" s="27" t="s">
        <v>201</v>
      </c>
      <c r="C57" s="27" t="s">
        <v>26</v>
      </c>
      <c r="D57" s="28">
        <v>0.04</v>
      </c>
      <c r="E57" s="29">
        <v>125.99</v>
      </c>
      <c r="F57" s="29">
        <v>5.26</v>
      </c>
      <c r="G57" s="30" t="s">
        <v>39</v>
      </c>
      <c r="H57" s="27" t="s">
        <v>40</v>
      </c>
      <c r="I57" s="27" t="s">
        <v>41</v>
      </c>
      <c r="J57" s="27" t="s">
        <v>135</v>
      </c>
      <c r="K57" s="27" t="s">
        <v>73</v>
      </c>
      <c r="L57" s="31" t="s">
        <v>204</v>
      </c>
      <c r="M57" s="32">
        <v>0.55000000000000004</v>
      </c>
      <c r="N57" s="27" t="s">
        <v>33</v>
      </c>
      <c r="O57" s="27" t="s">
        <v>53</v>
      </c>
      <c r="P57" s="27" t="s">
        <v>187</v>
      </c>
      <c r="Q57" s="27" t="s">
        <v>203</v>
      </c>
      <c r="R57" s="33">
        <v>76021</v>
      </c>
      <c r="S57" s="34">
        <v>42009</v>
      </c>
      <c r="T57" s="34">
        <v>42009</v>
      </c>
      <c r="U57" s="29">
        <v>455.42070000000001</v>
      </c>
      <c r="V57" s="26">
        <v>6</v>
      </c>
      <c r="W57" s="29">
        <v>660.03</v>
      </c>
      <c r="X57" s="26">
        <v>89536</v>
      </c>
      <c r="Y57" s="35">
        <v>205.98000000000002</v>
      </c>
      <c r="Z57" s="1" t="s">
        <v>3012</v>
      </c>
      <c r="AA57" s="36">
        <v>30.2376</v>
      </c>
      <c r="AB57" s="54">
        <v>297.01349999999996</v>
      </c>
      <c r="AC57" s="54">
        <v>60.502749999999999</v>
      </c>
      <c r="AD57" s="36">
        <v>169.11169999999998</v>
      </c>
    </row>
    <row r="58" spans="1:30" s="37" customFormat="1" ht="15.75" customHeight="1" x14ac:dyDescent="0.2">
      <c r="A58" s="26">
        <v>1316</v>
      </c>
      <c r="B58" s="27" t="s">
        <v>226</v>
      </c>
      <c r="C58" s="27" t="s">
        <v>48</v>
      </c>
      <c r="D58" s="28">
        <v>0.05</v>
      </c>
      <c r="E58" s="29">
        <v>80.98</v>
      </c>
      <c r="F58" s="29">
        <v>35</v>
      </c>
      <c r="G58" s="30" t="s">
        <v>39</v>
      </c>
      <c r="H58" s="27" t="s">
        <v>71</v>
      </c>
      <c r="I58" s="27" t="s">
        <v>49</v>
      </c>
      <c r="J58" s="27" t="s">
        <v>78</v>
      </c>
      <c r="K58" s="27" t="s">
        <v>65</v>
      </c>
      <c r="L58" s="31" t="s">
        <v>224</v>
      </c>
      <c r="M58" s="32">
        <v>0.81</v>
      </c>
      <c r="N58" s="27" t="s">
        <v>33</v>
      </c>
      <c r="O58" s="27" t="s">
        <v>60</v>
      </c>
      <c r="P58" s="27" t="s">
        <v>61</v>
      </c>
      <c r="Q58" s="27" t="s">
        <v>227</v>
      </c>
      <c r="R58" s="33">
        <v>80022</v>
      </c>
      <c r="S58" s="34">
        <v>42009</v>
      </c>
      <c r="T58" s="34">
        <v>42013</v>
      </c>
      <c r="U58" s="29">
        <v>-746.44</v>
      </c>
      <c r="V58" s="26">
        <v>8</v>
      </c>
      <c r="W58" s="29">
        <v>637.76</v>
      </c>
      <c r="X58" s="26">
        <v>87603</v>
      </c>
      <c r="Y58" s="35">
        <v>120.89</v>
      </c>
      <c r="Z58" s="1" t="s">
        <v>3013</v>
      </c>
      <c r="AA58" s="36">
        <v>32.392000000000003</v>
      </c>
      <c r="AB58" s="54">
        <v>121.17439999999996</v>
      </c>
      <c r="AC58" s="54">
        <v>64.5732</v>
      </c>
      <c r="AD58" s="36">
        <v>1316.808</v>
      </c>
    </row>
    <row r="59" spans="1:30" s="37" customFormat="1" ht="15.75" customHeight="1" x14ac:dyDescent="0.2">
      <c r="A59" s="26">
        <v>2206</v>
      </c>
      <c r="B59" s="27" t="s">
        <v>211</v>
      </c>
      <c r="C59" s="27" t="s">
        <v>38</v>
      </c>
      <c r="D59" s="28">
        <v>0.01</v>
      </c>
      <c r="E59" s="29">
        <v>205.99</v>
      </c>
      <c r="F59" s="29">
        <v>5.99</v>
      </c>
      <c r="G59" s="30" t="s">
        <v>39</v>
      </c>
      <c r="H59" s="27" t="s">
        <v>40</v>
      </c>
      <c r="I59" s="27" t="s">
        <v>41</v>
      </c>
      <c r="J59" s="27" t="s">
        <v>135</v>
      </c>
      <c r="K59" s="27" t="s">
        <v>73</v>
      </c>
      <c r="L59" s="31" t="s">
        <v>215</v>
      </c>
      <c r="M59" s="32">
        <v>0.59</v>
      </c>
      <c r="N59" s="27" t="s">
        <v>33</v>
      </c>
      <c r="O59" s="27" t="s">
        <v>53</v>
      </c>
      <c r="P59" s="27" t="s">
        <v>213</v>
      </c>
      <c r="Q59" s="27" t="s">
        <v>214</v>
      </c>
      <c r="R59" s="33">
        <v>50501</v>
      </c>
      <c r="S59" s="34">
        <v>42009</v>
      </c>
      <c r="T59" s="34">
        <v>42011</v>
      </c>
      <c r="U59" s="29">
        <v>-74.883600000000001</v>
      </c>
      <c r="V59" s="26">
        <v>3</v>
      </c>
      <c r="W59" s="29">
        <v>551.22</v>
      </c>
      <c r="X59" s="26">
        <v>86258</v>
      </c>
      <c r="Y59" s="35">
        <v>8.870000000000001</v>
      </c>
      <c r="Z59" s="1" t="s">
        <v>3012</v>
      </c>
      <c r="AA59" s="36">
        <v>6.1797000000000004</v>
      </c>
      <c r="AB59" s="54">
        <v>226.00020000000004</v>
      </c>
      <c r="AC59" s="54">
        <v>108.4066</v>
      </c>
      <c r="AD59" s="36">
        <v>613.93389999999999</v>
      </c>
    </row>
    <row r="60" spans="1:30" s="37" customFormat="1" ht="15.75" customHeight="1" x14ac:dyDescent="0.2">
      <c r="A60" s="26">
        <v>2151</v>
      </c>
      <c r="B60" s="27" t="s">
        <v>234</v>
      </c>
      <c r="C60" s="27" t="s">
        <v>3094</v>
      </c>
      <c r="D60" s="28">
        <v>0.08</v>
      </c>
      <c r="E60" s="29">
        <v>243.98</v>
      </c>
      <c r="F60" s="29">
        <v>43.32</v>
      </c>
      <c r="G60" s="30" t="s">
        <v>27</v>
      </c>
      <c r="H60" s="27" t="s">
        <v>94</v>
      </c>
      <c r="I60" s="27" t="s">
        <v>29</v>
      </c>
      <c r="J60" s="27" t="s">
        <v>109</v>
      </c>
      <c r="K60" s="27" t="s">
        <v>58</v>
      </c>
      <c r="L60" s="31" t="s">
        <v>235</v>
      </c>
      <c r="M60" s="32">
        <v>0.55000000000000004</v>
      </c>
      <c r="N60" s="27" t="s">
        <v>33</v>
      </c>
      <c r="O60" s="27" t="s">
        <v>53</v>
      </c>
      <c r="P60" s="27" t="s">
        <v>213</v>
      </c>
      <c r="Q60" s="27" t="s">
        <v>236</v>
      </c>
      <c r="R60" s="33">
        <v>52001</v>
      </c>
      <c r="S60" s="34">
        <v>42009</v>
      </c>
      <c r="T60" s="34">
        <v>42010</v>
      </c>
      <c r="U60" s="29">
        <v>-162.8244</v>
      </c>
      <c r="V60" s="26">
        <v>1</v>
      </c>
      <c r="W60" s="29">
        <v>248.84</v>
      </c>
      <c r="X60" s="26">
        <v>90404</v>
      </c>
      <c r="Y60" s="35">
        <v>2.82</v>
      </c>
      <c r="Z60" s="1" t="s">
        <v>3012</v>
      </c>
      <c r="AA60" s="36">
        <v>19.5184</v>
      </c>
      <c r="AB60" s="54">
        <v>111.97799999999999</v>
      </c>
      <c r="AC60" s="54">
        <v>136.86200000000002</v>
      </c>
      <c r="AD60" s="36">
        <v>348.82600000000002</v>
      </c>
    </row>
    <row r="61" spans="1:30" s="37" customFormat="1" ht="15.75" customHeight="1" x14ac:dyDescent="0.2">
      <c r="A61" s="26">
        <v>3125</v>
      </c>
      <c r="B61" s="27" t="s">
        <v>216</v>
      </c>
      <c r="C61" s="27" t="s">
        <v>38</v>
      </c>
      <c r="D61" s="28">
        <v>0.08</v>
      </c>
      <c r="E61" s="29">
        <v>120.97</v>
      </c>
      <c r="F61" s="29">
        <v>26.3</v>
      </c>
      <c r="G61" s="30" t="s">
        <v>27</v>
      </c>
      <c r="H61" s="27" t="s">
        <v>71</v>
      </c>
      <c r="I61" s="27" t="s">
        <v>41</v>
      </c>
      <c r="J61" s="27" t="s">
        <v>57</v>
      </c>
      <c r="K61" s="27" t="s">
        <v>58</v>
      </c>
      <c r="L61" s="31" t="s">
        <v>217</v>
      </c>
      <c r="M61" s="32">
        <v>0.38</v>
      </c>
      <c r="N61" s="27" t="s">
        <v>33</v>
      </c>
      <c r="O61" s="27" t="s">
        <v>53</v>
      </c>
      <c r="P61" s="27" t="s">
        <v>103</v>
      </c>
      <c r="Q61" s="27" t="s">
        <v>218</v>
      </c>
      <c r="R61" s="33">
        <v>60056</v>
      </c>
      <c r="S61" s="34">
        <v>42009</v>
      </c>
      <c r="T61" s="34">
        <v>42011</v>
      </c>
      <c r="U61" s="29">
        <v>-233.840688</v>
      </c>
      <c r="V61" s="26">
        <v>2</v>
      </c>
      <c r="W61" s="29">
        <v>233.58</v>
      </c>
      <c r="X61" s="26">
        <v>87285</v>
      </c>
      <c r="Y61" s="35">
        <v>80.930000000000007</v>
      </c>
      <c r="Z61" s="1" t="s">
        <v>3012</v>
      </c>
      <c r="AA61" s="36">
        <v>19.3552</v>
      </c>
      <c r="AB61" s="54">
        <v>144.81960000000001</v>
      </c>
      <c r="AC61" s="54">
        <v>44.380200000000002</v>
      </c>
      <c r="AD61" s="36">
        <v>421.765488</v>
      </c>
    </row>
    <row r="62" spans="1:30" s="37" customFormat="1" ht="15.75" customHeight="1" x14ac:dyDescent="0.2">
      <c r="A62" s="26">
        <v>3331</v>
      </c>
      <c r="B62" s="27" t="s">
        <v>228</v>
      </c>
      <c r="C62" s="27" t="s">
        <v>116</v>
      </c>
      <c r="D62" s="28">
        <v>0.09</v>
      </c>
      <c r="E62" s="29">
        <v>5.98</v>
      </c>
      <c r="F62" s="29">
        <v>4.6900000000000004</v>
      </c>
      <c r="G62" s="30" t="s">
        <v>39</v>
      </c>
      <c r="H62" s="27" t="s">
        <v>94</v>
      </c>
      <c r="I62" s="27" t="s">
        <v>49</v>
      </c>
      <c r="J62" s="27" t="s">
        <v>78</v>
      </c>
      <c r="K62" s="27" t="s">
        <v>73</v>
      </c>
      <c r="L62" s="31" t="s">
        <v>229</v>
      </c>
      <c r="M62" s="32">
        <v>0.68</v>
      </c>
      <c r="N62" s="27" t="s">
        <v>33</v>
      </c>
      <c r="O62" s="27" t="s">
        <v>34</v>
      </c>
      <c r="P62" s="27" t="s">
        <v>123</v>
      </c>
      <c r="Q62" s="27" t="s">
        <v>230</v>
      </c>
      <c r="R62" s="33">
        <v>32174</v>
      </c>
      <c r="S62" s="34">
        <v>42009</v>
      </c>
      <c r="T62" s="34">
        <v>42010</v>
      </c>
      <c r="U62" s="29">
        <v>-781.13419999999996</v>
      </c>
      <c r="V62" s="26">
        <v>11</v>
      </c>
      <c r="W62" s="29">
        <v>65.849999999999994</v>
      </c>
      <c r="X62" s="26">
        <v>86283</v>
      </c>
      <c r="Y62" s="35">
        <v>279.43</v>
      </c>
      <c r="Z62" s="1" t="s">
        <v>3011</v>
      </c>
      <c r="AA62" s="36">
        <v>5.9202000000000004</v>
      </c>
      <c r="AB62" s="54">
        <v>21.071999999999996</v>
      </c>
      <c r="AC62" s="54">
        <v>4.0707272727272725</v>
      </c>
      <c r="AD62" s="36">
        <v>836.37399999999991</v>
      </c>
    </row>
    <row r="63" spans="1:30" s="37" customFormat="1" ht="15.75" customHeight="1" x14ac:dyDescent="0.2">
      <c r="A63" s="26">
        <v>2206</v>
      </c>
      <c r="B63" s="27" t="s">
        <v>211</v>
      </c>
      <c r="C63" s="27" t="s">
        <v>38</v>
      </c>
      <c r="D63" s="28">
        <v>0.03</v>
      </c>
      <c r="E63" s="29">
        <v>28.48</v>
      </c>
      <c r="F63" s="29">
        <v>1.99</v>
      </c>
      <c r="G63" s="30" t="s">
        <v>39</v>
      </c>
      <c r="H63" s="27" t="s">
        <v>40</v>
      </c>
      <c r="I63" s="27" t="s">
        <v>41</v>
      </c>
      <c r="J63" s="27" t="s">
        <v>42</v>
      </c>
      <c r="K63" s="27" t="s">
        <v>43</v>
      </c>
      <c r="L63" s="31" t="s">
        <v>212</v>
      </c>
      <c r="M63" s="32">
        <v>0.4</v>
      </c>
      <c r="N63" s="27" t="s">
        <v>33</v>
      </c>
      <c r="O63" s="27" t="s">
        <v>53</v>
      </c>
      <c r="P63" s="27" t="s">
        <v>213</v>
      </c>
      <c r="Q63" s="27" t="s">
        <v>214</v>
      </c>
      <c r="R63" s="33">
        <v>50501</v>
      </c>
      <c r="S63" s="34">
        <v>42009</v>
      </c>
      <c r="T63" s="34">
        <v>42010</v>
      </c>
      <c r="U63" s="29">
        <v>-35.290399999999998</v>
      </c>
      <c r="V63" s="26">
        <v>2</v>
      </c>
      <c r="W63" s="29">
        <v>55.25</v>
      </c>
      <c r="X63" s="26">
        <v>86258</v>
      </c>
      <c r="Y63" s="35">
        <v>80.930000000000007</v>
      </c>
      <c r="Z63" s="1" t="s">
        <v>3012</v>
      </c>
      <c r="AA63" s="36">
        <v>1.7087999999999999</v>
      </c>
      <c r="AB63" s="54">
        <v>33.15</v>
      </c>
      <c r="AC63" s="54">
        <v>11.05</v>
      </c>
      <c r="AD63" s="36">
        <v>86.8416</v>
      </c>
    </row>
    <row r="64" spans="1:30" s="37" customFormat="1" ht="15.75" customHeight="1" x14ac:dyDescent="0.2">
      <c r="A64" s="26">
        <v>1085</v>
      </c>
      <c r="B64" s="27" t="s">
        <v>231</v>
      </c>
      <c r="C64" s="27" t="s">
        <v>3094</v>
      </c>
      <c r="D64" s="28">
        <v>0.05</v>
      </c>
      <c r="E64" s="29">
        <v>7.64</v>
      </c>
      <c r="F64" s="29">
        <v>5.83</v>
      </c>
      <c r="G64" s="30" t="s">
        <v>39</v>
      </c>
      <c r="H64" s="27" t="s">
        <v>71</v>
      </c>
      <c r="I64" s="27" t="s">
        <v>49</v>
      </c>
      <c r="J64" s="27" t="s">
        <v>88</v>
      </c>
      <c r="K64" s="27" t="s">
        <v>51</v>
      </c>
      <c r="L64" s="31" t="s">
        <v>232</v>
      </c>
      <c r="M64" s="32">
        <v>0.36</v>
      </c>
      <c r="N64" s="27" t="s">
        <v>33</v>
      </c>
      <c r="O64" s="27" t="s">
        <v>111</v>
      </c>
      <c r="P64" s="27" t="s">
        <v>112</v>
      </c>
      <c r="Q64" s="27" t="s">
        <v>233</v>
      </c>
      <c r="R64" s="33">
        <v>11729</v>
      </c>
      <c r="S64" s="34">
        <v>42009</v>
      </c>
      <c r="T64" s="34">
        <v>42010</v>
      </c>
      <c r="U64" s="29">
        <v>-40.275199999999998</v>
      </c>
      <c r="V64" s="26">
        <v>6</v>
      </c>
      <c r="W64" s="29">
        <v>47.18</v>
      </c>
      <c r="X64" s="26">
        <v>86122</v>
      </c>
      <c r="Y64" s="35">
        <v>279.43</v>
      </c>
      <c r="Z64" s="1" t="s">
        <v>3014</v>
      </c>
      <c r="AA64" s="36">
        <v>2.2919999999999998</v>
      </c>
      <c r="AB64" s="54">
        <v>30.1952</v>
      </c>
      <c r="AC64" s="54">
        <v>2.8308</v>
      </c>
      <c r="AD64" s="36">
        <v>79.333200000000005</v>
      </c>
    </row>
    <row r="65" spans="1:30" s="37" customFormat="1" ht="15.75" customHeight="1" x14ac:dyDescent="0.2">
      <c r="A65" s="26">
        <v>451</v>
      </c>
      <c r="B65" s="27" t="s">
        <v>219</v>
      </c>
      <c r="C65" s="27" t="s">
        <v>48</v>
      </c>
      <c r="D65" s="28">
        <v>0.06</v>
      </c>
      <c r="E65" s="29">
        <v>2.88</v>
      </c>
      <c r="F65" s="29">
        <v>0.99</v>
      </c>
      <c r="G65" s="30" t="s">
        <v>39</v>
      </c>
      <c r="H65" s="27" t="s">
        <v>71</v>
      </c>
      <c r="I65" s="27" t="s">
        <v>49</v>
      </c>
      <c r="J65" s="27" t="s">
        <v>152</v>
      </c>
      <c r="K65" s="27" t="s">
        <v>73</v>
      </c>
      <c r="L65" s="31" t="s">
        <v>222</v>
      </c>
      <c r="M65" s="32">
        <v>0.36</v>
      </c>
      <c r="N65" s="27" t="s">
        <v>33</v>
      </c>
      <c r="O65" s="27" t="s">
        <v>60</v>
      </c>
      <c r="P65" s="27" t="s">
        <v>90</v>
      </c>
      <c r="Q65" s="27" t="s">
        <v>221</v>
      </c>
      <c r="R65" s="33">
        <v>94024</v>
      </c>
      <c r="S65" s="34">
        <v>42009</v>
      </c>
      <c r="T65" s="34">
        <v>42018</v>
      </c>
      <c r="U65" s="29">
        <v>16.049399999999999</v>
      </c>
      <c r="V65" s="26">
        <v>8</v>
      </c>
      <c r="W65" s="29">
        <v>23.26</v>
      </c>
      <c r="X65" s="26">
        <v>86013</v>
      </c>
      <c r="Y65" s="35">
        <v>5.8900000000000006</v>
      </c>
      <c r="Z65" s="1" t="s">
        <v>3013</v>
      </c>
      <c r="AA65" s="36">
        <v>1.3823999999999999</v>
      </c>
      <c r="AB65" s="54">
        <v>14.886400000000002</v>
      </c>
      <c r="AC65" s="54">
        <v>1.0467</v>
      </c>
      <c r="AD65" s="36">
        <v>4.8382000000000041</v>
      </c>
    </row>
    <row r="66" spans="1:30" s="37" customFormat="1" ht="15.75" customHeight="1" x14ac:dyDescent="0.2">
      <c r="A66" s="26">
        <v>890</v>
      </c>
      <c r="B66" s="27" t="s">
        <v>201</v>
      </c>
      <c r="C66" s="27" t="s">
        <v>26</v>
      </c>
      <c r="D66" s="28">
        <v>0.08</v>
      </c>
      <c r="E66" s="29">
        <v>1.81</v>
      </c>
      <c r="F66" s="29">
        <v>0.75</v>
      </c>
      <c r="G66" s="30" t="s">
        <v>39</v>
      </c>
      <c r="H66" s="27" t="s">
        <v>40</v>
      </c>
      <c r="I66" s="27" t="s">
        <v>29</v>
      </c>
      <c r="J66" s="27" t="s">
        <v>109</v>
      </c>
      <c r="K66" s="27" t="s">
        <v>58</v>
      </c>
      <c r="L66" s="31" t="s">
        <v>202</v>
      </c>
      <c r="M66" s="32">
        <v>0.57999999999999996</v>
      </c>
      <c r="N66" s="27" t="s">
        <v>33</v>
      </c>
      <c r="O66" s="27" t="s">
        <v>53</v>
      </c>
      <c r="P66" s="27" t="s">
        <v>187</v>
      </c>
      <c r="Q66" s="27" t="s">
        <v>203</v>
      </c>
      <c r="R66" s="33">
        <v>76021</v>
      </c>
      <c r="S66" s="34">
        <v>42009</v>
      </c>
      <c r="T66" s="34">
        <v>42010</v>
      </c>
      <c r="U66" s="29">
        <v>1.3224</v>
      </c>
      <c r="V66" s="26">
        <v>11</v>
      </c>
      <c r="W66" s="29">
        <v>19.97</v>
      </c>
      <c r="X66" s="26">
        <v>89536</v>
      </c>
      <c r="Y66" s="35">
        <v>7.59</v>
      </c>
      <c r="Z66" s="1" t="s">
        <v>3012</v>
      </c>
      <c r="AA66" s="36">
        <v>1.5928000000000002</v>
      </c>
      <c r="AB66" s="54">
        <v>8.3873999999999995</v>
      </c>
      <c r="AC66" s="54">
        <v>1.0529636363636363</v>
      </c>
      <c r="AD66" s="36">
        <v>16.3048</v>
      </c>
    </row>
    <row r="67" spans="1:30" s="37" customFormat="1" ht="15.75" customHeight="1" x14ac:dyDescent="0.2">
      <c r="A67" s="26">
        <v>451</v>
      </c>
      <c r="B67" s="27" t="s">
        <v>219</v>
      </c>
      <c r="C67" s="27" t="s">
        <v>48</v>
      </c>
      <c r="D67" s="28">
        <v>0.01</v>
      </c>
      <c r="E67" s="29">
        <v>8.8800000000000008</v>
      </c>
      <c r="F67" s="29">
        <v>6.28</v>
      </c>
      <c r="G67" s="30" t="s">
        <v>39</v>
      </c>
      <c r="H67" s="27" t="s">
        <v>71</v>
      </c>
      <c r="I67" s="27" t="s">
        <v>49</v>
      </c>
      <c r="J67" s="27" t="s">
        <v>72</v>
      </c>
      <c r="K67" s="27" t="s">
        <v>73</v>
      </c>
      <c r="L67" s="31" t="s">
        <v>220</v>
      </c>
      <c r="M67" s="32">
        <v>0.35</v>
      </c>
      <c r="N67" s="27" t="s">
        <v>33</v>
      </c>
      <c r="O67" s="27" t="s">
        <v>60</v>
      </c>
      <c r="P67" s="27" t="s">
        <v>90</v>
      </c>
      <c r="Q67" s="27" t="s">
        <v>221</v>
      </c>
      <c r="R67" s="33">
        <v>94024</v>
      </c>
      <c r="S67" s="34">
        <v>42009</v>
      </c>
      <c r="T67" s="34">
        <v>42014</v>
      </c>
      <c r="U67" s="29">
        <v>-15.456</v>
      </c>
      <c r="V67" s="26">
        <v>2</v>
      </c>
      <c r="W67" s="29">
        <v>19.86</v>
      </c>
      <c r="X67" s="26">
        <v>86013</v>
      </c>
      <c r="Y67" s="35">
        <v>243.89999999999998</v>
      </c>
      <c r="Z67" s="1" t="s">
        <v>3013</v>
      </c>
      <c r="AA67" s="36">
        <v>0.17760000000000001</v>
      </c>
      <c r="AB67" s="54">
        <v>12.909000000000001</v>
      </c>
      <c r="AC67" s="54">
        <v>3.4754999999999998</v>
      </c>
      <c r="AD67" s="36">
        <v>28.858399999999996</v>
      </c>
    </row>
    <row r="68" spans="1:30" s="37" customFormat="1" ht="15.75" customHeight="1" x14ac:dyDescent="0.2">
      <c r="A68" s="26">
        <v>1793</v>
      </c>
      <c r="B68" s="27" t="s">
        <v>237</v>
      </c>
      <c r="C68" s="27" t="s">
        <v>26</v>
      </c>
      <c r="D68" s="28">
        <v>0.04</v>
      </c>
      <c r="E68" s="29">
        <v>880.98</v>
      </c>
      <c r="F68" s="29">
        <v>44.55</v>
      </c>
      <c r="G68" s="30" t="s">
        <v>27</v>
      </c>
      <c r="H68" s="27" t="s">
        <v>71</v>
      </c>
      <c r="I68" s="27" t="s">
        <v>29</v>
      </c>
      <c r="J68" s="27" t="s">
        <v>117</v>
      </c>
      <c r="K68" s="27" t="s">
        <v>31</v>
      </c>
      <c r="L68" s="31" t="s">
        <v>238</v>
      </c>
      <c r="M68" s="32">
        <v>0.62</v>
      </c>
      <c r="N68" s="27" t="s">
        <v>33</v>
      </c>
      <c r="O68" s="27" t="s">
        <v>53</v>
      </c>
      <c r="P68" s="27" t="s">
        <v>103</v>
      </c>
      <c r="Q68" s="27" t="s">
        <v>239</v>
      </c>
      <c r="R68" s="33">
        <v>61401</v>
      </c>
      <c r="S68" s="34">
        <v>42010</v>
      </c>
      <c r="T68" s="34">
        <v>42011</v>
      </c>
      <c r="U68" s="29">
        <v>-13706.464</v>
      </c>
      <c r="V68" s="26">
        <v>8</v>
      </c>
      <c r="W68" s="29">
        <v>6968.9</v>
      </c>
      <c r="X68" s="26">
        <v>87853</v>
      </c>
      <c r="Y68" s="35">
        <v>880.94</v>
      </c>
      <c r="Z68" s="1" t="s">
        <v>3012</v>
      </c>
      <c r="AA68" s="36">
        <v>281.91360000000003</v>
      </c>
      <c r="AB68" s="54">
        <v>2648.1819999999998</v>
      </c>
      <c r="AC68" s="54">
        <v>540.08974999999998</v>
      </c>
      <c r="AD68" s="36">
        <v>20348.900399999999</v>
      </c>
    </row>
    <row r="69" spans="1:30" s="37" customFormat="1" ht="15.75" customHeight="1" x14ac:dyDescent="0.2">
      <c r="A69" s="26">
        <v>799</v>
      </c>
      <c r="B69" s="27" t="s">
        <v>269</v>
      </c>
      <c r="C69" s="27" t="s">
        <v>3094</v>
      </c>
      <c r="D69" s="28">
        <v>0.01</v>
      </c>
      <c r="E69" s="29">
        <v>150.97999999999999</v>
      </c>
      <c r="F69" s="29">
        <v>30</v>
      </c>
      <c r="G69" s="30" t="s">
        <v>27</v>
      </c>
      <c r="H69" s="27" t="s">
        <v>40</v>
      </c>
      <c r="I69" s="27" t="s">
        <v>29</v>
      </c>
      <c r="J69" s="27" t="s">
        <v>109</v>
      </c>
      <c r="K69" s="27" t="s">
        <v>58</v>
      </c>
      <c r="L69" s="31" t="s">
        <v>270</v>
      </c>
      <c r="M69" s="32">
        <v>0.74</v>
      </c>
      <c r="N69" s="27" t="s">
        <v>33</v>
      </c>
      <c r="O69" s="27" t="s">
        <v>34</v>
      </c>
      <c r="P69" s="27" t="s">
        <v>271</v>
      </c>
      <c r="Q69" s="27" t="s">
        <v>272</v>
      </c>
      <c r="R69" s="33">
        <v>29915</v>
      </c>
      <c r="S69" s="34">
        <v>42010</v>
      </c>
      <c r="T69" s="34">
        <v>42012</v>
      </c>
      <c r="U69" s="29">
        <v>131.38200000000001</v>
      </c>
      <c r="V69" s="26">
        <v>6</v>
      </c>
      <c r="W69" s="29">
        <v>958.46</v>
      </c>
      <c r="X69" s="26">
        <v>89909</v>
      </c>
      <c r="Y69" s="35">
        <v>2.0700000000000003</v>
      </c>
      <c r="Z69" s="1" t="s">
        <v>3011</v>
      </c>
      <c r="AA69" s="36">
        <v>9.0587999999999997</v>
      </c>
      <c r="AB69" s="54">
        <v>249.1996</v>
      </c>
      <c r="AC69" s="54">
        <v>118.21006666666668</v>
      </c>
      <c r="AD69" s="36">
        <v>788.01920000000007</v>
      </c>
    </row>
    <row r="70" spans="1:30" s="37" customFormat="1" ht="15.75" customHeight="1" x14ac:dyDescent="0.2">
      <c r="A70" s="26">
        <v>783</v>
      </c>
      <c r="B70" s="27" t="s">
        <v>247</v>
      </c>
      <c r="C70" s="27" t="s">
        <v>48</v>
      </c>
      <c r="D70" s="28">
        <v>0.02</v>
      </c>
      <c r="E70" s="29">
        <v>100.98</v>
      </c>
      <c r="F70" s="29">
        <v>35.840000000000003</v>
      </c>
      <c r="G70" s="30" t="s">
        <v>27</v>
      </c>
      <c r="H70" s="27" t="s">
        <v>3095</v>
      </c>
      <c r="I70" s="27" t="s">
        <v>29</v>
      </c>
      <c r="J70" s="27" t="s">
        <v>117</v>
      </c>
      <c r="K70" s="27" t="s">
        <v>31</v>
      </c>
      <c r="L70" s="31" t="s">
        <v>118</v>
      </c>
      <c r="M70" s="32">
        <v>0.62</v>
      </c>
      <c r="N70" s="27" t="s">
        <v>33</v>
      </c>
      <c r="O70" s="27" t="s">
        <v>111</v>
      </c>
      <c r="P70" s="27" t="s">
        <v>248</v>
      </c>
      <c r="Q70" s="27" t="s">
        <v>249</v>
      </c>
      <c r="R70" s="33">
        <v>6010</v>
      </c>
      <c r="S70" s="34">
        <v>42010</v>
      </c>
      <c r="T70" s="34">
        <v>42010</v>
      </c>
      <c r="U70" s="29">
        <v>-134.91200000000001</v>
      </c>
      <c r="V70" s="26">
        <v>6</v>
      </c>
      <c r="W70" s="29">
        <v>614.99</v>
      </c>
      <c r="X70" s="26">
        <v>90961</v>
      </c>
      <c r="Y70" s="35">
        <v>3.25</v>
      </c>
      <c r="Z70" s="1" t="s">
        <v>3014</v>
      </c>
      <c r="AA70" s="36">
        <v>12.117599999999999</v>
      </c>
      <c r="AB70" s="54">
        <v>233.6962</v>
      </c>
      <c r="AC70" s="54">
        <v>63.548966666666665</v>
      </c>
      <c r="AD70" s="36">
        <v>701.94439999999997</v>
      </c>
    </row>
    <row r="71" spans="1:30" s="37" customFormat="1" ht="15.75" customHeight="1" x14ac:dyDescent="0.2">
      <c r="A71" s="26">
        <v>2290</v>
      </c>
      <c r="B71" s="27" t="s">
        <v>279</v>
      </c>
      <c r="C71" s="27" t="s">
        <v>3094</v>
      </c>
      <c r="D71" s="28">
        <v>0</v>
      </c>
      <c r="E71" s="29">
        <v>42.98</v>
      </c>
      <c r="F71" s="29">
        <v>4.62</v>
      </c>
      <c r="G71" s="30" t="s">
        <v>39</v>
      </c>
      <c r="H71" s="27" t="s">
        <v>71</v>
      </c>
      <c r="I71" s="27" t="s">
        <v>49</v>
      </c>
      <c r="J71" s="27" t="s">
        <v>95</v>
      </c>
      <c r="K71" s="27" t="s">
        <v>73</v>
      </c>
      <c r="L71" s="31" t="s">
        <v>280</v>
      </c>
      <c r="M71" s="32">
        <v>0.56000000000000005</v>
      </c>
      <c r="N71" s="27" t="s">
        <v>33</v>
      </c>
      <c r="O71" s="27" t="s">
        <v>53</v>
      </c>
      <c r="P71" s="27" t="s">
        <v>84</v>
      </c>
      <c r="Q71" s="27" t="s">
        <v>281</v>
      </c>
      <c r="R71" s="33">
        <v>55433</v>
      </c>
      <c r="S71" s="34">
        <v>42010</v>
      </c>
      <c r="T71" s="34">
        <v>42012</v>
      </c>
      <c r="U71" s="29">
        <v>385.30290000000002</v>
      </c>
      <c r="V71" s="26">
        <v>12</v>
      </c>
      <c r="W71" s="29">
        <v>558.41</v>
      </c>
      <c r="X71" s="26">
        <v>88163</v>
      </c>
      <c r="Y71" s="35">
        <v>100.96000000000001</v>
      </c>
      <c r="Z71" s="1" t="s">
        <v>3012</v>
      </c>
      <c r="AA71" s="36">
        <v>0</v>
      </c>
      <c r="AB71" s="54">
        <v>245.70039999999995</v>
      </c>
      <c r="AC71" s="54">
        <v>26.059133333333335</v>
      </c>
      <c r="AD71" s="36">
        <v>168.48709999999994</v>
      </c>
    </row>
    <row r="72" spans="1:30" s="37" customFormat="1" ht="15.75" customHeight="1" x14ac:dyDescent="0.2">
      <c r="A72" s="26">
        <v>799</v>
      </c>
      <c r="B72" s="27" t="s">
        <v>269</v>
      </c>
      <c r="C72" s="27" t="s">
        <v>3094</v>
      </c>
      <c r="D72" s="28">
        <v>0.01</v>
      </c>
      <c r="E72" s="29">
        <v>28.28</v>
      </c>
      <c r="F72" s="29">
        <v>13.99</v>
      </c>
      <c r="G72" s="30" t="s">
        <v>87</v>
      </c>
      <c r="H72" s="27" t="s">
        <v>40</v>
      </c>
      <c r="I72" s="27" t="s">
        <v>49</v>
      </c>
      <c r="J72" s="27" t="s">
        <v>78</v>
      </c>
      <c r="K72" s="27" t="s">
        <v>144</v>
      </c>
      <c r="L72" s="31" t="s">
        <v>273</v>
      </c>
      <c r="M72" s="32">
        <v>0.57999999999999996</v>
      </c>
      <c r="N72" s="27" t="s">
        <v>33</v>
      </c>
      <c r="O72" s="27" t="s">
        <v>34</v>
      </c>
      <c r="P72" s="27" t="s">
        <v>271</v>
      </c>
      <c r="Q72" s="27" t="s">
        <v>272</v>
      </c>
      <c r="R72" s="33">
        <v>29915</v>
      </c>
      <c r="S72" s="34">
        <v>42010</v>
      </c>
      <c r="T72" s="34">
        <v>42012</v>
      </c>
      <c r="U72" s="29">
        <v>-89.292000000000002</v>
      </c>
      <c r="V72" s="26">
        <v>12</v>
      </c>
      <c r="W72" s="29">
        <v>368.84</v>
      </c>
      <c r="X72" s="26">
        <v>89909</v>
      </c>
      <c r="Y72" s="35">
        <v>7.05</v>
      </c>
      <c r="Z72" s="1" t="s">
        <v>3011</v>
      </c>
      <c r="AA72" s="36">
        <v>3.3936000000000002</v>
      </c>
      <c r="AB72" s="54">
        <v>154.9128</v>
      </c>
      <c r="AC72" s="54">
        <v>17.827266666666663</v>
      </c>
      <c r="AD72" s="36">
        <v>440.74839999999995</v>
      </c>
    </row>
    <row r="73" spans="1:30" s="37" customFormat="1" ht="15.75" customHeight="1" x14ac:dyDescent="0.2">
      <c r="A73" s="26">
        <v>1829</v>
      </c>
      <c r="B73" s="27" t="s">
        <v>254</v>
      </c>
      <c r="C73" s="27" t="s">
        <v>48</v>
      </c>
      <c r="D73" s="28">
        <v>0.05</v>
      </c>
      <c r="E73" s="29">
        <v>39.06</v>
      </c>
      <c r="F73" s="29">
        <v>10.55</v>
      </c>
      <c r="G73" s="30" t="s">
        <v>39</v>
      </c>
      <c r="H73" s="27" t="s">
        <v>94</v>
      </c>
      <c r="I73" s="27" t="s">
        <v>49</v>
      </c>
      <c r="J73" s="27" t="s">
        <v>72</v>
      </c>
      <c r="K73" s="27" t="s">
        <v>73</v>
      </c>
      <c r="L73" s="31" t="s">
        <v>255</v>
      </c>
      <c r="M73" s="32">
        <v>0.37</v>
      </c>
      <c r="N73" s="27" t="s">
        <v>33</v>
      </c>
      <c r="O73" s="27" t="s">
        <v>53</v>
      </c>
      <c r="P73" s="27" t="s">
        <v>213</v>
      </c>
      <c r="Q73" s="27" t="s">
        <v>256</v>
      </c>
      <c r="R73" s="33">
        <v>52402</v>
      </c>
      <c r="S73" s="34">
        <v>42010</v>
      </c>
      <c r="T73" s="34">
        <v>42017</v>
      </c>
      <c r="U73" s="29">
        <v>250.98060000000001</v>
      </c>
      <c r="V73" s="26">
        <v>9</v>
      </c>
      <c r="W73" s="29">
        <v>363.74</v>
      </c>
      <c r="X73" s="26">
        <v>86960</v>
      </c>
      <c r="Y73" s="35">
        <v>20.91</v>
      </c>
      <c r="Z73" s="1" t="s">
        <v>3012</v>
      </c>
      <c r="AA73" s="36">
        <v>17.577000000000002</v>
      </c>
      <c r="AB73" s="54">
        <v>229.15620000000001</v>
      </c>
      <c r="AC73" s="54">
        <v>14.953755555555556</v>
      </c>
      <c r="AD73" s="36">
        <v>84.632400000000018</v>
      </c>
    </row>
    <row r="74" spans="1:30" s="37" customFormat="1" ht="15.75" customHeight="1" x14ac:dyDescent="0.2">
      <c r="A74" s="26">
        <v>2290</v>
      </c>
      <c r="B74" s="27" t="s">
        <v>279</v>
      </c>
      <c r="C74" s="27" t="s">
        <v>3094</v>
      </c>
      <c r="D74" s="28">
        <v>0.03</v>
      </c>
      <c r="E74" s="29">
        <v>21.78</v>
      </c>
      <c r="F74" s="29">
        <v>5.94</v>
      </c>
      <c r="G74" s="30" t="s">
        <v>39</v>
      </c>
      <c r="H74" s="27" t="s">
        <v>71</v>
      </c>
      <c r="I74" s="27" t="s">
        <v>49</v>
      </c>
      <c r="J74" s="27" t="s">
        <v>95</v>
      </c>
      <c r="K74" s="27" t="s">
        <v>144</v>
      </c>
      <c r="L74" s="31" t="s">
        <v>282</v>
      </c>
      <c r="M74" s="32">
        <v>0.5</v>
      </c>
      <c r="N74" s="27" t="s">
        <v>33</v>
      </c>
      <c r="O74" s="27" t="s">
        <v>53</v>
      </c>
      <c r="P74" s="27" t="s">
        <v>84</v>
      </c>
      <c r="Q74" s="27" t="s">
        <v>281</v>
      </c>
      <c r="R74" s="33">
        <v>55433</v>
      </c>
      <c r="S74" s="34">
        <v>42010</v>
      </c>
      <c r="T74" s="34">
        <v>42012</v>
      </c>
      <c r="U74" s="29">
        <v>187.2</v>
      </c>
      <c r="V74" s="26">
        <v>13</v>
      </c>
      <c r="W74" s="29">
        <v>290.22000000000003</v>
      </c>
      <c r="X74" s="26">
        <v>88163</v>
      </c>
      <c r="Y74" s="35">
        <v>39.010000000000005</v>
      </c>
      <c r="Z74" s="1" t="s">
        <v>3012</v>
      </c>
      <c r="AA74" s="36">
        <v>8.4941999999999993</v>
      </c>
      <c r="AB74" s="54">
        <v>145.11000000000001</v>
      </c>
      <c r="AC74" s="54">
        <v>11.162307692307694</v>
      </c>
      <c r="AD74" s="36">
        <v>88.585800000000035</v>
      </c>
    </row>
    <row r="75" spans="1:30" s="37" customFormat="1" ht="15.75" customHeight="1" x14ac:dyDescent="0.2">
      <c r="A75" s="26">
        <v>3285</v>
      </c>
      <c r="B75" s="27" t="s">
        <v>283</v>
      </c>
      <c r="C75" s="27" t="s">
        <v>3094</v>
      </c>
      <c r="D75" s="28">
        <v>0.01</v>
      </c>
      <c r="E75" s="29">
        <v>30.98</v>
      </c>
      <c r="F75" s="29">
        <v>5.09</v>
      </c>
      <c r="G75" s="30" t="s">
        <v>39</v>
      </c>
      <c r="H75" s="27" t="s">
        <v>40</v>
      </c>
      <c r="I75" s="27" t="s">
        <v>49</v>
      </c>
      <c r="J75" s="27" t="s">
        <v>88</v>
      </c>
      <c r="K75" s="27" t="s">
        <v>73</v>
      </c>
      <c r="L75" s="31" t="s">
        <v>286</v>
      </c>
      <c r="M75" s="32">
        <v>0.4</v>
      </c>
      <c r="N75" s="27" t="s">
        <v>33</v>
      </c>
      <c r="O75" s="27" t="s">
        <v>34</v>
      </c>
      <c r="P75" s="27" t="s">
        <v>242</v>
      </c>
      <c r="Q75" s="27" t="s">
        <v>285</v>
      </c>
      <c r="R75" s="33">
        <v>20170</v>
      </c>
      <c r="S75" s="34">
        <v>42010</v>
      </c>
      <c r="T75" s="34">
        <v>42012</v>
      </c>
      <c r="U75" s="29">
        <v>896.40599999999995</v>
      </c>
      <c r="V75" s="26">
        <v>9</v>
      </c>
      <c r="W75" s="29">
        <v>288.42</v>
      </c>
      <c r="X75" s="26">
        <v>90750</v>
      </c>
      <c r="Y75" s="35">
        <v>3.48</v>
      </c>
      <c r="Z75" s="1" t="s">
        <v>3011</v>
      </c>
      <c r="AA75" s="36">
        <v>2.7882000000000002</v>
      </c>
      <c r="AB75" s="54">
        <v>173.05199999999999</v>
      </c>
      <c r="AC75" s="54">
        <v>12.818666666666667</v>
      </c>
      <c r="AD75" s="36">
        <v>-615.86419999999998</v>
      </c>
    </row>
    <row r="76" spans="1:30" s="37" customFormat="1" ht="15.75" customHeight="1" x14ac:dyDescent="0.2">
      <c r="A76" s="26">
        <v>211</v>
      </c>
      <c r="B76" s="27" t="s">
        <v>262</v>
      </c>
      <c r="C76" s="27" t="s">
        <v>116</v>
      </c>
      <c r="D76" s="28">
        <v>0</v>
      </c>
      <c r="E76" s="29">
        <v>65.989999999999995</v>
      </c>
      <c r="F76" s="29">
        <v>5.92</v>
      </c>
      <c r="G76" s="30" t="s">
        <v>39</v>
      </c>
      <c r="H76" s="27" t="s">
        <v>40</v>
      </c>
      <c r="I76" s="27" t="s">
        <v>41</v>
      </c>
      <c r="J76" s="27" t="s">
        <v>135</v>
      </c>
      <c r="K76" s="27" t="s">
        <v>73</v>
      </c>
      <c r="L76" s="31" t="s">
        <v>264</v>
      </c>
      <c r="M76" s="32">
        <v>0.55000000000000004</v>
      </c>
      <c r="N76" s="27" t="s">
        <v>33</v>
      </c>
      <c r="O76" s="27" t="s">
        <v>111</v>
      </c>
      <c r="P76" s="27" t="s">
        <v>112</v>
      </c>
      <c r="Q76" s="27" t="s">
        <v>263</v>
      </c>
      <c r="R76" s="33">
        <v>13501</v>
      </c>
      <c r="S76" s="34">
        <v>42010</v>
      </c>
      <c r="T76" s="34">
        <v>42012</v>
      </c>
      <c r="U76" s="29">
        <v>-107.98699999999999</v>
      </c>
      <c r="V76" s="26">
        <v>3</v>
      </c>
      <c r="W76" s="29">
        <v>173.32</v>
      </c>
      <c r="X76" s="26">
        <v>85964</v>
      </c>
      <c r="Y76" s="35">
        <v>15.49</v>
      </c>
      <c r="Z76" s="1" t="s">
        <v>3014</v>
      </c>
      <c r="AA76" s="36">
        <v>0</v>
      </c>
      <c r="AB76" s="54">
        <v>77.993999999999986</v>
      </c>
      <c r="AC76" s="54">
        <v>31.775333333333336</v>
      </c>
      <c r="AD76" s="36">
        <v>275.387</v>
      </c>
    </row>
    <row r="77" spans="1:30" s="37" customFormat="1" ht="15.75" customHeight="1" x14ac:dyDescent="0.2">
      <c r="A77" s="26">
        <v>1828</v>
      </c>
      <c r="B77" s="27" t="s">
        <v>250</v>
      </c>
      <c r="C77" s="27" t="s">
        <v>48</v>
      </c>
      <c r="D77" s="28">
        <v>0.04</v>
      </c>
      <c r="E77" s="29">
        <v>20.95</v>
      </c>
      <c r="F77" s="29">
        <v>4</v>
      </c>
      <c r="G77" s="30" t="s">
        <v>39</v>
      </c>
      <c r="H77" s="27" t="s">
        <v>94</v>
      </c>
      <c r="I77" s="27" t="s">
        <v>41</v>
      </c>
      <c r="J77" s="27" t="s">
        <v>42</v>
      </c>
      <c r="K77" s="27" t="s">
        <v>73</v>
      </c>
      <c r="L77" s="31" t="s">
        <v>253</v>
      </c>
      <c r="M77" s="32">
        <v>0.6</v>
      </c>
      <c r="N77" s="27" t="s">
        <v>33</v>
      </c>
      <c r="O77" s="27" t="s">
        <v>53</v>
      </c>
      <c r="P77" s="27" t="s">
        <v>213</v>
      </c>
      <c r="Q77" s="27" t="s">
        <v>252</v>
      </c>
      <c r="R77" s="33">
        <v>50613</v>
      </c>
      <c r="S77" s="34">
        <v>42010</v>
      </c>
      <c r="T77" s="34">
        <v>42015</v>
      </c>
      <c r="U77" s="29">
        <v>-1.88</v>
      </c>
      <c r="V77" s="26">
        <v>7</v>
      </c>
      <c r="W77" s="29">
        <v>142.06</v>
      </c>
      <c r="X77" s="26">
        <v>86960</v>
      </c>
      <c r="Y77" s="35">
        <v>20.29</v>
      </c>
      <c r="Z77" s="1" t="s">
        <v>3012</v>
      </c>
      <c r="AA77" s="36">
        <v>5.8659999999999997</v>
      </c>
      <c r="AB77" s="54">
        <v>56.824000000000005</v>
      </c>
      <c r="AC77" s="54">
        <v>12.176571428571428</v>
      </c>
      <c r="AD77" s="36">
        <v>134.07400000000001</v>
      </c>
    </row>
    <row r="78" spans="1:30" s="37" customFormat="1" ht="15.75" customHeight="1" x14ac:dyDescent="0.2">
      <c r="A78" s="26">
        <v>1828</v>
      </c>
      <c r="B78" s="27" t="s">
        <v>250</v>
      </c>
      <c r="C78" s="27" t="s">
        <v>48</v>
      </c>
      <c r="D78" s="28">
        <v>0.05</v>
      </c>
      <c r="E78" s="29">
        <v>7.1</v>
      </c>
      <c r="F78" s="29">
        <v>6.05</v>
      </c>
      <c r="G78" s="30" t="s">
        <v>39</v>
      </c>
      <c r="H78" s="27" t="s">
        <v>94</v>
      </c>
      <c r="I78" s="27" t="s">
        <v>49</v>
      </c>
      <c r="J78" s="27" t="s">
        <v>72</v>
      </c>
      <c r="K78" s="27" t="s">
        <v>73</v>
      </c>
      <c r="L78" s="31" t="s">
        <v>251</v>
      </c>
      <c r="M78" s="32">
        <v>0.39</v>
      </c>
      <c r="N78" s="27" t="s">
        <v>33</v>
      </c>
      <c r="O78" s="27" t="s">
        <v>53</v>
      </c>
      <c r="P78" s="27" t="s">
        <v>213</v>
      </c>
      <c r="Q78" s="27" t="s">
        <v>252</v>
      </c>
      <c r="R78" s="33">
        <v>50613</v>
      </c>
      <c r="S78" s="34">
        <v>42010</v>
      </c>
      <c r="T78" s="34">
        <v>42010</v>
      </c>
      <c r="U78" s="29">
        <v>-101.246</v>
      </c>
      <c r="V78" s="26">
        <v>14</v>
      </c>
      <c r="W78" s="29">
        <v>100.99</v>
      </c>
      <c r="X78" s="26">
        <v>86960</v>
      </c>
      <c r="Y78" s="35">
        <v>10.050000000000001</v>
      </c>
      <c r="Z78" s="1" t="s">
        <v>3012</v>
      </c>
      <c r="AA78" s="36">
        <v>4.97</v>
      </c>
      <c r="AB78" s="54">
        <v>61.603899999999996</v>
      </c>
      <c r="AC78" s="54">
        <v>2.8132928571428573</v>
      </c>
      <c r="AD78" s="36">
        <v>191.21600000000001</v>
      </c>
    </row>
    <row r="79" spans="1:30" s="37" customFormat="1" ht="15.75" customHeight="1" x14ac:dyDescent="0.2">
      <c r="A79" s="26">
        <v>2146</v>
      </c>
      <c r="B79" s="27" t="s">
        <v>259</v>
      </c>
      <c r="C79" s="27" t="s">
        <v>48</v>
      </c>
      <c r="D79" s="28">
        <v>0.05</v>
      </c>
      <c r="E79" s="29">
        <v>20.34</v>
      </c>
      <c r="F79" s="29">
        <v>35</v>
      </c>
      <c r="G79" s="30" t="s">
        <v>39</v>
      </c>
      <c r="H79" s="27" t="s">
        <v>94</v>
      </c>
      <c r="I79" s="27" t="s">
        <v>49</v>
      </c>
      <c r="J79" s="27" t="s">
        <v>78</v>
      </c>
      <c r="K79" s="27" t="s">
        <v>65</v>
      </c>
      <c r="L79" s="31" t="s">
        <v>260</v>
      </c>
      <c r="M79" s="32">
        <v>0.84</v>
      </c>
      <c r="N79" s="27" t="s">
        <v>33</v>
      </c>
      <c r="O79" s="27" t="s">
        <v>34</v>
      </c>
      <c r="P79" s="27" t="s">
        <v>242</v>
      </c>
      <c r="Q79" s="27" t="s">
        <v>261</v>
      </c>
      <c r="R79" s="33">
        <v>20151</v>
      </c>
      <c r="S79" s="34">
        <v>42010</v>
      </c>
      <c r="T79" s="34">
        <v>42014</v>
      </c>
      <c r="U79" s="29">
        <v>52.776000000000003</v>
      </c>
      <c r="V79" s="26">
        <v>2</v>
      </c>
      <c r="W79" s="29">
        <v>53.02</v>
      </c>
      <c r="X79" s="26">
        <v>87071</v>
      </c>
      <c r="Y79" s="35">
        <v>65.989999999999995</v>
      </c>
      <c r="Z79" s="1" t="s">
        <v>3011</v>
      </c>
      <c r="AA79" s="36">
        <v>2.0340000000000003</v>
      </c>
      <c r="AB79" s="54">
        <v>8.4832000000000019</v>
      </c>
      <c r="AC79" s="54">
        <v>22.2684</v>
      </c>
      <c r="AD79" s="36">
        <v>-36.790000000000013</v>
      </c>
    </row>
    <row r="80" spans="1:30" s="37" customFormat="1" ht="15.75" customHeight="1" x14ac:dyDescent="0.2">
      <c r="A80" s="26">
        <v>1950</v>
      </c>
      <c r="B80" s="27" t="s">
        <v>275</v>
      </c>
      <c r="C80" s="27" t="s">
        <v>3094</v>
      </c>
      <c r="D80" s="28">
        <v>0.01</v>
      </c>
      <c r="E80" s="29">
        <v>6.68</v>
      </c>
      <c r="F80" s="29">
        <v>4.91</v>
      </c>
      <c r="G80" s="30" t="s">
        <v>39</v>
      </c>
      <c r="H80" s="27" t="s">
        <v>3095</v>
      </c>
      <c r="I80" s="27" t="s">
        <v>49</v>
      </c>
      <c r="J80" s="27" t="s">
        <v>88</v>
      </c>
      <c r="K80" s="27" t="s">
        <v>73</v>
      </c>
      <c r="L80" s="31" t="s">
        <v>276</v>
      </c>
      <c r="M80" s="32">
        <v>0.37</v>
      </c>
      <c r="N80" s="27" t="s">
        <v>33</v>
      </c>
      <c r="O80" s="27" t="s">
        <v>60</v>
      </c>
      <c r="P80" s="27" t="s">
        <v>277</v>
      </c>
      <c r="Q80" s="27" t="s">
        <v>278</v>
      </c>
      <c r="R80" s="33">
        <v>59750</v>
      </c>
      <c r="S80" s="34">
        <v>42010</v>
      </c>
      <c r="T80" s="34">
        <v>42012</v>
      </c>
      <c r="U80" s="29">
        <v>-15.48</v>
      </c>
      <c r="V80" s="26">
        <v>7</v>
      </c>
      <c r="W80" s="29">
        <v>51.03</v>
      </c>
      <c r="X80" s="26">
        <v>90414</v>
      </c>
      <c r="Y80" s="35">
        <v>7.6099999999999994</v>
      </c>
      <c r="Z80" s="1" t="s">
        <v>3013</v>
      </c>
      <c r="AA80" s="36">
        <v>0.46760000000000002</v>
      </c>
      <c r="AB80" s="54">
        <v>32.148899999999998</v>
      </c>
      <c r="AC80" s="54">
        <v>2.6972999999999998</v>
      </c>
      <c r="AD80" s="36">
        <v>61.132400000000004</v>
      </c>
    </row>
    <row r="81" spans="1:30" s="37" customFormat="1" ht="15.75" customHeight="1" x14ac:dyDescent="0.2">
      <c r="A81" s="26">
        <v>3347</v>
      </c>
      <c r="B81" s="27" t="s">
        <v>265</v>
      </c>
      <c r="C81" s="27" t="s">
        <v>116</v>
      </c>
      <c r="D81" s="28">
        <v>0.05</v>
      </c>
      <c r="E81" s="29">
        <v>6.64</v>
      </c>
      <c r="F81" s="29">
        <v>4.95</v>
      </c>
      <c r="G81" s="30" t="s">
        <v>87</v>
      </c>
      <c r="H81" s="27" t="s">
        <v>40</v>
      </c>
      <c r="I81" s="27" t="s">
        <v>29</v>
      </c>
      <c r="J81" s="27" t="s">
        <v>126</v>
      </c>
      <c r="K81" s="27" t="s">
        <v>43</v>
      </c>
      <c r="L81" s="31" t="s">
        <v>268</v>
      </c>
      <c r="M81" s="32">
        <v>0.37</v>
      </c>
      <c r="N81" s="27" t="s">
        <v>33</v>
      </c>
      <c r="O81" s="27" t="s">
        <v>34</v>
      </c>
      <c r="P81" s="27" t="s">
        <v>123</v>
      </c>
      <c r="Q81" s="27" t="s">
        <v>267</v>
      </c>
      <c r="R81" s="33">
        <v>33411</v>
      </c>
      <c r="S81" s="34">
        <v>42010</v>
      </c>
      <c r="T81" s="34">
        <v>42012</v>
      </c>
      <c r="U81" s="29">
        <v>-92.929199999999994</v>
      </c>
      <c r="V81" s="26">
        <v>5</v>
      </c>
      <c r="W81" s="29">
        <v>34.17</v>
      </c>
      <c r="X81" s="26">
        <v>89355</v>
      </c>
      <c r="Y81" s="35">
        <v>6.59</v>
      </c>
      <c r="Z81" s="1" t="s">
        <v>3011</v>
      </c>
      <c r="AA81" s="36">
        <v>1.6600000000000001</v>
      </c>
      <c r="AB81" s="54">
        <v>21.527100000000001</v>
      </c>
      <c r="AC81" s="54">
        <v>2.5285800000000003</v>
      </c>
      <c r="AD81" s="36">
        <v>120.4892</v>
      </c>
    </row>
    <row r="82" spans="1:30" s="37" customFormat="1" ht="15.75" customHeight="1" x14ac:dyDescent="0.2">
      <c r="A82" s="26">
        <v>799</v>
      </c>
      <c r="B82" s="27" t="s">
        <v>269</v>
      </c>
      <c r="C82" s="27" t="s">
        <v>3094</v>
      </c>
      <c r="D82" s="28">
        <v>0.03</v>
      </c>
      <c r="E82" s="29">
        <v>35.99</v>
      </c>
      <c r="F82" s="29">
        <v>1.1000000000000001</v>
      </c>
      <c r="G82" s="30" t="s">
        <v>39</v>
      </c>
      <c r="H82" s="27" t="s">
        <v>40</v>
      </c>
      <c r="I82" s="27" t="s">
        <v>41</v>
      </c>
      <c r="J82" s="27" t="s">
        <v>135</v>
      </c>
      <c r="K82" s="27" t="s">
        <v>73</v>
      </c>
      <c r="L82" s="31" t="s">
        <v>274</v>
      </c>
      <c r="M82" s="32">
        <v>0.55000000000000004</v>
      </c>
      <c r="N82" s="27" t="s">
        <v>33</v>
      </c>
      <c r="O82" s="27" t="s">
        <v>34</v>
      </c>
      <c r="P82" s="27" t="s">
        <v>271</v>
      </c>
      <c r="Q82" s="27" t="s">
        <v>272</v>
      </c>
      <c r="R82" s="33">
        <v>29915</v>
      </c>
      <c r="S82" s="34">
        <v>42010</v>
      </c>
      <c r="T82" s="34">
        <v>42011</v>
      </c>
      <c r="U82" s="29">
        <v>-211.036</v>
      </c>
      <c r="V82" s="26">
        <v>1</v>
      </c>
      <c r="W82" s="29">
        <v>30.86</v>
      </c>
      <c r="X82" s="26">
        <v>89909</v>
      </c>
      <c r="Y82" s="35">
        <v>150.97</v>
      </c>
      <c r="Z82" s="1" t="s">
        <v>3011</v>
      </c>
      <c r="AA82" s="36">
        <v>1.0797000000000001</v>
      </c>
      <c r="AB82" s="54">
        <v>13.886999999999999</v>
      </c>
      <c r="AC82" s="54">
        <v>16.973000000000003</v>
      </c>
      <c r="AD82" s="36">
        <v>239.71629999999999</v>
      </c>
    </row>
    <row r="83" spans="1:30" s="37" customFormat="1" ht="15.75" customHeight="1" x14ac:dyDescent="0.2">
      <c r="A83" s="26">
        <v>1782</v>
      </c>
      <c r="B83" s="27" t="s">
        <v>244</v>
      </c>
      <c r="C83" s="27" t="s">
        <v>38</v>
      </c>
      <c r="D83" s="28">
        <v>0.03</v>
      </c>
      <c r="E83" s="29">
        <v>3.28</v>
      </c>
      <c r="F83" s="29">
        <v>3.97</v>
      </c>
      <c r="G83" s="30" t="s">
        <v>39</v>
      </c>
      <c r="H83" s="27" t="s">
        <v>71</v>
      </c>
      <c r="I83" s="27" t="s">
        <v>49</v>
      </c>
      <c r="J83" s="27" t="s">
        <v>50</v>
      </c>
      <c r="K83" s="27" t="s">
        <v>51</v>
      </c>
      <c r="L83" s="31" t="s">
        <v>245</v>
      </c>
      <c r="M83" s="32">
        <v>0.56000000000000005</v>
      </c>
      <c r="N83" s="27" t="s">
        <v>33</v>
      </c>
      <c r="O83" s="27" t="s">
        <v>60</v>
      </c>
      <c r="P83" s="27" t="s">
        <v>90</v>
      </c>
      <c r="Q83" s="27" t="s">
        <v>246</v>
      </c>
      <c r="R83" s="33">
        <v>92672</v>
      </c>
      <c r="S83" s="34">
        <v>42010</v>
      </c>
      <c r="T83" s="34">
        <v>42012</v>
      </c>
      <c r="U83" s="29">
        <v>-90.755600000000001</v>
      </c>
      <c r="V83" s="26">
        <v>7</v>
      </c>
      <c r="W83" s="29">
        <v>24.57</v>
      </c>
      <c r="X83" s="26">
        <v>89856</v>
      </c>
      <c r="Y83" s="35">
        <v>28.27</v>
      </c>
      <c r="Z83" s="1" t="s">
        <v>3013</v>
      </c>
      <c r="AA83" s="36">
        <v>0.68879999999999986</v>
      </c>
      <c r="AB83" s="54">
        <v>10.810799999999999</v>
      </c>
      <c r="AC83" s="54">
        <v>1.9656000000000002</v>
      </c>
      <c r="AD83" s="36">
        <v>110.66679999999999</v>
      </c>
    </row>
    <row r="84" spans="1:30" s="37" customFormat="1" ht="15.75" customHeight="1" x14ac:dyDescent="0.2">
      <c r="A84" s="26">
        <v>3347</v>
      </c>
      <c r="B84" s="27" t="s">
        <v>265</v>
      </c>
      <c r="C84" s="27" t="s">
        <v>116</v>
      </c>
      <c r="D84" s="28">
        <v>7.0000000000000007E-2</v>
      </c>
      <c r="E84" s="29">
        <v>7.68</v>
      </c>
      <c r="F84" s="29">
        <v>6.16</v>
      </c>
      <c r="G84" s="30" t="s">
        <v>87</v>
      </c>
      <c r="H84" s="27" t="s">
        <v>40</v>
      </c>
      <c r="I84" s="27" t="s">
        <v>49</v>
      </c>
      <c r="J84" s="27" t="s">
        <v>72</v>
      </c>
      <c r="K84" s="27" t="s">
        <v>73</v>
      </c>
      <c r="L84" s="31" t="s">
        <v>266</v>
      </c>
      <c r="M84" s="32">
        <v>0.35</v>
      </c>
      <c r="N84" s="27" t="s">
        <v>33</v>
      </c>
      <c r="O84" s="27" t="s">
        <v>34</v>
      </c>
      <c r="P84" s="27" t="s">
        <v>123</v>
      </c>
      <c r="Q84" s="27" t="s">
        <v>267</v>
      </c>
      <c r="R84" s="33">
        <v>33411</v>
      </c>
      <c r="S84" s="34">
        <v>42010</v>
      </c>
      <c r="T84" s="34">
        <v>42012</v>
      </c>
      <c r="U84" s="29">
        <v>125.9982</v>
      </c>
      <c r="V84" s="26">
        <v>1</v>
      </c>
      <c r="W84" s="29">
        <v>22.13</v>
      </c>
      <c r="X84" s="26">
        <v>89355</v>
      </c>
      <c r="Y84" s="35">
        <v>35.96</v>
      </c>
      <c r="Z84" s="1" t="s">
        <v>3011</v>
      </c>
      <c r="AA84" s="36">
        <v>0.53760000000000008</v>
      </c>
      <c r="AB84" s="54">
        <v>14.384499999999999</v>
      </c>
      <c r="AC84" s="54">
        <v>7.7454999999999989</v>
      </c>
      <c r="AD84" s="36">
        <v>-110.5658</v>
      </c>
    </row>
    <row r="85" spans="1:30" s="37" customFormat="1" ht="15.75" customHeight="1" x14ac:dyDescent="0.2">
      <c r="A85" s="26">
        <v>1829</v>
      </c>
      <c r="B85" s="27" t="s">
        <v>254</v>
      </c>
      <c r="C85" s="27" t="s">
        <v>48</v>
      </c>
      <c r="D85" s="28">
        <v>0.02</v>
      </c>
      <c r="E85" s="29">
        <v>15.51</v>
      </c>
      <c r="F85" s="29">
        <v>17.78</v>
      </c>
      <c r="G85" s="30" t="s">
        <v>39</v>
      </c>
      <c r="H85" s="27" t="s">
        <v>94</v>
      </c>
      <c r="I85" s="27" t="s">
        <v>49</v>
      </c>
      <c r="J85" s="27" t="s">
        <v>78</v>
      </c>
      <c r="K85" s="27" t="s">
        <v>73</v>
      </c>
      <c r="L85" s="31" t="s">
        <v>258</v>
      </c>
      <c r="M85" s="32">
        <v>0.59</v>
      </c>
      <c r="N85" s="27" t="s">
        <v>33</v>
      </c>
      <c r="O85" s="27" t="s">
        <v>53</v>
      </c>
      <c r="P85" s="27" t="s">
        <v>213</v>
      </c>
      <c r="Q85" s="27" t="s">
        <v>256</v>
      </c>
      <c r="R85" s="33">
        <v>52402</v>
      </c>
      <c r="S85" s="34">
        <v>42010</v>
      </c>
      <c r="T85" s="34">
        <v>42017</v>
      </c>
      <c r="U85" s="29">
        <v>-47.97</v>
      </c>
      <c r="V85" s="26">
        <v>1</v>
      </c>
      <c r="W85" s="29">
        <v>21.28</v>
      </c>
      <c r="X85" s="26">
        <v>86960</v>
      </c>
      <c r="Y85" s="35">
        <v>6.67</v>
      </c>
      <c r="Z85" s="1" t="s">
        <v>3012</v>
      </c>
      <c r="AA85" s="36">
        <v>0.31019999999999998</v>
      </c>
      <c r="AB85" s="54">
        <v>8.7248000000000019</v>
      </c>
      <c r="AC85" s="54">
        <v>12.555199999999999</v>
      </c>
      <c r="AD85" s="36">
        <v>51.159800000000004</v>
      </c>
    </row>
    <row r="86" spans="1:30" s="37" customFormat="1" ht="15.75" customHeight="1" x14ac:dyDescent="0.2">
      <c r="A86" s="26">
        <v>211</v>
      </c>
      <c r="B86" s="27" t="s">
        <v>262</v>
      </c>
      <c r="C86" s="27" t="s">
        <v>116</v>
      </c>
      <c r="D86" s="28">
        <v>0.01</v>
      </c>
      <c r="E86" s="29">
        <v>10.06</v>
      </c>
      <c r="F86" s="29">
        <v>2.06</v>
      </c>
      <c r="G86" s="30" t="s">
        <v>39</v>
      </c>
      <c r="H86" s="27" t="s">
        <v>40</v>
      </c>
      <c r="I86" s="27" t="s">
        <v>49</v>
      </c>
      <c r="J86" s="27" t="s">
        <v>88</v>
      </c>
      <c r="K86" s="27" t="s">
        <v>51</v>
      </c>
      <c r="L86" s="31" t="s">
        <v>173</v>
      </c>
      <c r="M86" s="32">
        <v>0.39</v>
      </c>
      <c r="N86" s="27" t="s">
        <v>33</v>
      </c>
      <c r="O86" s="27" t="s">
        <v>111</v>
      </c>
      <c r="P86" s="27" t="s">
        <v>112</v>
      </c>
      <c r="Q86" s="27" t="s">
        <v>263</v>
      </c>
      <c r="R86" s="33">
        <v>13501</v>
      </c>
      <c r="S86" s="34">
        <v>42010</v>
      </c>
      <c r="T86" s="34">
        <v>42012</v>
      </c>
      <c r="U86" s="29">
        <v>7.59</v>
      </c>
      <c r="V86" s="26">
        <v>2</v>
      </c>
      <c r="W86" s="29">
        <v>21.2</v>
      </c>
      <c r="X86" s="26">
        <v>85964</v>
      </c>
      <c r="Y86" s="35">
        <v>42.98</v>
      </c>
      <c r="Z86" s="1" t="s">
        <v>3014</v>
      </c>
      <c r="AA86" s="36">
        <v>0.20120000000000002</v>
      </c>
      <c r="AB86" s="54">
        <v>12.931999999999999</v>
      </c>
      <c r="AC86" s="54">
        <v>4.1340000000000003</v>
      </c>
      <c r="AD86" s="36">
        <v>11.348799999999999</v>
      </c>
    </row>
    <row r="87" spans="1:30" s="37" customFormat="1" ht="15.75" customHeight="1" x14ac:dyDescent="0.2">
      <c r="A87" s="26">
        <v>1829</v>
      </c>
      <c r="B87" s="27" t="s">
        <v>254</v>
      </c>
      <c r="C87" s="27" t="s">
        <v>48</v>
      </c>
      <c r="D87" s="28">
        <v>0.04</v>
      </c>
      <c r="E87" s="29">
        <v>3.52</v>
      </c>
      <c r="F87" s="29">
        <v>6.83</v>
      </c>
      <c r="G87" s="30" t="s">
        <v>39</v>
      </c>
      <c r="H87" s="27" t="s">
        <v>94</v>
      </c>
      <c r="I87" s="27" t="s">
        <v>49</v>
      </c>
      <c r="J87" s="27" t="s">
        <v>72</v>
      </c>
      <c r="K87" s="27" t="s">
        <v>73</v>
      </c>
      <c r="L87" s="31" t="s">
        <v>257</v>
      </c>
      <c r="M87" s="32">
        <v>0.38</v>
      </c>
      <c r="N87" s="27" t="s">
        <v>33</v>
      </c>
      <c r="O87" s="27" t="s">
        <v>53</v>
      </c>
      <c r="P87" s="27" t="s">
        <v>213</v>
      </c>
      <c r="Q87" s="27" t="s">
        <v>256</v>
      </c>
      <c r="R87" s="33">
        <v>52402</v>
      </c>
      <c r="S87" s="34">
        <v>42010</v>
      </c>
      <c r="T87" s="34">
        <v>42019</v>
      </c>
      <c r="U87" s="29">
        <v>-57.753</v>
      </c>
      <c r="V87" s="26">
        <v>4</v>
      </c>
      <c r="W87" s="29">
        <v>15.93</v>
      </c>
      <c r="X87" s="26">
        <v>86960</v>
      </c>
      <c r="Y87" s="35">
        <v>21.75</v>
      </c>
      <c r="Z87" s="1" t="s">
        <v>3012</v>
      </c>
      <c r="AA87" s="36">
        <v>0.56320000000000003</v>
      </c>
      <c r="AB87" s="54">
        <v>9.8765999999999998</v>
      </c>
      <c r="AC87" s="54">
        <v>1.51335</v>
      </c>
      <c r="AD87" s="36">
        <v>66.2898</v>
      </c>
    </row>
    <row r="88" spans="1:30" s="37" customFormat="1" ht="15.75" customHeight="1" x14ac:dyDescent="0.2">
      <c r="A88" s="26">
        <v>3285</v>
      </c>
      <c r="B88" s="27" t="s">
        <v>283</v>
      </c>
      <c r="C88" s="27" t="s">
        <v>3094</v>
      </c>
      <c r="D88" s="28">
        <v>0.06</v>
      </c>
      <c r="E88" s="29">
        <v>1.7</v>
      </c>
      <c r="F88" s="29">
        <v>1.99</v>
      </c>
      <c r="G88" s="30" t="s">
        <v>39</v>
      </c>
      <c r="H88" s="27" t="s">
        <v>40</v>
      </c>
      <c r="I88" s="27" t="s">
        <v>41</v>
      </c>
      <c r="J88" s="27" t="s">
        <v>42</v>
      </c>
      <c r="K88" s="27" t="s">
        <v>43</v>
      </c>
      <c r="L88" s="31" t="s">
        <v>284</v>
      </c>
      <c r="M88" s="32">
        <v>0.51</v>
      </c>
      <c r="N88" s="27" t="s">
        <v>33</v>
      </c>
      <c r="O88" s="27" t="s">
        <v>34</v>
      </c>
      <c r="P88" s="27" t="s">
        <v>242</v>
      </c>
      <c r="Q88" s="27" t="s">
        <v>285</v>
      </c>
      <c r="R88" s="33">
        <v>20170</v>
      </c>
      <c r="S88" s="34">
        <v>42010</v>
      </c>
      <c r="T88" s="34">
        <v>42011</v>
      </c>
      <c r="U88" s="29">
        <v>80.071200000000005</v>
      </c>
      <c r="V88" s="26">
        <v>7</v>
      </c>
      <c r="W88" s="29">
        <v>12.15</v>
      </c>
      <c r="X88" s="26">
        <v>90750</v>
      </c>
      <c r="Y88" s="35">
        <v>1.64</v>
      </c>
      <c r="Z88" s="1" t="s">
        <v>3011</v>
      </c>
      <c r="AA88" s="36">
        <v>0.71399999999999997</v>
      </c>
      <c r="AB88" s="54">
        <v>5.9535</v>
      </c>
      <c r="AC88" s="54">
        <v>0.88521428571428573</v>
      </c>
      <c r="AD88" s="36">
        <v>-70.625199999999992</v>
      </c>
    </row>
    <row r="89" spans="1:30" s="37" customFormat="1" ht="15.75" customHeight="1" x14ac:dyDescent="0.2">
      <c r="A89" s="26">
        <v>2418</v>
      </c>
      <c r="B89" s="27" t="s">
        <v>240</v>
      </c>
      <c r="C89" s="27" t="s">
        <v>26</v>
      </c>
      <c r="D89" s="28">
        <v>0.03</v>
      </c>
      <c r="E89" s="29">
        <v>2.1</v>
      </c>
      <c r="F89" s="29">
        <v>0.7</v>
      </c>
      <c r="G89" s="30" t="s">
        <v>39</v>
      </c>
      <c r="H89" s="27" t="s">
        <v>40</v>
      </c>
      <c r="I89" s="27" t="s">
        <v>49</v>
      </c>
      <c r="J89" s="27" t="s">
        <v>50</v>
      </c>
      <c r="K89" s="27" t="s">
        <v>51</v>
      </c>
      <c r="L89" s="31" t="s">
        <v>241</v>
      </c>
      <c r="M89" s="32">
        <v>0.56999999999999995</v>
      </c>
      <c r="N89" s="27" t="s">
        <v>33</v>
      </c>
      <c r="O89" s="27" t="s">
        <v>34</v>
      </c>
      <c r="P89" s="27" t="s">
        <v>242</v>
      </c>
      <c r="Q89" s="27" t="s">
        <v>243</v>
      </c>
      <c r="R89" s="33">
        <v>23805</v>
      </c>
      <c r="S89" s="34">
        <v>42010</v>
      </c>
      <c r="T89" s="34">
        <v>42011</v>
      </c>
      <c r="U89" s="29">
        <v>-1473.9059999999999</v>
      </c>
      <c r="V89" s="26">
        <v>4</v>
      </c>
      <c r="W89" s="29">
        <v>8.7200000000000006</v>
      </c>
      <c r="X89" s="26">
        <v>86750</v>
      </c>
      <c r="Y89" s="35">
        <v>30.97</v>
      </c>
      <c r="Z89" s="1" t="s">
        <v>3011</v>
      </c>
      <c r="AA89" s="36">
        <v>0.252</v>
      </c>
      <c r="AB89" s="54">
        <v>3.7496000000000005</v>
      </c>
      <c r="AC89" s="54">
        <v>1.2425999999999999</v>
      </c>
      <c r="AD89" s="36">
        <v>1481.674</v>
      </c>
    </row>
    <row r="90" spans="1:30" s="37" customFormat="1" ht="15.75" customHeight="1" x14ac:dyDescent="0.2">
      <c r="A90" s="26">
        <v>1606</v>
      </c>
      <c r="B90" s="27" t="s">
        <v>310</v>
      </c>
      <c r="C90" s="27" t="s">
        <v>116</v>
      </c>
      <c r="D90" s="28">
        <v>7.0000000000000007E-2</v>
      </c>
      <c r="E90" s="29">
        <v>6783.02</v>
      </c>
      <c r="F90" s="29">
        <v>24.49</v>
      </c>
      <c r="G90" s="30" t="s">
        <v>39</v>
      </c>
      <c r="H90" s="27" t="s">
        <v>71</v>
      </c>
      <c r="I90" s="27" t="s">
        <v>41</v>
      </c>
      <c r="J90" s="27" t="s">
        <v>57</v>
      </c>
      <c r="K90" s="27" t="s">
        <v>65</v>
      </c>
      <c r="L90" s="31" t="s">
        <v>314</v>
      </c>
      <c r="M90" s="32">
        <v>0.39</v>
      </c>
      <c r="N90" s="27" t="s">
        <v>33</v>
      </c>
      <c r="O90" s="27" t="s">
        <v>111</v>
      </c>
      <c r="P90" s="27" t="s">
        <v>112</v>
      </c>
      <c r="Q90" s="27" t="s">
        <v>312</v>
      </c>
      <c r="R90" s="33">
        <v>11010</v>
      </c>
      <c r="S90" s="34">
        <v>42011</v>
      </c>
      <c r="T90" s="34">
        <v>42012</v>
      </c>
      <c r="U90" s="29">
        <v>77.983599999999996</v>
      </c>
      <c r="V90" s="26">
        <v>2</v>
      </c>
      <c r="W90" s="29">
        <v>13121.07</v>
      </c>
      <c r="X90" s="26">
        <v>87993</v>
      </c>
      <c r="Y90" s="35">
        <v>14.17</v>
      </c>
      <c r="Z90" s="1" t="s">
        <v>3014</v>
      </c>
      <c r="AA90" s="36">
        <v>949.6228000000001</v>
      </c>
      <c r="AB90" s="54">
        <v>8003.8526999999995</v>
      </c>
      <c r="AC90" s="54">
        <v>2558.6086500000001</v>
      </c>
      <c r="AD90" s="36">
        <v>12068.973599999999</v>
      </c>
    </row>
    <row r="91" spans="1:30" s="37" customFormat="1" ht="15.75" customHeight="1" x14ac:dyDescent="0.2">
      <c r="A91" s="26">
        <v>3079</v>
      </c>
      <c r="B91" s="27" t="s">
        <v>319</v>
      </c>
      <c r="C91" s="27" t="s">
        <v>116</v>
      </c>
      <c r="D91" s="28">
        <v>0</v>
      </c>
      <c r="E91" s="29">
        <v>137.47999999999999</v>
      </c>
      <c r="F91" s="29">
        <v>32.18</v>
      </c>
      <c r="G91" s="30" t="s">
        <v>27</v>
      </c>
      <c r="H91" s="27" t="s">
        <v>3095</v>
      </c>
      <c r="I91" s="27" t="s">
        <v>29</v>
      </c>
      <c r="J91" s="27" t="s">
        <v>117</v>
      </c>
      <c r="K91" s="27" t="s">
        <v>31</v>
      </c>
      <c r="L91" s="31" t="s">
        <v>316</v>
      </c>
      <c r="M91" s="32">
        <v>0.78</v>
      </c>
      <c r="N91" s="27" t="s">
        <v>33</v>
      </c>
      <c r="O91" s="27" t="s">
        <v>111</v>
      </c>
      <c r="P91" s="27" t="s">
        <v>320</v>
      </c>
      <c r="Q91" s="27" t="s">
        <v>321</v>
      </c>
      <c r="R91" s="33">
        <v>19112</v>
      </c>
      <c r="S91" s="34">
        <v>42011</v>
      </c>
      <c r="T91" s="34">
        <v>42012</v>
      </c>
      <c r="U91" s="29">
        <v>-203.27</v>
      </c>
      <c r="V91" s="26">
        <v>10</v>
      </c>
      <c r="W91" s="29">
        <v>1483.76</v>
      </c>
      <c r="X91" s="26">
        <v>12480</v>
      </c>
      <c r="Y91" s="35">
        <v>2.83</v>
      </c>
      <c r="Z91" s="1" t="s">
        <v>3014</v>
      </c>
      <c r="AA91" s="36">
        <v>0</v>
      </c>
      <c r="AB91" s="54">
        <v>326.42719999999997</v>
      </c>
      <c r="AC91" s="54">
        <v>115.73328000000001</v>
      </c>
      <c r="AD91" s="36">
        <v>1654.85</v>
      </c>
    </row>
    <row r="92" spans="1:30" s="37" customFormat="1" ht="15.75" customHeight="1" x14ac:dyDescent="0.2">
      <c r="A92" s="26">
        <v>1606</v>
      </c>
      <c r="B92" s="27" t="s">
        <v>310</v>
      </c>
      <c r="C92" s="27" t="s">
        <v>116</v>
      </c>
      <c r="D92" s="28">
        <v>7.0000000000000007E-2</v>
      </c>
      <c r="E92" s="29">
        <v>699.99</v>
      </c>
      <c r="F92" s="29">
        <v>24.49</v>
      </c>
      <c r="G92" s="30" t="s">
        <v>87</v>
      </c>
      <c r="H92" s="27" t="s">
        <v>71</v>
      </c>
      <c r="I92" s="27" t="s">
        <v>41</v>
      </c>
      <c r="J92" s="27" t="s">
        <v>64</v>
      </c>
      <c r="K92" s="27" t="s">
        <v>65</v>
      </c>
      <c r="L92" s="31" t="s">
        <v>313</v>
      </c>
      <c r="M92" s="32">
        <v>0.41</v>
      </c>
      <c r="N92" s="27" t="s">
        <v>33</v>
      </c>
      <c r="O92" s="27" t="s">
        <v>111</v>
      </c>
      <c r="P92" s="27" t="s">
        <v>112</v>
      </c>
      <c r="Q92" s="27" t="s">
        <v>312</v>
      </c>
      <c r="R92" s="33">
        <v>11010</v>
      </c>
      <c r="S92" s="34">
        <v>42011</v>
      </c>
      <c r="T92" s="34">
        <v>42012</v>
      </c>
      <c r="U92" s="29">
        <v>-2870.2775999999999</v>
      </c>
      <c r="V92" s="26">
        <v>1</v>
      </c>
      <c r="W92" s="29">
        <v>706.56</v>
      </c>
      <c r="X92" s="26">
        <v>87993</v>
      </c>
      <c r="Y92" s="35">
        <v>15.91</v>
      </c>
      <c r="Z92" s="1" t="s">
        <v>3014</v>
      </c>
      <c r="AA92" s="36">
        <v>48.999300000000005</v>
      </c>
      <c r="AB92" s="54">
        <v>416.87040000000002</v>
      </c>
      <c r="AC92" s="54">
        <v>289.68959999999998</v>
      </c>
      <c r="AD92" s="36">
        <v>3503.3483000000001</v>
      </c>
    </row>
    <row r="93" spans="1:30" s="37" customFormat="1" ht="15.75" customHeight="1" x14ac:dyDescent="0.2">
      <c r="A93" s="26">
        <v>3076</v>
      </c>
      <c r="B93" s="27" t="s">
        <v>315</v>
      </c>
      <c r="C93" s="27" t="s">
        <v>116</v>
      </c>
      <c r="D93" s="28">
        <v>0</v>
      </c>
      <c r="E93" s="29">
        <v>137.47999999999999</v>
      </c>
      <c r="F93" s="29">
        <v>32.18</v>
      </c>
      <c r="G93" s="30" t="s">
        <v>27</v>
      </c>
      <c r="H93" s="27" t="s">
        <v>3095</v>
      </c>
      <c r="I93" s="27" t="s">
        <v>29</v>
      </c>
      <c r="J93" s="27" t="s">
        <v>117</v>
      </c>
      <c r="K93" s="27" t="s">
        <v>31</v>
      </c>
      <c r="L93" s="31" t="s">
        <v>316</v>
      </c>
      <c r="M93" s="32">
        <v>0.78</v>
      </c>
      <c r="N93" s="27" t="s">
        <v>33</v>
      </c>
      <c r="O93" s="27" t="s">
        <v>111</v>
      </c>
      <c r="P93" s="27" t="s">
        <v>317</v>
      </c>
      <c r="Q93" s="27" t="s">
        <v>318</v>
      </c>
      <c r="R93" s="33">
        <v>44224</v>
      </c>
      <c r="S93" s="34">
        <v>42011</v>
      </c>
      <c r="T93" s="34">
        <v>42012</v>
      </c>
      <c r="U93" s="29">
        <v>-203.27</v>
      </c>
      <c r="V93" s="26">
        <v>2</v>
      </c>
      <c r="W93" s="29">
        <v>296.75</v>
      </c>
      <c r="X93" s="26">
        <v>88241</v>
      </c>
      <c r="Y93" s="35">
        <v>65.92</v>
      </c>
      <c r="Z93" s="1" t="s">
        <v>3014</v>
      </c>
      <c r="AA93" s="36">
        <v>0</v>
      </c>
      <c r="AB93" s="54">
        <v>65.284999999999997</v>
      </c>
      <c r="AC93" s="54">
        <v>115.7325</v>
      </c>
      <c r="AD93" s="36">
        <v>467.84000000000003</v>
      </c>
    </row>
    <row r="94" spans="1:30" s="37" customFormat="1" ht="15.75" customHeight="1" x14ac:dyDescent="0.2">
      <c r="A94" s="26">
        <v>619</v>
      </c>
      <c r="B94" s="27" t="s">
        <v>287</v>
      </c>
      <c r="C94" s="27" t="s">
        <v>26</v>
      </c>
      <c r="D94" s="28">
        <v>0.03</v>
      </c>
      <c r="E94" s="29">
        <v>14.2</v>
      </c>
      <c r="F94" s="29">
        <v>5.3</v>
      </c>
      <c r="G94" s="30" t="s">
        <v>39</v>
      </c>
      <c r="H94" s="27" t="s">
        <v>40</v>
      </c>
      <c r="I94" s="27" t="s">
        <v>29</v>
      </c>
      <c r="J94" s="27" t="s">
        <v>126</v>
      </c>
      <c r="K94" s="27" t="s">
        <v>51</v>
      </c>
      <c r="L94" s="31" t="s">
        <v>288</v>
      </c>
      <c r="M94" s="32">
        <v>0.46</v>
      </c>
      <c r="N94" s="27" t="s">
        <v>33</v>
      </c>
      <c r="O94" s="27" t="s">
        <v>53</v>
      </c>
      <c r="P94" s="27" t="s">
        <v>289</v>
      </c>
      <c r="Q94" s="27" t="s">
        <v>290</v>
      </c>
      <c r="R94" s="33">
        <v>48195</v>
      </c>
      <c r="S94" s="34">
        <v>42011</v>
      </c>
      <c r="T94" s="34">
        <v>42012</v>
      </c>
      <c r="U94" s="29">
        <v>107.02</v>
      </c>
      <c r="V94" s="26">
        <v>14</v>
      </c>
      <c r="W94" s="29">
        <v>205.98</v>
      </c>
      <c r="X94" s="26">
        <v>88196</v>
      </c>
      <c r="Y94" s="35">
        <v>5.05</v>
      </c>
      <c r="Z94" s="1" t="s">
        <v>3012</v>
      </c>
      <c r="AA94" s="36">
        <v>5.9639999999999995</v>
      </c>
      <c r="AB94" s="54">
        <v>111.22920000000001</v>
      </c>
      <c r="AC94" s="54">
        <v>6.7679142857142862</v>
      </c>
      <c r="AD94" s="36">
        <v>87.695999999999998</v>
      </c>
    </row>
    <row r="95" spans="1:30" s="37" customFormat="1" ht="15.75" customHeight="1" x14ac:dyDescent="0.2">
      <c r="A95" s="26">
        <v>3303</v>
      </c>
      <c r="B95" s="27" t="s">
        <v>304</v>
      </c>
      <c r="C95" s="27" t="s">
        <v>48</v>
      </c>
      <c r="D95" s="28">
        <v>0.04</v>
      </c>
      <c r="E95" s="29">
        <v>33.89</v>
      </c>
      <c r="F95" s="29">
        <v>5.0999999999999996</v>
      </c>
      <c r="G95" s="30" t="s">
        <v>39</v>
      </c>
      <c r="H95" s="27" t="s">
        <v>71</v>
      </c>
      <c r="I95" s="27" t="s">
        <v>49</v>
      </c>
      <c r="J95" s="27" t="s">
        <v>78</v>
      </c>
      <c r="K95" s="27" t="s">
        <v>73</v>
      </c>
      <c r="L95" s="31" t="s">
        <v>305</v>
      </c>
      <c r="M95" s="32">
        <v>0.6</v>
      </c>
      <c r="N95" s="27" t="s">
        <v>33</v>
      </c>
      <c r="O95" s="27" t="s">
        <v>34</v>
      </c>
      <c r="P95" s="27" t="s">
        <v>123</v>
      </c>
      <c r="Q95" s="27" t="s">
        <v>306</v>
      </c>
      <c r="R95" s="33">
        <v>33461</v>
      </c>
      <c r="S95" s="34">
        <v>42011</v>
      </c>
      <c r="T95" s="34">
        <v>42016</v>
      </c>
      <c r="U95" s="29">
        <v>68.676000000000002</v>
      </c>
      <c r="V95" s="26">
        <v>6</v>
      </c>
      <c r="W95" s="29">
        <v>200.64</v>
      </c>
      <c r="X95" s="26">
        <v>87795</v>
      </c>
      <c r="Y95" s="35">
        <v>7.08</v>
      </c>
      <c r="Z95" s="1" t="s">
        <v>3011</v>
      </c>
      <c r="AA95" s="36">
        <v>8.1336000000000013</v>
      </c>
      <c r="AB95" s="54">
        <v>80.256</v>
      </c>
      <c r="AC95" s="54">
        <v>20.063999999999997</v>
      </c>
      <c r="AD95" s="36">
        <v>118.73039999999999</v>
      </c>
    </row>
    <row r="96" spans="1:30" s="37" customFormat="1" ht="15.75" customHeight="1" x14ac:dyDescent="0.2">
      <c r="A96" s="26">
        <v>651</v>
      </c>
      <c r="B96" s="27" t="s">
        <v>294</v>
      </c>
      <c r="C96" s="27" t="s">
        <v>38</v>
      </c>
      <c r="D96" s="28">
        <v>0.08</v>
      </c>
      <c r="E96" s="29">
        <v>15.99</v>
      </c>
      <c r="F96" s="29">
        <v>13.18</v>
      </c>
      <c r="G96" s="30" t="s">
        <v>39</v>
      </c>
      <c r="H96" s="27" t="s">
        <v>40</v>
      </c>
      <c r="I96" s="27" t="s">
        <v>49</v>
      </c>
      <c r="J96" s="27" t="s">
        <v>72</v>
      </c>
      <c r="K96" s="27" t="s">
        <v>73</v>
      </c>
      <c r="L96" s="31" t="s">
        <v>295</v>
      </c>
      <c r="M96" s="32">
        <v>0.37</v>
      </c>
      <c r="N96" s="27" t="s">
        <v>33</v>
      </c>
      <c r="O96" s="27" t="s">
        <v>60</v>
      </c>
      <c r="P96" s="27" t="s">
        <v>296</v>
      </c>
      <c r="Q96" s="27" t="s">
        <v>297</v>
      </c>
      <c r="R96" s="33">
        <v>89115</v>
      </c>
      <c r="S96" s="34">
        <v>42011</v>
      </c>
      <c r="T96" s="34">
        <v>42012</v>
      </c>
      <c r="U96" s="29">
        <v>-246.92616000000001</v>
      </c>
      <c r="V96" s="26">
        <v>12</v>
      </c>
      <c r="W96" s="29">
        <v>192.33</v>
      </c>
      <c r="X96" s="26">
        <v>91575</v>
      </c>
      <c r="Y96" s="35">
        <v>33.85</v>
      </c>
      <c r="Z96" s="1" t="s">
        <v>3013</v>
      </c>
      <c r="AA96" s="36">
        <v>15.3504</v>
      </c>
      <c r="AB96" s="54">
        <v>121.1679</v>
      </c>
      <c r="AC96" s="54">
        <v>5.9301750000000002</v>
      </c>
      <c r="AD96" s="36">
        <v>410.72576000000004</v>
      </c>
    </row>
    <row r="97" spans="1:30" s="37" customFormat="1" ht="15.75" customHeight="1" x14ac:dyDescent="0.2">
      <c r="A97" s="26">
        <v>2630</v>
      </c>
      <c r="B97" s="27" t="s">
        <v>205</v>
      </c>
      <c r="C97" s="27" t="s">
        <v>38</v>
      </c>
      <c r="D97" s="28">
        <v>7.0000000000000007E-2</v>
      </c>
      <c r="E97" s="29">
        <v>65.989999999999995</v>
      </c>
      <c r="F97" s="29">
        <v>5.99</v>
      </c>
      <c r="G97" s="30" t="s">
        <v>39</v>
      </c>
      <c r="H97" s="27" t="s">
        <v>3095</v>
      </c>
      <c r="I97" s="27" t="s">
        <v>41</v>
      </c>
      <c r="J97" s="27" t="s">
        <v>135</v>
      </c>
      <c r="K97" s="27" t="s">
        <v>73</v>
      </c>
      <c r="L97" s="31" t="s">
        <v>298</v>
      </c>
      <c r="M97" s="32">
        <v>0.57999999999999996</v>
      </c>
      <c r="N97" s="27" t="s">
        <v>33</v>
      </c>
      <c r="O97" s="27" t="s">
        <v>53</v>
      </c>
      <c r="P97" s="27" t="s">
        <v>207</v>
      </c>
      <c r="Q97" s="27" t="s">
        <v>208</v>
      </c>
      <c r="R97" s="33">
        <v>73071</v>
      </c>
      <c r="S97" s="34">
        <v>42011</v>
      </c>
      <c r="T97" s="34">
        <v>42012</v>
      </c>
      <c r="U97" s="29">
        <v>-139.18256</v>
      </c>
      <c r="V97" s="26">
        <v>3</v>
      </c>
      <c r="W97" s="29">
        <v>165.71</v>
      </c>
      <c r="X97" s="26">
        <v>85915</v>
      </c>
      <c r="Y97" s="35">
        <v>73.95</v>
      </c>
      <c r="Z97" s="1" t="s">
        <v>3012</v>
      </c>
      <c r="AA97" s="36">
        <v>13.857900000000001</v>
      </c>
      <c r="AB97" s="54">
        <v>69.598200000000006</v>
      </c>
      <c r="AC97" s="54">
        <v>32.037266666666667</v>
      </c>
      <c r="AD97" s="36">
        <v>285.04466000000002</v>
      </c>
    </row>
    <row r="98" spans="1:30" s="37" customFormat="1" ht="15.75" customHeight="1" x14ac:dyDescent="0.2">
      <c r="A98" s="26">
        <v>1367</v>
      </c>
      <c r="B98" s="27" t="s">
        <v>307</v>
      </c>
      <c r="C98" s="27" t="s">
        <v>116</v>
      </c>
      <c r="D98" s="28">
        <v>0.03</v>
      </c>
      <c r="E98" s="29">
        <v>73.98</v>
      </c>
      <c r="F98" s="29">
        <v>14.52</v>
      </c>
      <c r="G98" s="30" t="s">
        <v>39</v>
      </c>
      <c r="H98" s="27" t="s">
        <v>40</v>
      </c>
      <c r="I98" s="27" t="s">
        <v>41</v>
      </c>
      <c r="J98" s="27" t="s">
        <v>42</v>
      </c>
      <c r="K98" s="27" t="s">
        <v>73</v>
      </c>
      <c r="L98" s="31" t="s">
        <v>308</v>
      </c>
      <c r="M98" s="32">
        <v>0.65</v>
      </c>
      <c r="N98" s="27" t="s">
        <v>33</v>
      </c>
      <c r="O98" s="27" t="s">
        <v>53</v>
      </c>
      <c r="P98" s="27" t="s">
        <v>187</v>
      </c>
      <c r="Q98" s="27" t="s">
        <v>309</v>
      </c>
      <c r="R98" s="33">
        <v>79424</v>
      </c>
      <c r="S98" s="34">
        <v>42011</v>
      </c>
      <c r="T98" s="34">
        <v>42014</v>
      </c>
      <c r="U98" s="29">
        <v>-326.23160000000001</v>
      </c>
      <c r="V98" s="26">
        <v>1</v>
      </c>
      <c r="W98" s="29">
        <v>79.02</v>
      </c>
      <c r="X98" s="26">
        <v>90513</v>
      </c>
      <c r="Y98" s="35">
        <v>1.93</v>
      </c>
      <c r="Z98" s="1" t="s">
        <v>3012</v>
      </c>
      <c r="AA98" s="36">
        <v>2.2193999999999998</v>
      </c>
      <c r="AB98" s="54">
        <v>27.656999999999996</v>
      </c>
      <c r="AC98" s="54">
        <v>51.363</v>
      </c>
      <c r="AD98" s="36">
        <v>388.51220000000001</v>
      </c>
    </row>
    <row r="99" spans="1:30" s="37" customFormat="1" ht="15.75" customHeight="1" x14ac:dyDescent="0.2">
      <c r="A99" s="26">
        <v>3123</v>
      </c>
      <c r="B99" s="27" t="s">
        <v>302</v>
      </c>
      <c r="C99" s="27" t="s">
        <v>48</v>
      </c>
      <c r="D99" s="28">
        <v>0.02</v>
      </c>
      <c r="E99" s="29">
        <v>7.1</v>
      </c>
      <c r="F99" s="29">
        <v>6.05</v>
      </c>
      <c r="G99" s="30" t="s">
        <v>39</v>
      </c>
      <c r="H99" s="27" t="s">
        <v>71</v>
      </c>
      <c r="I99" s="27" t="s">
        <v>49</v>
      </c>
      <c r="J99" s="27" t="s">
        <v>72</v>
      </c>
      <c r="K99" s="27" t="s">
        <v>73</v>
      </c>
      <c r="L99" s="31" t="s">
        <v>251</v>
      </c>
      <c r="M99" s="32">
        <v>0.39</v>
      </c>
      <c r="N99" s="27" t="s">
        <v>33</v>
      </c>
      <c r="O99" s="27" t="s">
        <v>53</v>
      </c>
      <c r="P99" s="27" t="s">
        <v>103</v>
      </c>
      <c r="Q99" s="27" t="s">
        <v>303</v>
      </c>
      <c r="R99" s="33">
        <v>60160</v>
      </c>
      <c r="S99" s="34">
        <v>42011</v>
      </c>
      <c r="T99" s="34">
        <v>42013</v>
      </c>
      <c r="U99" s="29">
        <v>-48.875</v>
      </c>
      <c r="V99" s="26">
        <v>8</v>
      </c>
      <c r="W99" s="29">
        <v>61.5</v>
      </c>
      <c r="X99" s="26">
        <v>87287</v>
      </c>
      <c r="Y99" s="35">
        <v>699.92</v>
      </c>
      <c r="Z99" s="1" t="s">
        <v>3012</v>
      </c>
      <c r="AA99" s="36">
        <v>1.1359999999999999</v>
      </c>
      <c r="AB99" s="54">
        <v>37.515000000000001</v>
      </c>
      <c r="AC99" s="54">
        <v>2.9981249999999999</v>
      </c>
      <c r="AD99" s="36">
        <v>103.18899999999999</v>
      </c>
    </row>
    <row r="100" spans="1:30" s="37" customFormat="1" ht="15.75" customHeight="1" x14ac:dyDescent="0.2">
      <c r="A100" s="26">
        <v>1781</v>
      </c>
      <c r="B100" s="27" t="s">
        <v>299</v>
      </c>
      <c r="C100" s="27" t="s">
        <v>48</v>
      </c>
      <c r="D100" s="28">
        <v>0.03</v>
      </c>
      <c r="E100" s="29">
        <v>5.08</v>
      </c>
      <c r="F100" s="29">
        <v>2.0299999999999998</v>
      </c>
      <c r="G100" s="30" t="s">
        <v>39</v>
      </c>
      <c r="H100" s="27" t="s">
        <v>71</v>
      </c>
      <c r="I100" s="27" t="s">
        <v>29</v>
      </c>
      <c r="J100" s="27" t="s">
        <v>126</v>
      </c>
      <c r="K100" s="27" t="s">
        <v>51</v>
      </c>
      <c r="L100" s="31" t="s">
        <v>300</v>
      </c>
      <c r="M100" s="32">
        <v>0.51</v>
      </c>
      <c r="N100" s="27" t="s">
        <v>33</v>
      </c>
      <c r="O100" s="27" t="s">
        <v>60</v>
      </c>
      <c r="P100" s="27" t="s">
        <v>90</v>
      </c>
      <c r="Q100" s="27" t="s">
        <v>301</v>
      </c>
      <c r="R100" s="33">
        <v>94070</v>
      </c>
      <c r="S100" s="34">
        <v>42011</v>
      </c>
      <c r="T100" s="34">
        <v>42016</v>
      </c>
      <c r="U100" s="29">
        <v>15.1524</v>
      </c>
      <c r="V100" s="26">
        <v>4</v>
      </c>
      <c r="W100" s="29">
        <v>21.96</v>
      </c>
      <c r="X100" s="26">
        <v>89858</v>
      </c>
      <c r="Y100" s="35">
        <v>6782.9500000000007</v>
      </c>
      <c r="Z100" s="1" t="s">
        <v>3013</v>
      </c>
      <c r="AA100" s="36">
        <v>0.60960000000000003</v>
      </c>
      <c r="AB100" s="54">
        <v>10.760400000000001</v>
      </c>
      <c r="AC100" s="54">
        <v>2.7999000000000001</v>
      </c>
      <c r="AD100" s="36">
        <v>4.1679999999999993</v>
      </c>
    </row>
    <row r="101" spans="1:30" s="37" customFormat="1" ht="15.75" customHeight="1" x14ac:dyDescent="0.2">
      <c r="A101" s="26">
        <v>3</v>
      </c>
      <c r="B101" s="27" t="s">
        <v>291</v>
      </c>
      <c r="C101" s="27" t="s">
        <v>38</v>
      </c>
      <c r="D101" s="28">
        <v>0.01</v>
      </c>
      <c r="E101" s="29">
        <v>2.84</v>
      </c>
      <c r="F101" s="29">
        <v>0.93</v>
      </c>
      <c r="G101" s="30" t="s">
        <v>87</v>
      </c>
      <c r="H101" s="27" t="s">
        <v>94</v>
      </c>
      <c r="I101" s="27" t="s">
        <v>49</v>
      </c>
      <c r="J101" s="27" t="s">
        <v>50</v>
      </c>
      <c r="K101" s="27" t="s">
        <v>51</v>
      </c>
      <c r="L101" s="31" t="s">
        <v>292</v>
      </c>
      <c r="M101" s="32">
        <v>0.54</v>
      </c>
      <c r="N101" s="27" t="s">
        <v>33</v>
      </c>
      <c r="O101" s="27" t="s">
        <v>60</v>
      </c>
      <c r="P101" s="27" t="s">
        <v>67</v>
      </c>
      <c r="Q101" s="27" t="s">
        <v>293</v>
      </c>
      <c r="R101" s="33">
        <v>98221</v>
      </c>
      <c r="S101" s="34">
        <v>42011</v>
      </c>
      <c r="T101" s="34">
        <v>42012</v>
      </c>
      <c r="U101" s="29">
        <v>4.5599999999999996</v>
      </c>
      <c r="V101" s="26">
        <v>4</v>
      </c>
      <c r="W101" s="29">
        <v>13.01</v>
      </c>
      <c r="X101" s="26">
        <v>88522</v>
      </c>
      <c r="Y101" s="35">
        <v>137.47999999999999</v>
      </c>
      <c r="Z101" s="1" t="s">
        <v>3013</v>
      </c>
      <c r="AA101" s="36">
        <v>0.11359999999999999</v>
      </c>
      <c r="AB101" s="54">
        <v>5.9845999999999995</v>
      </c>
      <c r="AC101" s="54">
        <v>1.7563500000000001</v>
      </c>
      <c r="AD101" s="36">
        <v>7.4064000000000005</v>
      </c>
    </row>
    <row r="102" spans="1:30" s="37" customFormat="1" ht="15.75" customHeight="1" x14ac:dyDescent="0.2">
      <c r="A102" s="26">
        <v>1606</v>
      </c>
      <c r="B102" s="27" t="s">
        <v>310</v>
      </c>
      <c r="C102" s="27" t="s">
        <v>116</v>
      </c>
      <c r="D102" s="28">
        <v>0.05</v>
      </c>
      <c r="E102" s="29">
        <v>1.98</v>
      </c>
      <c r="F102" s="29">
        <v>4.7699999999999996</v>
      </c>
      <c r="G102" s="30" t="s">
        <v>39</v>
      </c>
      <c r="H102" s="27" t="s">
        <v>71</v>
      </c>
      <c r="I102" s="27" t="s">
        <v>49</v>
      </c>
      <c r="J102" s="27" t="s">
        <v>72</v>
      </c>
      <c r="K102" s="27" t="s">
        <v>73</v>
      </c>
      <c r="L102" s="31" t="s">
        <v>311</v>
      </c>
      <c r="M102" s="32">
        <v>0.4</v>
      </c>
      <c r="N102" s="27" t="s">
        <v>33</v>
      </c>
      <c r="O102" s="27" t="s">
        <v>111</v>
      </c>
      <c r="P102" s="27" t="s">
        <v>112</v>
      </c>
      <c r="Q102" s="27" t="s">
        <v>312</v>
      </c>
      <c r="R102" s="33">
        <v>11010</v>
      </c>
      <c r="S102" s="34">
        <v>42011</v>
      </c>
      <c r="T102" s="34">
        <v>42012</v>
      </c>
      <c r="U102" s="29">
        <v>-14.359819999999999</v>
      </c>
      <c r="V102" s="26">
        <v>1</v>
      </c>
      <c r="W102" s="29">
        <v>3.53</v>
      </c>
      <c r="X102" s="26">
        <v>87993</v>
      </c>
      <c r="Y102" s="35">
        <v>137.47999999999999</v>
      </c>
      <c r="Z102" s="1" t="s">
        <v>3014</v>
      </c>
      <c r="AA102" s="36">
        <v>9.9000000000000005E-2</v>
      </c>
      <c r="AB102" s="54">
        <v>2.1179999999999999</v>
      </c>
      <c r="AC102" s="54">
        <v>1.4119999999999999</v>
      </c>
      <c r="AD102" s="36">
        <v>13.020819999999999</v>
      </c>
    </row>
    <row r="103" spans="1:30" s="37" customFormat="1" ht="15.75" customHeight="1" x14ac:dyDescent="0.2">
      <c r="A103" s="26">
        <v>2868</v>
      </c>
      <c r="B103" s="27" t="s">
        <v>322</v>
      </c>
      <c r="C103" s="27" t="s">
        <v>38</v>
      </c>
      <c r="D103" s="28">
        <v>0.03</v>
      </c>
      <c r="E103" s="29">
        <v>896.99</v>
      </c>
      <c r="F103" s="29">
        <v>19.989999999999998</v>
      </c>
      <c r="G103" s="30" t="s">
        <v>39</v>
      </c>
      <c r="H103" s="27" t="s">
        <v>94</v>
      </c>
      <c r="I103" s="27" t="s">
        <v>49</v>
      </c>
      <c r="J103" s="27" t="s">
        <v>72</v>
      </c>
      <c r="K103" s="27" t="s">
        <v>73</v>
      </c>
      <c r="L103" s="31" t="s">
        <v>323</v>
      </c>
      <c r="M103" s="32">
        <v>0.38</v>
      </c>
      <c r="N103" s="27" t="s">
        <v>33</v>
      </c>
      <c r="O103" s="27" t="s">
        <v>60</v>
      </c>
      <c r="P103" s="27" t="s">
        <v>67</v>
      </c>
      <c r="Q103" s="27" t="s">
        <v>324</v>
      </c>
      <c r="R103" s="33">
        <v>98026</v>
      </c>
      <c r="S103" s="34">
        <v>42012</v>
      </c>
      <c r="T103" s="34">
        <v>42014</v>
      </c>
      <c r="U103" s="29">
        <v>3602.1311999999998</v>
      </c>
      <c r="V103" s="26">
        <v>6</v>
      </c>
      <c r="W103" s="29">
        <v>5220.4799999999996</v>
      </c>
      <c r="X103" s="26">
        <v>85826</v>
      </c>
      <c r="Y103" s="35">
        <v>896.96</v>
      </c>
      <c r="Z103" s="1" t="s">
        <v>3013</v>
      </c>
      <c r="AA103" s="36">
        <v>161.45820000000001</v>
      </c>
      <c r="AB103" s="54">
        <v>3236.6975999999995</v>
      </c>
      <c r="AC103" s="54">
        <v>330.63039999999995</v>
      </c>
      <c r="AD103" s="36">
        <v>1436.9005999999999</v>
      </c>
    </row>
    <row r="104" spans="1:30" s="37" customFormat="1" ht="15.75" customHeight="1" x14ac:dyDescent="0.2">
      <c r="A104" s="26">
        <v>2099</v>
      </c>
      <c r="B104" s="27" t="s">
        <v>333</v>
      </c>
      <c r="C104" s="27" t="s">
        <v>3094</v>
      </c>
      <c r="D104" s="28">
        <v>7.0000000000000007E-2</v>
      </c>
      <c r="E104" s="29">
        <v>14.56</v>
      </c>
      <c r="F104" s="29">
        <v>3.5</v>
      </c>
      <c r="G104" s="30" t="s">
        <v>39</v>
      </c>
      <c r="H104" s="27" t="s">
        <v>71</v>
      </c>
      <c r="I104" s="27" t="s">
        <v>49</v>
      </c>
      <c r="J104" s="27" t="s">
        <v>95</v>
      </c>
      <c r="K104" s="27" t="s">
        <v>73</v>
      </c>
      <c r="L104" s="31" t="s">
        <v>334</v>
      </c>
      <c r="M104" s="32">
        <v>0.57999999999999996</v>
      </c>
      <c r="N104" s="27" t="s">
        <v>33</v>
      </c>
      <c r="O104" s="27" t="s">
        <v>34</v>
      </c>
      <c r="P104" s="27" t="s">
        <v>271</v>
      </c>
      <c r="Q104" s="27" t="s">
        <v>335</v>
      </c>
      <c r="R104" s="33">
        <v>29577</v>
      </c>
      <c r="S104" s="34">
        <v>42012</v>
      </c>
      <c r="T104" s="34">
        <v>42013</v>
      </c>
      <c r="U104" s="29">
        <v>-45.527999999999999</v>
      </c>
      <c r="V104" s="26">
        <v>6</v>
      </c>
      <c r="W104" s="29">
        <v>84.59</v>
      </c>
      <c r="X104" s="26">
        <v>87888</v>
      </c>
      <c r="Y104" s="35">
        <v>4.0599999999999996</v>
      </c>
      <c r="Z104" s="1" t="s">
        <v>3011</v>
      </c>
      <c r="AA104" s="36">
        <v>6.1152000000000006</v>
      </c>
      <c r="AB104" s="54">
        <v>35.527800000000006</v>
      </c>
      <c r="AC104" s="54">
        <v>8.177033333333334</v>
      </c>
      <c r="AD104" s="36">
        <v>120.50280000000001</v>
      </c>
    </row>
    <row r="105" spans="1:30" s="37" customFormat="1" ht="15.75" customHeight="1" x14ac:dyDescent="0.2">
      <c r="A105" s="26">
        <v>2508</v>
      </c>
      <c r="B105" s="27" t="s">
        <v>329</v>
      </c>
      <c r="C105" s="27" t="s">
        <v>48</v>
      </c>
      <c r="D105" s="28">
        <v>0.02</v>
      </c>
      <c r="E105" s="29">
        <v>5.81</v>
      </c>
      <c r="F105" s="29">
        <v>8.49</v>
      </c>
      <c r="G105" s="30" t="s">
        <v>39</v>
      </c>
      <c r="H105" s="27" t="s">
        <v>71</v>
      </c>
      <c r="I105" s="27" t="s">
        <v>49</v>
      </c>
      <c r="J105" s="27" t="s">
        <v>72</v>
      </c>
      <c r="K105" s="27" t="s">
        <v>73</v>
      </c>
      <c r="L105" s="31" t="s">
        <v>330</v>
      </c>
      <c r="M105" s="32">
        <v>0.39</v>
      </c>
      <c r="N105" s="27" t="s">
        <v>33</v>
      </c>
      <c r="O105" s="27" t="s">
        <v>111</v>
      </c>
      <c r="P105" s="27" t="s">
        <v>331</v>
      </c>
      <c r="Q105" s="27" t="s">
        <v>332</v>
      </c>
      <c r="R105" s="33">
        <v>4073</v>
      </c>
      <c r="S105" s="34">
        <v>42012</v>
      </c>
      <c r="T105" s="34">
        <v>42016</v>
      </c>
      <c r="U105" s="29">
        <v>-137.494</v>
      </c>
      <c r="V105" s="26">
        <v>7</v>
      </c>
      <c r="W105" s="29">
        <v>42.44</v>
      </c>
      <c r="X105" s="26">
        <v>87031</v>
      </c>
      <c r="Y105" s="35">
        <v>22.689999999999998</v>
      </c>
      <c r="Z105" s="1" t="s">
        <v>3014</v>
      </c>
      <c r="AA105" s="36">
        <v>0.81340000000000001</v>
      </c>
      <c r="AB105" s="54">
        <v>25.888399999999997</v>
      </c>
      <c r="AC105" s="54">
        <v>2.3645142857142858</v>
      </c>
      <c r="AD105" s="36">
        <v>170.63059999999999</v>
      </c>
    </row>
    <row r="106" spans="1:30" s="37" customFormat="1" ht="15.75" customHeight="1" x14ac:dyDescent="0.2">
      <c r="A106" s="26">
        <v>2908</v>
      </c>
      <c r="B106" s="27" t="s">
        <v>325</v>
      </c>
      <c r="C106" s="27" t="s">
        <v>38</v>
      </c>
      <c r="D106" s="28">
        <v>0.03</v>
      </c>
      <c r="E106" s="29">
        <v>22.72</v>
      </c>
      <c r="F106" s="29">
        <v>8.99</v>
      </c>
      <c r="G106" s="30" t="s">
        <v>39</v>
      </c>
      <c r="H106" s="27" t="s">
        <v>71</v>
      </c>
      <c r="I106" s="27" t="s">
        <v>29</v>
      </c>
      <c r="J106" s="27" t="s">
        <v>126</v>
      </c>
      <c r="K106" s="27" t="s">
        <v>43</v>
      </c>
      <c r="L106" s="31" t="s">
        <v>328</v>
      </c>
      <c r="M106" s="32">
        <v>0.44</v>
      </c>
      <c r="N106" s="27" t="s">
        <v>33</v>
      </c>
      <c r="O106" s="27" t="s">
        <v>111</v>
      </c>
      <c r="P106" s="27" t="s">
        <v>317</v>
      </c>
      <c r="Q106" s="27" t="s">
        <v>327</v>
      </c>
      <c r="R106" s="33">
        <v>44125</v>
      </c>
      <c r="S106" s="34">
        <v>42012</v>
      </c>
      <c r="T106" s="34">
        <v>42012</v>
      </c>
      <c r="U106" s="29">
        <v>17.429400000000001</v>
      </c>
      <c r="V106" s="26">
        <v>1</v>
      </c>
      <c r="W106" s="29">
        <v>25.26</v>
      </c>
      <c r="X106" s="26">
        <v>88156</v>
      </c>
      <c r="Y106" s="35">
        <v>5.79</v>
      </c>
      <c r="Z106" s="1" t="s">
        <v>3014</v>
      </c>
      <c r="AA106" s="36">
        <v>0.68159999999999998</v>
      </c>
      <c r="AB106" s="54">
        <v>14.145600000000002</v>
      </c>
      <c r="AC106" s="54">
        <v>11.114400000000002</v>
      </c>
      <c r="AD106" s="36">
        <v>-1.8410000000000011</v>
      </c>
    </row>
    <row r="107" spans="1:30" s="37" customFormat="1" ht="15.75" customHeight="1" x14ac:dyDescent="0.2">
      <c r="A107" s="26">
        <v>2908</v>
      </c>
      <c r="B107" s="27" t="s">
        <v>325</v>
      </c>
      <c r="C107" s="27" t="s">
        <v>38</v>
      </c>
      <c r="D107" s="28">
        <v>7.0000000000000007E-2</v>
      </c>
      <c r="E107" s="29">
        <v>4.13</v>
      </c>
      <c r="F107" s="29">
        <v>0.99</v>
      </c>
      <c r="G107" s="30" t="s">
        <v>39</v>
      </c>
      <c r="H107" s="27" t="s">
        <v>71</v>
      </c>
      <c r="I107" s="27" t="s">
        <v>49</v>
      </c>
      <c r="J107" s="27" t="s">
        <v>152</v>
      </c>
      <c r="K107" s="27" t="s">
        <v>73</v>
      </c>
      <c r="L107" s="31" t="s">
        <v>326</v>
      </c>
      <c r="M107" s="32">
        <v>0.39</v>
      </c>
      <c r="N107" s="27" t="s">
        <v>33</v>
      </c>
      <c r="O107" s="27" t="s">
        <v>111</v>
      </c>
      <c r="P107" s="27" t="s">
        <v>317</v>
      </c>
      <c r="Q107" s="27" t="s">
        <v>327</v>
      </c>
      <c r="R107" s="33">
        <v>44125</v>
      </c>
      <c r="S107" s="34">
        <v>42012</v>
      </c>
      <c r="T107" s="34">
        <v>42012</v>
      </c>
      <c r="U107" s="29">
        <v>10.959199999999999</v>
      </c>
      <c r="V107" s="26">
        <v>4</v>
      </c>
      <c r="W107" s="29">
        <v>16.07</v>
      </c>
      <c r="X107" s="26">
        <v>88156</v>
      </c>
      <c r="Y107" s="35">
        <v>14.49</v>
      </c>
      <c r="Z107" s="1" t="s">
        <v>3014</v>
      </c>
      <c r="AA107" s="36">
        <v>1.1564000000000001</v>
      </c>
      <c r="AB107" s="54">
        <v>9.8026999999999997</v>
      </c>
      <c r="AC107" s="54">
        <v>1.5668250000000001</v>
      </c>
      <c r="AD107" s="36">
        <v>2.9644000000000013</v>
      </c>
    </row>
    <row r="108" spans="1:30" s="37" customFormat="1" ht="15.75" customHeight="1" x14ac:dyDescent="0.2">
      <c r="A108" s="26">
        <v>806</v>
      </c>
      <c r="B108" s="27" t="s">
        <v>336</v>
      </c>
      <c r="C108" s="27" t="s">
        <v>26</v>
      </c>
      <c r="D108" s="28">
        <v>0.06</v>
      </c>
      <c r="E108" s="29">
        <v>179.99</v>
      </c>
      <c r="F108" s="29">
        <v>13.99</v>
      </c>
      <c r="G108" s="30" t="s">
        <v>87</v>
      </c>
      <c r="H108" s="27" t="s">
        <v>3095</v>
      </c>
      <c r="I108" s="27" t="s">
        <v>41</v>
      </c>
      <c r="J108" s="27" t="s">
        <v>135</v>
      </c>
      <c r="K108" s="27" t="s">
        <v>144</v>
      </c>
      <c r="L108" s="31" t="s">
        <v>337</v>
      </c>
      <c r="M108" s="32">
        <v>0.56999999999999995</v>
      </c>
      <c r="N108" s="27" t="s">
        <v>33</v>
      </c>
      <c r="O108" s="27" t="s">
        <v>34</v>
      </c>
      <c r="P108" s="27" t="s">
        <v>123</v>
      </c>
      <c r="Q108" s="27" t="s">
        <v>128</v>
      </c>
      <c r="R108" s="33">
        <v>33132</v>
      </c>
      <c r="S108" s="34">
        <v>42013</v>
      </c>
      <c r="T108" s="34">
        <v>42015</v>
      </c>
      <c r="U108" s="29">
        <v>1220.03784</v>
      </c>
      <c r="V108" s="26">
        <v>54</v>
      </c>
      <c r="W108" s="29">
        <v>8332.91</v>
      </c>
      <c r="X108" s="26">
        <v>40547</v>
      </c>
      <c r="Y108" s="35">
        <v>179.93</v>
      </c>
      <c r="Z108" s="1" t="s">
        <v>3011</v>
      </c>
      <c r="AA108" s="36">
        <v>583.16759999999999</v>
      </c>
      <c r="AB108" s="54">
        <v>3583.1513000000004</v>
      </c>
      <c r="AC108" s="54">
        <v>87.95849444444444</v>
      </c>
      <c r="AD108" s="36">
        <v>6515.7145600000003</v>
      </c>
    </row>
    <row r="109" spans="1:30" s="37" customFormat="1" ht="15.75" customHeight="1" x14ac:dyDescent="0.2">
      <c r="A109" s="26">
        <v>1528</v>
      </c>
      <c r="B109" s="27" t="s">
        <v>341</v>
      </c>
      <c r="C109" s="27" t="s">
        <v>26</v>
      </c>
      <c r="D109" s="28">
        <v>0.01</v>
      </c>
      <c r="E109" s="29">
        <v>525.98</v>
      </c>
      <c r="F109" s="29">
        <v>19.989999999999998</v>
      </c>
      <c r="G109" s="30" t="s">
        <v>39</v>
      </c>
      <c r="H109" s="27" t="s">
        <v>3095</v>
      </c>
      <c r="I109" s="27" t="s">
        <v>49</v>
      </c>
      <c r="J109" s="27" t="s">
        <v>72</v>
      </c>
      <c r="K109" s="27" t="s">
        <v>73</v>
      </c>
      <c r="L109" s="31" t="s">
        <v>342</v>
      </c>
      <c r="M109" s="32">
        <v>0.37</v>
      </c>
      <c r="N109" s="27" t="s">
        <v>33</v>
      </c>
      <c r="O109" s="27" t="s">
        <v>34</v>
      </c>
      <c r="P109" s="27" t="s">
        <v>97</v>
      </c>
      <c r="Q109" s="27" t="s">
        <v>343</v>
      </c>
      <c r="R109" s="33">
        <v>27288</v>
      </c>
      <c r="S109" s="34">
        <v>42013</v>
      </c>
      <c r="T109" s="34">
        <v>42015</v>
      </c>
      <c r="U109" s="29">
        <v>-161.92400000000001</v>
      </c>
      <c r="V109" s="26">
        <v>9</v>
      </c>
      <c r="W109" s="29">
        <v>4920.8100000000004</v>
      </c>
      <c r="X109" s="26">
        <v>86813</v>
      </c>
      <c r="Y109" s="35">
        <v>30.95</v>
      </c>
      <c r="Z109" s="1" t="s">
        <v>3011</v>
      </c>
      <c r="AA109" s="36">
        <v>47.338200000000001</v>
      </c>
      <c r="AB109" s="54">
        <v>3100.1103000000003</v>
      </c>
      <c r="AC109" s="54">
        <v>202.29996666666665</v>
      </c>
      <c r="AD109" s="36">
        <v>5015.4058000000005</v>
      </c>
    </row>
    <row r="110" spans="1:30" s="37" customFormat="1" ht="15.75" customHeight="1" x14ac:dyDescent="0.2">
      <c r="A110" s="26">
        <v>1527</v>
      </c>
      <c r="B110" s="27" t="s">
        <v>338</v>
      </c>
      <c r="C110" s="27" t="s">
        <v>26</v>
      </c>
      <c r="D110" s="28">
        <v>0.03</v>
      </c>
      <c r="E110" s="29">
        <v>30.98</v>
      </c>
      <c r="F110" s="29">
        <v>8.99</v>
      </c>
      <c r="G110" s="30" t="s">
        <v>87</v>
      </c>
      <c r="H110" s="27" t="s">
        <v>3095</v>
      </c>
      <c r="I110" s="27" t="s">
        <v>49</v>
      </c>
      <c r="J110" s="27" t="s">
        <v>50</v>
      </c>
      <c r="K110" s="27" t="s">
        <v>43</v>
      </c>
      <c r="L110" s="31" t="s">
        <v>339</v>
      </c>
      <c r="M110" s="32">
        <v>0.57999999999999996</v>
      </c>
      <c r="N110" s="27" t="s">
        <v>33</v>
      </c>
      <c r="O110" s="27" t="s">
        <v>34</v>
      </c>
      <c r="P110" s="27" t="s">
        <v>164</v>
      </c>
      <c r="Q110" s="27" t="s">
        <v>340</v>
      </c>
      <c r="R110" s="33">
        <v>35601</v>
      </c>
      <c r="S110" s="34">
        <v>42013</v>
      </c>
      <c r="T110" s="34">
        <v>42015</v>
      </c>
      <c r="U110" s="29">
        <v>0.51</v>
      </c>
      <c r="V110" s="26">
        <v>5</v>
      </c>
      <c r="W110" s="29">
        <v>162.38999999999999</v>
      </c>
      <c r="X110" s="26">
        <v>86813</v>
      </c>
      <c r="Y110" s="35">
        <v>525.97</v>
      </c>
      <c r="Z110" s="1" t="s">
        <v>3011</v>
      </c>
      <c r="AA110" s="36">
        <v>4.6470000000000002</v>
      </c>
      <c r="AB110" s="54">
        <v>68.203800000000001</v>
      </c>
      <c r="AC110" s="54">
        <v>18.837239999999994</v>
      </c>
      <c r="AD110" s="36">
        <v>148.24299999999999</v>
      </c>
    </row>
    <row r="111" spans="1:30" s="37" customFormat="1" ht="15.75" customHeight="1" x14ac:dyDescent="0.2">
      <c r="A111" s="26">
        <v>833</v>
      </c>
      <c r="B111" s="27" t="s">
        <v>349</v>
      </c>
      <c r="C111" s="27" t="s">
        <v>38</v>
      </c>
      <c r="D111" s="28">
        <v>0</v>
      </c>
      <c r="E111" s="29">
        <v>11.66</v>
      </c>
      <c r="F111" s="29">
        <v>8.99</v>
      </c>
      <c r="G111" s="30" t="s">
        <v>87</v>
      </c>
      <c r="H111" s="27" t="s">
        <v>94</v>
      </c>
      <c r="I111" s="27" t="s">
        <v>49</v>
      </c>
      <c r="J111" s="27" t="s">
        <v>50</v>
      </c>
      <c r="K111" s="27" t="s">
        <v>43</v>
      </c>
      <c r="L111" s="31" t="s">
        <v>350</v>
      </c>
      <c r="M111" s="32">
        <v>0.59</v>
      </c>
      <c r="N111" s="27" t="s">
        <v>33</v>
      </c>
      <c r="O111" s="27" t="s">
        <v>60</v>
      </c>
      <c r="P111" s="27" t="s">
        <v>90</v>
      </c>
      <c r="Q111" s="27" t="s">
        <v>351</v>
      </c>
      <c r="R111" s="33">
        <v>95020</v>
      </c>
      <c r="S111" s="34">
        <v>42013</v>
      </c>
      <c r="T111" s="34">
        <v>42015</v>
      </c>
      <c r="U111" s="29">
        <v>-203.67</v>
      </c>
      <c r="V111" s="26">
        <v>11</v>
      </c>
      <c r="W111" s="29">
        <v>138.51</v>
      </c>
      <c r="X111" s="26">
        <v>89770</v>
      </c>
      <c r="Y111" s="35">
        <v>5.57</v>
      </c>
      <c r="Z111" s="1" t="s">
        <v>3013</v>
      </c>
      <c r="AA111" s="36">
        <v>0</v>
      </c>
      <c r="AB111" s="54">
        <v>56.789099999999998</v>
      </c>
      <c r="AC111" s="54">
        <v>7.4291727272727268</v>
      </c>
      <c r="AD111" s="36">
        <v>333.18999999999994</v>
      </c>
    </row>
    <row r="112" spans="1:30" s="37" customFormat="1" ht="15.75" customHeight="1" x14ac:dyDescent="0.2">
      <c r="A112" s="26">
        <v>358</v>
      </c>
      <c r="B112" s="27" t="s">
        <v>352</v>
      </c>
      <c r="C112" s="27" t="s">
        <v>48</v>
      </c>
      <c r="D112" s="28">
        <v>0.04</v>
      </c>
      <c r="E112" s="29">
        <v>125.99</v>
      </c>
      <c r="F112" s="29">
        <v>8.99</v>
      </c>
      <c r="G112" s="30" t="s">
        <v>39</v>
      </c>
      <c r="H112" s="27" t="s">
        <v>94</v>
      </c>
      <c r="I112" s="27" t="s">
        <v>41</v>
      </c>
      <c r="J112" s="27" t="s">
        <v>135</v>
      </c>
      <c r="K112" s="27" t="s">
        <v>73</v>
      </c>
      <c r="L112" s="31" t="s">
        <v>353</v>
      </c>
      <c r="M112" s="32">
        <v>0.59</v>
      </c>
      <c r="N112" s="27" t="s">
        <v>33</v>
      </c>
      <c r="O112" s="27" t="s">
        <v>111</v>
      </c>
      <c r="P112" s="27" t="s">
        <v>320</v>
      </c>
      <c r="Q112" s="27" t="s">
        <v>354</v>
      </c>
      <c r="R112" s="33">
        <v>19406</v>
      </c>
      <c r="S112" s="34">
        <v>42013</v>
      </c>
      <c r="T112" s="34">
        <v>42020</v>
      </c>
      <c r="U112" s="29">
        <v>-627.82191999999998</v>
      </c>
      <c r="V112" s="26">
        <v>1</v>
      </c>
      <c r="W112" s="29">
        <v>107.95</v>
      </c>
      <c r="X112" s="26">
        <v>91130</v>
      </c>
      <c r="Y112" s="35">
        <v>3.95</v>
      </c>
      <c r="Z112" s="1" t="s">
        <v>3014</v>
      </c>
      <c r="AA112" s="36">
        <v>5.0396000000000001</v>
      </c>
      <c r="AB112" s="54">
        <v>44.259500000000003</v>
      </c>
      <c r="AC112" s="54">
        <v>63.6905</v>
      </c>
      <c r="AD112" s="36">
        <v>721.74232000000006</v>
      </c>
    </row>
    <row r="113" spans="1:30" s="37" customFormat="1" ht="15.75" customHeight="1" x14ac:dyDescent="0.2">
      <c r="A113" s="26">
        <v>3331</v>
      </c>
      <c r="B113" s="27" t="s">
        <v>228</v>
      </c>
      <c r="C113" s="27" t="s">
        <v>3094</v>
      </c>
      <c r="D113" s="28">
        <v>0.02</v>
      </c>
      <c r="E113" s="29">
        <v>4</v>
      </c>
      <c r="F113" s="29">
        <v>1.3</v>
      </c>
      <c r="G113" s="30" t="s">
        <v>39</v>
      </c>
      <c r="H113" s="27" t="s">
        <v>94</v>
      </c>
      <c r="I113" s="27" t="s">
        <v>49</v>
      </c>
      <c r="J113" s="27" t="s">
        <v>88</v>
      </c>
      <c r="K113" s="27" t="s">
        <v>51</v>
      </c>
      <c r="L113" s="31" t="s">
        <v>371</v>
      </c>
      <c r="M113" s="32">
        <v>0.37</v>
      </c>
      <c r="N113" s="27" t="s">
        <v>33</v>
      </c>
      <c r="O113" s="27" t="s">
        <v>34</v>
      </c>
      <c r="P113" s="27" t="s">
        <v>123</v>
      </c>
      <c r="Q113" s="27" t="s">
        <v>230</v>
      </c>
      <c r="R113" s="33">
        <v>32174</v>
      </c>
      <c r="S113" s="34">
        <v>42013</v>
      </c>
      <c r="T113" s="34">
        <v>42013</v>
      </c>
      <c r="U113" s="29">
        <v>-23.295999999999999</v>
      </c>
      <c r="V113" s="26">
        <v>12</v>
      </c>
      <c r="W113" s="29">
        <v>50.71</v>
      </c>
      <c r="X113" s="26">
        <v>86284</v>
      </c>
      <c r="Y113" s="35">
        <v>11.66</v>
      </c>
      <c r="Z113" s="1" t="s">
        <v>3011</v>
      </c>
      <c r="AA113" s="36">
        <v>0.96</v>
      </c>
      <c r="AB113" s="54">
        <v>31.947300000000002</v>
      </c>
      <c r="AC113" s="54">
        <v>1.5635583333333332</v>
      </c>
      <c r="AD113" s="36">
        <v>71.745999999999995</v>
      </c>
    </row>
    <row r="114" spans="1:30" s="37" customFormat="1" ht="15.75" customHeight="1" x14ac:dyDescent="0.2">
      <c r="A114" s="26">
        <v>1745</v>
      </c>
      <c r="B114" s="27" t="s">
        <v>359</v>
      </c>
      <c r="C114" s="27" t="s">
        <v>3094</v>
      </c>
      <c r="D114" s="28">
        <v>0.02</v>
      </c>
      <c r="E114" s="29">
        <v>4.13</v>
      </c>
      <c r="F114" s="29">
        <v>6.89</v>
      </c>
      <c r="G114" s="30" t="s">
        <v>39</v>
      </c>
      <c r="H114" s="27" t="s">
        <v>71</v>
      </c>
      <c r="I114" s="27" t="s">
        <v>49</v>
      </c>
      <c r="J114" s="27" t="s">
        <v>152</v>
      </c>
      <c r="K114" s="27" t="s">
        <v>73</v>
      </c>
      <c r="L114" s="31" t="s">
        <v>360</v>
      </c>
      <c r="M114" s="32">
        <v>0.39</v>
      </c>
      <c r="N114" s="27" t="s">
        <v>33</v>
      </c>
      <c r="O114" s="27" t="s">
        <v>34</v>
      </c>
      <c r="P114" s="27" t="s">
        <v>75</v>
      </c>
      <c r="Q114" s="27" t="s">
        <v>361</v>
      </c>
      <c r="R114" s="33">
        <v>30305</v>
      </c>
      <c r="S114" s="34">
        <v>42013</v>
      </c>
      <c r="T114" s="34">
        <v>42014</v>
      </c>
      <c r="U114" s="29">
        <v>-51.737000000000002</v>
      </c>
      <c r="V114" s="26">
        <v>9</v>
      </c>
      <c r="W114" s="29">
        <v>45.87</v>
      </c>
      <c r="X114" s="26">
        <v>18561</v>
      </c>
      <c r="Y114" s="35">
        <v>125.94999999999999</v>
      </c>
      <c r="Z114" s="1" t="s">
        <v>3011</v>
      </c>
      <c r="AA114" s="36">
        <v>0.74339999999999995</v>
      </c>
      <c r="AB114" s="54">
        <v>27.980699999999999</v>
      </c>
      <c r="AC114" s="54">
        <v>1.9877</v>
      </c>
      <c r="AD114" s="36">
        <v>89.973600000000005</v>
      </c>
    </row>
    <row r="115" spans="1:30" s="37" customFormat="1" ht="15.75" customHeight="1" x14ac:dyDescent="0.2">
      <c r="A115" s="26">
        <v>3017</v>
      </c>
      <c r="B115" s="27" t="s">
        <v>344</v>
      </c>
      <c r="C115" s="27" t="s">
        <v>26</v>
      </c>
      <c r="D115" s="28">
        <v>0.03</v>
      </c>
      <c r="E115" s="29">
        <v>3.98</v>
      </c>
      <c r="F115" s="29">
        <v>0.7</v>
      </c>
      <c r="G115" s="30" t="s">
        <v>39</v>
      </c>
      <c r="H115" s="27" t="s">
        <v>94</v>
      </c>
      <c r="I115" s="27" t="s">
        <v>49</v>
      </c>
      <c r="J115" s="27" t="s">
        <v>50</v>
      </c>
      <c r="K115" s="27" t="s">
        <v>51</v>
      </c>
      <c r="L115" s="31" t="s">
        <v>348</v>
      </c>
      <c r="M115" s="32">
        <v>0.52</v>
      </c>
      <c r="N115" s="27" t="s">
        <v>33</v>
      </c>
      <c r="O115" s="27" t="s">
        <v>60</v>
      </c>
      <c r="P115" s="27" t="s">
        <v>90</v>
      </c>
      <c r="Q115" s="27" t="s">
        <v>347</v>
      </c>
      <c r="R115" s="33">
        <v>92024</v>
      </c>
      <c r="S115" s="34">
        <v>42013</v>
      </c>
      <c r="T115" s="34">
        <v>42014</v>
      </c>
      <c r="U115" s="29">
        <v>31.201799999999999</v>
      </c>
      <c r="V115" s="26">
        <v>11</v>
      </c>
      <c r="W115" s="29">
        <v>45.22</v>
      </c>
      <c r="X115" s="26">
        <v>89071</v>
      </c>
      <c r="Y115" s="35">
        <v>2.5</v>
      </c>
      <c r="Z115" s="1" t="s">
        <v>3013</v>
      </c>
      <c r="AA115" s="36">
        <v>1.3133999999999999</v>
      </c>
      <c r="AB115" s="54">
        <v>21.705599999999997</v>
      </c>
      <c r="AC115" s="54">
        <v>2.1376727272727272</v>
      </c>
      <c r="AD115" s="36">
        <v>12.004800000000003</v>
      </c>
    </row>
    <row r="116" spans="1:30" s="37" customFormat="1" ht="15.75" customHeight="1" x14ac:dyDescent="0.2">
      <c r="A116" s="26">
        <v>2164</v>
      </c>
      <c r="B116" s="27" t="s">
        <v>364</v>
      </c>
      <c r="C116" s="27" t="s">
        <v>3094</v>
      </c>
      <c r="D116" s="28">
        <v>0.05</v>
      </c>
      <c r="E116" s="29">
        <v>3.28</v>
      </c>
      <c r="F116" s="29">
        <v>3.97</v>
      </c>
      <c r="G116" s="30" t="s">
        <v>39</v>
      </c>
      <c r="H116" s="27" t="s">
        <v>3095</v>
      </c>
      <c r="I116" s="27" t="s">
        <v>49</v>
      </c>
      <c r="J116" s="27" t="s">
        <v>50</v>
      </c>
      <c r="K116" s="27" t="s">
        <v>51</v>
      </c>
      <c r="L116" s="31" t="s">
        <v>367</v>
      </c>
      <c r="M116" s="32">
        <v>0.56000000000000005</v>
      </c>
      <c r="N116" s="27" t="s">
        <v>33</v>
      </c>
      <c r="O116" s="27" t="s">
        <v>60</v>
      </c>
      <c r="P116" s="27" t="s">
        <v>90</v>
      </c>
      <c r="Q116" s="27" t="s">
        <v>366</v>
      </c>
      <c r="R116" s="33">
        <v>91104</v>
      </c>
      <c r="S116" s="34">
        <v>42013</v>
      </c>
      <c r="T116" s="34">
        <v>42013</v>
      </c>
      <c r="U116" s="29">
        <v>-144.9188</v>
      </c>
      <c r="V116" s="26">
        <v>11</v>
      </c>
      <c r="W116" s="29">
        <v>36.299999999999997</v>
      </c>
      <c r="X116" s="26">
        <v>88794</v>
      </c>
      <c r="Y116" s="35">
        <v>4.1100000000000003</v>
      </c>
      <c r="Z116" s="1" t="s">
        <v>3013</v>
      </c>
      <c r="AA116" s="36">
        <v>1.804</v>
      </c>
      <c r="AB116" s="54">
        <v>15.971999999999996</v>
      </c>
      <c r="AC116" s="54">
        <v>1.8480000000000001</v>
      </c>
      <c r="AD116" s="36">
        <v>175.44479999999999</v>
      </c>
    </row>
    <row r="117" spans="1:30" s="37" customFormat="1" ht="15.75" customHeight="1" x14ac:dyDescent="0.2">
      <c r="A117" s="26">
        <v>2555</v>
      </c>
      <c r="B117" s="27" t="s">
        <v>355</v>
      </c>
      <c r="C117" s="27" t="s">
        <v>48</v>
      </c>
      <c r="D117" s="28">
        <v>0.1</v>
      </c>
      <c r="E117" s="29">
        <v>2.6</v>
      </c>
      <c r="F117" s="29">
        <v>2.4</v>
      </c>
      <c r="G117" s="30" t="s">
        <v>39</v>
      </c>
      <c r="H117" s="27" t="s">
        <v>71</v>
      </c>
      <c r="I117" s="27" t="s">
        <v>49</v>
      </c>
      <c r="J117" s="27" t="s">
        <v>50</v>
      </c>
      <c r="K117" s="27" t="s">
        <v>51</v>
      </c>
      <c r="L117" s="31" t="s">
        <v>356</v>
      </c>
      <c r="M117" s="32">
        <v>0.57999999999999996</v>
      </c>
      <c r="N117" s="27" t="s">
        <v>33</v>
      </c>
      <c r="O117" s="27" t="s">
        <v>53</v>
      </c>
      <c r="P117" s="27" t="s">
        <v>357</v>
      </c>
      <c r="Q117" s="27" t="s">
        <v>358</v>
      </c>
      <c r="R117" s="33">
        <v>53711</v>
      </c>
      <c r="S117" s="34">
        <v>42013</v>
      </c>
      <c r="T117" s="34">
        <v>42018</v>
      </c>
      <c r="U117" s="29">
        <v>-88.04</v>
      </c>
      <c r="V117" s="26">
        <v>12</v>
      </c>
      <c r="W117" s="29">
        <v>30.1</v>
      </c>
      <c r="X117" s="26">
        <v>86527</v>
      </c>
      <c r="Y117" s="35">
        <v>4.1100000000000003</v>
      </c>
      <c r="Z117" s="1" t="s">
        <v>3012</v>
      </c>
      <c r="AA117" s="36">
        <v>3.12</v>
      </c>
      <c r="AB117" s="54">
        <v>12.642000000000001</v>
      </c>
      <c r="AC117" s="54">
        <v>1.4548333333333332</v>
      </c>
      <c r="AD117" s="36">
        <v>112.62</v>
      </c>
    </row>
    <row r="118" spans="1:30" s="37" customFormat="1" ht="15.75" customHeight="1" x14ac:dyDescent="0.2">
      <c r="A118" s="26">
        <v>2164</v>
      </c>
      <c r="B118" s="27" t="s">
        <v>364</v>
      </c>
      <c r="C118" s="27" t="s">
        <v>3094</v>
      </c>
      <c r="D118" s="28">
        <v>0.01</v>
      </c>
      <c r="E118" s="29">
        <v>5.38</v>
      </c>
      <c r="F118" s="29">
        <v>7.57</v>
      </c>
      <c r="G118" s="30" t="s">
        <v>39</v>
      </c>
      <c r="H118" s="27" t="s">
        <v>3095</v>
      </c>
      <c r="I118" s="27" t="s">
        <v>49</v>
      </c>
      <c r="J118" s="27" t="s">
        <v>72</v>
      </c>
      <c r="K118" s="27" t="s">
        <v>73</v>
      </c>
      <c r="L118" s="31" t="s">
        <v>365</v>
      </c>
      <c r="M118" s="32">
        <v>0.36</v>
      </c>
      <c r="N118" s="27" t="s">
        <v>33</v>
      </c>
      <c r="O118" s="27" t="s">
        <v>60</v>
      </c>
      <c r="P118" s="27" t="s">
        <v>90</v>
      </c>
      <c r="Q118" s="27" t="s">
        <v>366</v>
      </c>
      <c r="R118" s="33">
        <v>91104</v>
      </c>
      <c r="S118" s="34">
        <v>42013</v>
      </c>
      <c r="T118" s="34">
        <v>42014</v>
      </c>
      <c r="U118" s="29">
        <v>-66.779579999999996</v>
      </c>
      <c r="V118" s="26">
        <v>3</v>
      </c>
      <c r="W118" s="29">
        <v>18.68</v>
      </c>
      <c r="X118" s="26">
        <v>88794</v>
      </c>
      <c r="Y118" s="35">
        <v>5.37</v>
      </c>
      <c r="Z118" s="1" t="s">
        <v>3013</v>
      </c>
      <c r="AA118" s="36">
        <v>0.16139999999999999</v>
      </c>
      <c r="AB118" s="54">
        <v>11.9552</v>
      </c>
      <c r="AC118" s="54">
        <v>2.2416</v>
      </c>
      <c r="AD118" s="36">
        <v>77.728179999999995</v>
      </c>
    </row>
    <row r="119" spans="1:30" s="37" customFormat="1" ht="15.75" customHeight="1" x14ac:dyDescent="0.2">
      <c r="A119" s="26">
        <v>2165</v>
      </c>
      <c r="B119" s="27" t="s">
        <v>368</v>
      </c>
      <c r="C119" s="27" t="s">
        <v>3094</v>
      </c>
      <c r="D119" s="28">
        <v>0.09</v>
      </c>
      <c r="E119" s="29">
        <v>2.78</v>
      </c>
      <c r="F119" s="29">
        <v>0.97</v>
      </c>
      <c r="G119" s="30" t="s">
        <v>39</v>
      </c>
      <c r="H119" s="27" t="s">
        <v>3095</v>
      </c>
      <c r="I119" s="27" t="s">
        <v>49</v>
      </c>
      <c r="J119" s="27" t="s">
        <v>50</v>
      </c>
      <c r="K119" s="27" t="s">
        <v>51</v>
      </c>
      <c r="L119" s="31" t="s">
        <v>369</v>
      </c>
      <c r="M119" s="32">
        <v>0.59</v>
      </c>
      <c r="N119" s="27" t="s">
        <v>33</v>
      </c>
      <c r="O119" s="27" t="s">
        <v>111</v>
      </c>
      <c r="P119" s="27" t="s">
        <v>331</v>
      </c>
      <c r="Q119" s="27" t="s">
        <v>370</v>
      </c>
      <c r="R119" s="33">
        <v>4330</v>
      </c>
      <c r="S119" s="34">
        <v>42013</v>
      </c>
      <c r="T119" s="34">
        <v>42015</v>
      </c>
      <c r="U119" s="29">
        <v>-5.0716000000000001</v>
      </c>
      <c r="V119" s="26">
        <v>6</v>
      </c>
      <c r="W119" s="29">
        <v>16.03</v>
      </c>
      <c r="X119" s="26">
        <v>88794</v>
      </c>
      <c r="Y119" s="35">
        <v>3.23</v>
      </c>
      <c r="Z119" s="1" t="s">
        <v>3014</v>
      </c>
      <c r="AA119" s="36">
        <v>1.5011999999999999</v>
      </c>
      <c r="AB119" s="54">
        <v>6.5723000000000011</v>
      </c>
      <c r="AC119" s="54">
        <v>1.5762833333333333</v>
      </c>
      <c r="AD119" s="36">
        <v>18.630400000000002</v>
      </c>
    </row>
    <row r="120" spans="1:30" s="37" customFormat="1" ht="15.75" customHeight="1" x14ac:dyDescent="0.2">
      <c r="A120" s="26">
        <v>3017</v>
      </c>
      <c r="B120" s="27" t="s">
        <v>344</v>
      </c>
      <c r="C120" s="27" t="s">
        <v>26</v>
      </c>
      <c r="D120" s="28">
        <v>0.01</v>
      </c>
      <c r="E120" s="29">
        <v>5.58</v>
      </c>
      <c r="F120" s="29">
        <v>5.3</v>
      </c>
      <c r="G120" s="30" t="s">
        <v>39</v>
      </c>
      <c r="H120" s="27" t="s">
        <v>94</v>
      </c>
      <c r="I120" s="27" t="s">
        <v>49</v>
      </c>
      <c r="J120" s="27" t="s">
        <v>345</v>
      </c>
      <c r="K120" s="27" t="s">
        <v>73</v>
      </c>
      <c r="L120" s="31" t="s">
        <v>346</v>
      </c>
      <c r="M120" s="32">
        <v>0.35</v>
      </c>
      <c r="N120" s="27" t="s">
        <v>33</v>
      </c>
      <c r="O120" s="27" t="s">
        <v>60</v>
      </c>
      <c r="P120" s="27" t="s">
        <v>90</v>
      </c>
      <c r="Q120" s="27" t="s">
        <v>347</v>
      </c>
      <c r="R120" s="33">
        <v>92024</v>
      </c>
      <c r="S120" s="34">
        <v>42013</v>
      </c>
      <c r="T120" s="34">
        <v>42014</v>
      </c>
      <c r="U120" s="29">
        <v>-7.25</v>
      </c>
      <c r="V120" s="26">
        <v>1</v>
      </c>
      <c r="W120" s="29">
        <v>11.16</v>
      </c>
      <c r="X120" s="26">
        <v>89071</v>
      </c>
      <c r="Y120" s="35">
        <v>2.69</v>
      </c>
      <c r="Z120" s="1" t="s">
        <v>3013</v>
      </c>
      <c r="AA120" s="36">
        <v>5.5800000000000002E-2</v>
      </c>
      <c r="AB120" s="54">
        <v>7.2540000000000004</v>
      </c>
      <c r="AC120" s="54">
        <v>3.9059999999999997</v>
      </c>
      <c r="AD120" s="36">
        <v>13.0542</v>
      </c>
    </row>
    <row r="121" spans="1:30" s="37" customFormat="1" ht="15.75" customHeight="1" x14ac:dyDescent="0.2">
      <c r="A121" s="26">
        <v>1749</v>
      </c>
      <c r="B121" s="27" t="s">
        <v>362</v>
      </c>
      <c r="C121" s="27" t="s">
        <v>3094</v>
      </c>
      <c r="D121" s="28">
        <v>0.02</v>
      </c>
      <c r="E121" s="29">
        <v>4.13</v>
      </c>
      <c r="F121" s="29">
        <v>6.89</v>
      </c>
      <c r="G121" s="30" t="s">
        <v>39</v>
      </c>
      <c r="H121" s="27" t="s">
        <v>71</v>
      </c>
      <c r="I121" s="27" t="s">
        <v>49</v>
      </c>
      <c r="J121" s="27" t="s">
        <v>152</v>
      </c>
      <c r="K121" s="27" t="s">
        <v>73</v>
      </c>
      <c r="L121" s="31" t="s">
        <v>360</v>
      </c>
      <c r="M121" s="32">
        <v>0.39</v>
      </c>
      <c r="N121" s="27" t="s">
        <v>33</v>
      </c>
      <c r="O121" s="27" t="s">
        <v>53</v>
      </c>
      <c r="P121" s="27" t="s">
        <v>207</v>
      </c>
      <c r="Q121" s="27" t="s">
        <v>363</v>
      </c>
      <c r="R121" s="33">
        <v>73505</v>
      </c>
      <c r="S121" s="34">
        <v>42013</v>
      </c>
      <c r="T121" s="34">
        <v>42014</v>
      </c>
      <c r="U121" s="29">
        <v>-48.235999999999997</v>
      </c>
      <c r="V121" s="26">
        <v>2</v>
      </c>
      <c r="W121" s="29">
        <v>10.19</v>
      </c>
      <c r="X121" s="26">
        <v>87243</v>
      </c>
      <c r="Y121" s="35">
        <v>3.98</v>
      </c>
      <c r="Z121" s="1" t="s">
        <v>3012</v>
      </c>
      <c r="AA121" s="36">
        <v>0.16519999999999999</v>
      </c>
      <c r="AB121" s="54">
        <v>6.2158999999999995</v>
      </c>
      <c r="AC121" s="54">
        <v>1.98705</v>
      </c>
      <c r="AD121" s="36">
        <v>51.370799999999996</v>
      </c>
    </row>
    <row r="122" spans="1:30" s="37" customFormat="1" ht="15.75" customHeight="1" x14ac:dyDescent="0.2">
      <c r="A122" s="26">
        <v>2418</v>
      </c>
      <c r="B122" s="27" t="s">
        <v>240</v>
      </c>
      <c r="C122" s="27" t="s">
        <v>38</v>
      </c>
      <c r="D122" s="28">
        <v>0.1</v>
      </c>
      <c r="E122" s="29">
        <v>599.99</v>
      </c>
      <c r="F122" s="29">
        <v>24.49</v>
      </c>
      <c r="G122" s="30" t="s">
        <v>39</v>
      </c>
      <c r="H122" s="27" t="s">
        <v>40</v>
      </c>
      <c r="I122" s="27" t="s">
        <v>41</v>
      </c>
      <c r="J122" s="27" t="s">
        <v>64</v>
      </c>
      <c r="K122" s="27" t="s">
        <v>65</v>
      </c>
      <c r="L122" s="31" t="s">
        <v>381</v>
      </c>
      <c r="M122" s="32">
        <v>0.5</v>
      </c>
      <c r="N122" s="27" t="s">
        <v>33</v>
      </c>
      <c r="O122" s="27" t="s">
        <v>34</v>
      </c>
      <c r="P122" s="27" t="s">
        <v>242</v>
      </c>
      <c r="Q122" s="27" t="s">
        <v>243</v>
      </c>
      <c r="R122" s="33">
        <v>23805</v>
      </c>
      <c r="S122" s="34">
        <v>42014</v>
      </c>
      <c r="T122" s="34">
        <v>42015</v>
      </c>
      <c r="U122" s="29">
        <v>-343.12599999999998</v>
      </c>
      <c r="V122" s="26">
        <v>11</v>
      </c>
      <c r="W122" s="29">
        <v>6355.69</v>
      </c>
      <c r="X122" s="26">
        <v>86753</v>
      </c>
      <c r="Y122" s="35">
        <v>8.33</v>
      </c>
      <c r="Z122" s="1" t="s">
        <v>3011</v>
      </c>
      <c r="AA122" s="36">
        <v>659.98900000000003</v>
      </c>
      <c r="AB122" s="54">
        <v>3177.8449999999998</v>
      </c>
      <c r="AC122" s="54">
        <v>288.89499999999998</v>
      </c>
      <c r="AD122" s="36">
        <v>6014.3369999999995</v>
      </c>
    </row>
    <row r="123" spans="1:30" s="37" customFormat="1" ht="15.75" customHeight="1" x14ac:dyDescent="0.2">
      <c r="A123" s="26">
        <v>2346</v>
      </c>
      <c r="B123" s="27" t="s">
        <v>386</v>
      </c>
      <c r="C123" s="27" t="s">
        <v>48</v>
      </c>
      <c r="D123" s="28">
        <v>0.03</v>
      </c>
      <c r="E123" s="29">
        <v>297.64</v>
      </c>
      <c r="F123" s="29">
        <v>14.7</v>
      </c>
      <c r="G123" s="30" t="s">
        <v>27</v>
      </c>
      <c r="H123" s="27" t="s">
        <v>94</v>
      </c>
      <c r="I123" s="27" t="s">
        <v>41</v>
      </c>
      <c r="J123" s="27" t="s">
        <v>57</v>
      </c>
      <c r="K123" s="27" t="s">
        <v>58</v>
      </c>
      <c r="L123" s="31" t="s">
        <v>387</v>
      </c>
      <c r="M123" s="32">
        <v>0.56999999999999995</v>
      </c>
      <c r="N123" s="27" t="s">
        <v>33</v>
      </c>
      <c r="O123" s="27" t="s">
        <v>34</v>
      </c>
      <c r="P123" s="27" t="s">
        <v>388</v>
      </c>
      <c r="Q123" s="27" t="s">
        <v>389</v>
      </c>
      <c r="R123" s="33">
        <v>40258</v>
      </c>
      <c r="S123" s="34">
        <v>42014</v>
      </c>
      <c r="T123" s="34">
        <v>42019</v>
      </c>
      <c r="U123" s="29">
        <v>-48.972000000000001</v>
      </c>
      <c r="V123" s="26">
        <v>12</v>
      </c>
      <c r="W123" s="29">
        <v>3707.05</v>
      </c>
      <c r="X123" s="26">
        <v>89503</v>
      </c>
      <c r="Y123" s="35">
        <v>3.2199999999999998</v>
      </c>
      <c r="Z123" s="1" t="s">
        <v>3011</v>
      </c>
      <c r="AA123" s="36">
        <v>107.15039999999999</v>
      </c>
      <c r="AB123" s="54">
        <v>1594.0315000000003</v>
      </c>
      <c r="AC123" s="54">
        <v>176.08487499999998</v>
      </c>
      <c r="AD123" s="36">
        <v>3634.1716000000001</v>
      </c>
    </row>
    <row r="124" spans="1:30" s="37" customFormat="1" ht="15.75" customHeight="1" x14ac:dyDescent="0.2">
      <c r="A124" s="26">
        <v>1976</v>
      </c>
      <c r="B124" s="27" t="s">
        <v>377</v>
      </c>
      <c r="C124" s="27" t="s">
        <v>26</v>
      </c>
      <c r="D124" s="28">
        <v>0.05</v>
      </c>
      <c r="E124" s="29">
        <v>70.98</v>
      </c>
      <c r="F124" s="29">
        <v>46.74</v>
      </c>
      <c r="G124" s="30" t="s">
        <v>27</v>
      </c>
      <c r="H124" s="27" t="s">
        <v>40</v>
      </c>
      <c r="I124" s="27" t="s">
        <v>29</v>
      </c>
      <c r="J124" s="27" t="s">
        <v>117</v>
      </c>
      <c r="K124" s="27" t="s">
        <v>31</v>
      </c>
      <c r="L124" s="31" t="s">
        <v>378</v>
      </c>
      <c r="M124" s="32">
        <v>0.56000000000000005</v>
      </c>
      <c r="N124" s="27" t="s">
        <v>33</v>
      </c>
      <c r="O124" s="27" t="s">
        <v>53</v>
      </c>
      <c r="P124" s="27" t="s">
        <v>289</v>
      </c>
      <c r="Q124" s="27" t="s">
        <v>379</v>
      </c>
      <c r="R124" s="33">
        <v>48823</v>
      </c>
      <c r="S124" s="34">
        <v>42014</v>
      </c>
      <c r="T124" s="34">
        <v>42015</v>
      </c>
      <c r="U124" s="29">
        <v>-850.65239999999994</v>
      </c>
      <c r="V124" s="26">
        <v>8</v>
      </c>
      <c r="W124" s="29">
        <v>551.51</v>
      </c>
      <c r="X124" s="26">
        <v>89039</v>
      </c>
      <c r="Y124" s="35">
        <v>8.33</v>
      </c>
      <c r="Z124" s="1" t="s">
        <v>3012</v>
      </c>
      <c r="AA124" s="36">
        <v>28.392000000000003</v>
      </c>
      <c r="AB124" s="54">
        <v>242.66439999999997</v>
      </c>
      <c r="AC124" s="54">
        <v>38.605700000000006</v>
      </c>
      <c r="AD124" s="36">
        <v>1327.0303999999999</v>
      </c>
    </row>
    <row r="125" spans="1:30" s="37" customFormat="1" ht="15.75" customHeight="1" x14ac:dyDescent="0.2">
      <c r="A125" s="26">
        <v>2132</v>
      </c>
      <c r="B125" s="27" t="s">
        <v>383</v>
      </c>
      <c r="C125" s="27" t="s">
        <v>48</v>
      </c>
      <c r="D125" s="28">
        <v>0.05</v>
      </c>
      <c r="E125" s="29">
        <v>30.42</v>
      </c>
      <c r="F125" s="29">
        <v>8.65</v>
      </c>
      <c r="G125" s="30" t="s">
        <v>87</v>
      </c>
      <c r="H125" s="27" t="s">
        <v>71</v>
      </c>
      <c r="I125" s="27" t="s">
        <v>41</v>
      </c>
      <c r="J125" s="27" t="s">
        <v>42</v>
      </c>
      <c r="K125" s="27" t="s">
        <v>73</v>
      </c>
      <c r="L125" s="31" t="s">
        <v>384</v>
      </c>
      <c r="M125" s="32">
        <v>0.74</v>
      </c>
      <c r="N125" s="27" t="s">
        <v>33</v>
      </c>
      <c r="O125" s="27" t="s">
        <v>53</v>
      </c>
      <c r="P125" s="27" t="s">
        <v>80</v>
      </c>
      <c r="Q125" s="27" t="s">
        <v>385</v>
      </c>
      <c r="R125" s="33">
        <v>63042</v>
      </c>
      <c r="S125" s="34">
        <v>42014</v>
      </c>
      <c r="T125" s="34">
        <v>42018</v>
      </c>
      <c r="U125" s="29">
        <v>-191.2576</v>
      </c>
      <c r="V125" s="26">
        <v>11</v>
      </c>
      <c r="W125" s="29">
        <v>334.44</v>
      </c>
      <c r="X125" s="26">
        <v>90078</v>
      </c>
      <c r="Y125" s="35">
        <v>3.2199999999999998</v>
      </c>
      <c r="Z125" s="1" t="s">
        <v>3012</v>
      </c>
      <c r="AA125" s="36">
        <v>16.731000000000002</v>
      </c>
      <c r="AB125" s="54">
        <v>86.954400000000007</v>
      </c>
      <c r="AC125" s="54">
        <v>22.498690909090907</v>
      </c>
      <c r="AD125" s="36">
        <v>500.31659999999999</v>
      </c>
    </row>
    <row r="126" spans="1:30" s="37" customFormat="1" ht="15.75" customHeight="1" x14ac:dyDescent="0.2">
      <c r="A126" s="26">
        <v>894</v>
      </c>
      <c r="B126" s="27" t="s">
        <v>372</v>
      </c>
      <c r="C126" s="27" t="s">
        <v>26</v>
      </c>
      <c r="D126" s="28">
        <v>0.01</v>
      </c>
      <c r="E126" s="29">
        <v>8.34</v>
      </c>
      <c r="F126" s="29">
        <v>0.96</v>
      </c>
      <c r="G126" s="30" t="s">
        <v>39</v>
      </c>
      <c r="H126" s="27" t="s">
        <v>94</v>
      </c>
      <c r="I126" s="27" t="s">
        <v>29</v>
      </c>
      <c r="J126" s="27" t="s">
        <v>126</v>
      </c>
      <c r="K126" s="27" t="s">
        <v>51</v>
      </c>
      <c r="L126" s="31" t="s">
        <v>373</v>
      </c>
      <c r="M126" s="32">
        <v>0.43</v>
      </c>
      <c r="N126" s="27" t="s">
        <v>33</v>
      </c>
      <c r="O126" s="27" t="s">
        <v>111</v>
      </c>
      <c r="P126" s="27" t="s">
        <v>374</v>
      </c>
      <c r="Q126" s="27" t="s">
        <v>67</v>
      </c>
      <c r="R126" s="33">
        <v>20024</v>
      </c>
      <c r="S126" s="34">
        <v>42014</v>
      </c>
      <c r="T126" s="34">
        <v>42016</v>
      </c>
      <c r="U126" s="29">
        <v>29.332000000000001</v>
      </c>
      <c r="V126" s="26">
        <v>24</v>
      </c>
      <c r="W126" s="29">
        <v>199.12</v>
      </c>
      <c r="X126" s="26">
        <v>14596</v>
      </c>
      <c r="Y126" s="35">
        <v>70.930000000000007</v>
      </c>
      <c r="Z126" s="1" t="s">
        <v>3014</v>
      </c>
      <c r="AA126" s="36">
        <v>2.0015999999999998</v>
      </c>
      <c r="AB126" s="54">
        <v>113.49840000000002</v>
      </c>
      <c r="AC126" s="54">
        <v>3.5675666666666666</v>
      </c>
      <c r="AD126" s="36">
        <v>166.82640000000001</v>
      </c>
    </row>
    <row r="127" spans="1:30" s="37" customFormat="1" ht="15.75" customHeight="1" x14ac:dyDescent="0.2">
      <c r="A127" s="26">
        <v>1976</v>
      </c>
      <c r="B127" s="27" t="s">
        <v>377</v>
      </c>
      <c r="C127" s="27" t="s">
        <v>26</v>
      </c>
      <c r="D127" s="28">
        <v>0.05</v>
      </c>
      <c r="E127" s="29">
        <v>11.55</v>
      </c>
      <c r="F127" s="29">
        <v>2.36</v>
      </c>
      <c r="G127" s="30" t="s">
        <v>39</v>
      </c>
      <c r="H127" s="27" t="s">
        <v>40</v>
      </c>
      <c r="I127" s="27" t="s">
        <v>49</v>
      </c>
      <c r="J127" s="27" t="s">
        <v>50</v>
      </c>
      <c r="K127" s="27" t="s">
        <v>51</v>
      </c>
      <c r="L127" s="31" t="s">
        <v>380</v>
      </c>
      <c r="M127" s="32">
        <v>0.55000000000000004</v>
      </c>
      <c r="N127" s="27" t="s">
        <v>33</v>
      </c>
      <c r="O127" s="27" t="s">
        <v>53</v>
      </c>
      <c r="P127" s="27" t="s">
        <v>289</v>
      </c>
      <c r="Q127" s="27" t="s">
        <v>379</v>
      </c>
      <c r="R127" s="33">
        <v>48823</v>
      </c>
      <c r="S127" s="34">
        <v>42014</v>
      </c>
      <c r="T127" s="34">
        <v>42016</v>
      </c>
      <c r="U127" s="29">
        <v>98.525099999999995</v>
      </c>
      <c r="V127" s="26">
        <v>12</v>
      </c>
      <c r="W127" s="29">
        <v>142.79</v>
      </c>
      <c r="X127" s="26">
        <v>89039</v>
      </c>
      <c r="Y127" s="35">
        <v>11.5</v>
      </c>
      <c r="Z127" s="1" t="s">
        <v>3012</v>
      </c>
      <c r="AA127" s="36">
        <v>6.93</v>
      </c>
      <c r="AB127" s="54">
        <v>64.255499999999984</v>
      </c>
      <c r="AC127" s="54">
        <v>6.5445416666666665</v>
      </c>
      <c r="AD127" s="36">
        <v>34.974899999999991</v>
      </c>
    </row>
    <row r="128" spans="1:30" s="37" customFormat="1" ht="15.75" customHeight="1" x14ac:dyDescent="0.2">
      <c r="A128" s="26">
        <v>894</v>
      </c>
      <c r="B128" s="27" t="s">
        <v>372</v>
      </c>
      <c r="C128" s="27" t="s">
        <v>26</v>
      </c>
      <c r="D128" s="28">
        <v>0.06</v>
      </c>
      <c r="E128" s="29">
        <v>3.28</v>
      </c>
      <c r="F128" s="29">
        <v>3.97</v>
      </c>
      <c r="G128" s="30" t="s">
        <v>39</v>
      </c>
      <c r="H128" s="27" t="s">
        <v>94</v>
      </c>
      <c r="I128" s="27" t="s">
        <v>49</v>
      </c>
      <c r="J128" s="27" t="s">
        <v>50</v>
      </c>
      <c r="K128" s="27" t="s">
        <v>51</v>
      </c>
      <c r="L128" s="31" t="s">
        <v>367</v>
      </c>
      <c r="M128" s="32">
        <v>0.56000000000000005</v>
      </c>
      <c r="N128" s="27" t="s">
        <v>33</v>
      </c>
      <c r="O128" s="27" t="s">
        <v>111</v>
      </c>
      <c r="P128" s="27" t="s">
        <v>374</v>
      </c>
      <c r="Q128" s="27" t="s">
        <v>67</v>
      </c>
      <c r="R128" s="33">
        <v>20024</v>
      </c>
      <c r="S128" s="34">
        <v>42014</v>
      </c>
      <c r="T128" s="34">
        <v>42015</v>
      </c>
      <c r="U128" s="29">
        <v>-86</v>
      </c>
      <c r="V128" s="26">
        <v>19</v>
      </c>
      <c r="W128" s="29">
        <v>63.14</v>
      </c>
      <c r="X128" s="26">
        <v>14596</v>
      </c>
      <c r="Y128" s="35">
        <v>599.89</v>
      </c>
      <c r="Z128" s="1" t="s">
        <v>3014</v>
      </c>
      <c r="AA128" s="36">
        <v>3.7391999999999994</v>
      </c>
      <c r="AB128" s="54">
        <v>27.781599999999997</v>
      </c>
      <c r="AC128" s="54">
        <v>1.8609684210526318</v>
      </c>
      <c r="AD128" s="36">
        <v>141.4308</v>
      </c>
    </row>
    <row r="129" spans="1:30" s="37" customFormat="1" ht="15.75" customHeight="1" x14ac:dyDescent="0.2">
      <c r="A129" s="26">
        <v>896</v>
      </c>
      <c r="B129" s="27" t="s">
        <v>375</v>
      </c>
      <c r="C129" s="27" t="s">
        <v>26</v>
      </c>
      <c r="D129" s="28">
        <v>0.01</v>
      </c>
      <c r="E129" s="29">
        <v>8.34</v>
      </c>
      <c r="F129" s="29">
        <v>0.96</v>
      </c>
      <c r="G129" s="30" t="s">
        <v>39</v>
      </c>
      <c r="H129" s="27" t="s">
        <v>94</v>
      </c>
      <c r="I129" s="27" t="s">
        <v>29</v>
      </c>
      <c r="J129" s="27" t="s">
        <v>126</v>
      </c>
      <c r="K129" s="27" t="s">
        <v>51</v>
      </c>
      <c r="L129" s="31" t="s">
        <v>373</v>
      </c>
      <c r="M129" s="32">
        <v>0.43</v>
      </c>
      <c r="N129" s="27" t="s">
        <v>33</v>
      </c>
      <c r="O129" s="27" t="s">
        <v>53</v>
      </c>
      <c r="P129" s="27" t="s">
        <v>187</v>
      </c>
      <c r="Q129" s="27" t="s">
        <v>376</v>
      </c>
      <c r="R129" s="33">
        <v>76201</v>
      </c>
      <c r="S129" s="34">
        <v>42014</v>
      </c>
      <c r="T129" s="34">
        <v>42016</v>
      </c>
      <c r="U129" s="29">
        <v>34.348199999999999</v>
      </c>
      <c r="V129" s="26">
        <v>6</v>
      </c>
      <c r="W129" s="29">
        <v>49.78</v>
      </c>
      <c r="X129" s="26">
        <v>90166</v>
      </c>
      <c r="Y129" s="35">
        <v>2.7199999999999998</v>
      </c>
      <c r="Z129" s="1" t="s">
        <v>3012</v>
      </c>
      <c r="AA129" s="36">
        <v>0.50039999999999996</v>
      </c>
      <c r="AB129" s="54">
        <v>28.374600000000004</v>
      </c>
      <c r="AC129" s="54">
        <v>3.5675666666666666</v>
      </c>
      <c r="AD129" s="36">
        <v>13.971400000000003</v>
      </c>
    </row>
    <row r="130" spans="1:30" s="37" customFormat="1" ht="15.75" customHeight="1" x14ac:dyDescent="0.2">
      <c r="A130" s="26">
        <v>2797</v>
      </c>
      <c r="B130" s="27" t="s">
        <v>390</v>
      </c>
      <c r="C130" s="27" t="s">
        <v>116</v>
      </c>
      <c r="D130" s="28">
        <v>0</v>
      </c>
      <c r="E130" s="29">
        <v>5.0199999999999996</v>
      </c>
      <c r="F130" s="29">
        <v>5.14</v>
      </c>
      <c r="G130" s="30" t="s">
        <v>39</v>
      </c>
      <c r="H130" s="27" t="s">
        <v>40</v>
      </c>
      <c r="I130" s="27" t="s">
        <v>41</v>
      </c>
      <c r="J130" s="27" t="s">
        <v>42</v>
      </c>
      <c r="K130" s="27" t="s">
        <v>43</v>
      </c>
      <c r="L130" s="31" t="s">
        <v>391</v>
      </c>
      <c r="M130" s="32">
        <v>0.79</v>
      </c>
      <c r="N130" s="27" t="s">
        <v>33</v>
      </c>
      <c r="O130" s="27" t="s">
        <v>111</v>
      </c>
      <c r="P130" s="27" t="s">
        <v>320</v>
      </c>
      <c r="Q130" s="27" t="s">
        <v>392</v>
      </c>
      <c r="R130" s="33">
        <v>15122</v>
      </c>
      <c r="S130" s="34">
        <v>42014</v>
      </c>
      <c r="T130" s="34">
        <v>42015</v>
      </c>
      <c r="U130" s="29">
        <v>-159.30279999999999</v>
      </c>
      <c r="V130" s="26">
        <v>8</v>
      </c>
      <c r="W130" s="29">
        <v>43.94</v>
      </c>
      <c r="X130" s="26">
        <v>87552</v>
      </c>
      <c r="Y130" s="35">
        <v>30.37</v>
      </c>
      <c r="Z130" s="1" t="s">
        <v>3014</v>
      </c>
      <c r="AA130" s="36">
        <v>0</v>
      </c>
      <c r="AB130" s="54">
        <v>9.2273999999999976</v>
      </c>
      <c r="AC130" s="54">
        <v>4.3390750000000002</v>
      </c>
      <c r="AD130" s="36">
        <v>198.1028</v>
      </c>
    </row>
    <row r="131" spans="1:30" s="37" customFormat="1" ht="15.75" customHeight="1" x14ac:dyDescent="0.2">
      <c r="A131" s="26">
        <v>194</v>
      </c>
      <c r="B131" s="27" t="s">
        <v>393</v>
      </c>
      <c r="C131" s="27" t="s">
        <v>3094</v>
      </c>
      <c r="D131" s="28">
        <v>0.02</v>
      </c>
      <c r="E131" s="29">
        <v>6.48</v>
      </c>
      <c r="F131" s="29">
        <v>9.17</v>
      </c>
      <c r="G131" s="30" t="s">
        <v>39</v>
      </c>
      <c r="H131" s="27" t="s">
        <v>94</v>
      </c>
      <c r="I131" s="27" t="s">
        <v>49</v>
      </c>
      <c r="J131" s="27" t="s">
        <v>88</v>
      </c>
      <c r="K131" s="27" t="s">
        <v>73</v>
      </c>
      <c r="L131" s="31" t="s">
        <v>394</v>
      </c>
      <c r="M131" s="32">
        <v>0.37</v>
      </c>
      <c r="N131" s="27" t="s">
        <v>33</v>
      </c>
      <c r="O131" s="27" t="s">
        <v>60</v>
      </c>
      <c r="P131" s="27" t="s">
        <v>146</v>
      </c>
      <c r="Q131" s="27" t="s">
        <v>395</v>
      </c>
      <c r="R131" s="33">
        <v>84043</v>
      </c>
      <c r="S131" s="34">
        <v>42014</v>
      </c>
      <c r="T131" s="34">
        <v>42015</v>
      </c>
      <c r="U131" s="29">
        <v>-105.68519999999999</v>
      </c>
      <c r="V131" s="26">
        <v>4</v>
      </c>
      <c r="W131" s="29">
        <v>28.2</v>
      </c>
      <c r="X131" s="26">
        <v>90431</v>
      </c>
      <c r="Y131" s="35">
        <v>297.61</v>
      </c>
      <c r="Z131" s="1" t="s">
        <v>3013</v>
      </c>
      <c r="AA131" s="36">
        <v>0.51840000000000008</v>
      </c>
      <c r="AB131" s="54">
        <v>17.765999999999998</v>
      </c>
      <c r="AC131" s="54">
        <v>2.6084999999999998</v>
      </c>
      <c r="AD131" s="36">
        <v>124.1968</v>
      </c>
    </row>
    <row r="132" spans="1:30" s="37" customFormat="1" ht="15.75" customHeight="1" x14ac:dyDescent="0.2">
      <c r="A132" s="26">
        <v>2418</v>
      </c>
      <c r="B132" s="27" t="s">
        <v>240</v>
      </c>
      <c r="C132" s="27" t="s">
        <v>38</v>
      </c>
      <c r="D132" s="28">
        <v>0.06</v>
      </c>
      <c r="E132" s="29">
        <v>2.78</v>
      </c>
      <c r="F132" s="29">
        <v>1.25</v>
      </c>
      <c r="G132" s="30" t="s">
        <v>39</v>
      </c>
      <c r="H132" s="27" t="s">
        <v>40</v>
      </c>
      <c r="I132" s="27" t="s">
        <v>49</v>
      </c>
      <c r="J132" s="27" t="s">
        <v>50</v>
      </c>
      <c r="K132" s="27" t="s">
        <v>51</v>
      </c>
      <c r="L132" s="31" t="s">
        <v>382</v>
      </c>
      <c r="M132" s="32">
        <v>0.59</v>
      </c>
      <c r="N132" s="27" t="s">
        <v>33</v>
      </c>
      <c r="O132" s="27" t="s">
        <v>34</v>
      </c>
      <c r="P132" s="27" t="s">
        <v>242</v>
      </c>
      <c r="Q132" s="27" t="s">
        <v>243</v>
      </c>
      <c r="R132" s="33">
        <v>23805</v>
      </c>
      <c r="S132" s="34">
        <v>42014</v>
      </c>
      <c r="T132" s="34">
        <v>42016</v>
      </c>
      <c r="U132" s="29">
        <v>66.36</v>
      </c>
      <c r="V132" s="26">
        <v>10</v>
      </c>
      <c r="W132" s="29">
        <v>28.09</v>
      </c>
      <c r="X132" s="26">
        <v>86753</v>
      </c>
      <c r="Y132" s="35">
        <v>5.0199999999999996</v>
      </c>
      <c r="Z132" s="1" t="s">
        <v>3011</v>
      </c>
      <c r="AA132" s="36">
        <v>1.6679999999999997</v>
      </c>
      <c r="AB132" s="54">
        <v>11.516900000000001</v>
      </c>
      <c r="AC132" s="54">
        <v>1.6573100000000001</v>
      </c>
      <c r="AD132" s="36">
        <v>-41.188000000000002</v>
      </c>
    </row>
    <row r="133" spans="1:30" s="37" customFormat="1" ht="15.75" customHeight="1" x14ac:dyDescent="0.2">
      <c r="A133" s="26">
        <v>896</v>
      </c>
      <c r="B133" s="27" t="s">
        <v>375</v>
      </c>
      <c r="C133" s="27" t="s">
        <v>26</v>
      </c>
      <c r="D133" s="28">
        <v>0.06</v>
      </c>
      <c r="E133" s="29">
        <v>3.28</v>
      </c>
      <c r="F133" s="29">
        <v>3.97</v>
      </c>
      <c r="G133" s="30" t="s">
        <v>39</v>
      </c>
      <c r="H133" s="27" t="s">
        <v>94</v>
      </c>
      <c r="I133" s="27" t="s">
        <v>49</v>
      </c>
      <c r="J133" s="27" t="s">
        <v>50</v>
      </c>
      <c r="K133" s="27" t="s">
        <v>51</v>
      </c>
      <c r="L133" s="31" t="s">
        <v>367</v>
      </c>
      <c r="M133" s="32">
        <v>0.56000000000000005</v>
      </c>
      <c r="N133" s="27" t="s">
        <v>33</v>
      </c>
      <c r="O133" s="27" t="s">
        <v>53</v>
      </c>
      <c r="P133" s="27" t="s">
        <v>187</v>
      </c>
      <c r="Q133" s="27" t="s">
        <v>376</v>
      </c>
      <c r="R133" s="33">
        <v>76201</v>
      </c>
      <c r="S133" s="34">
        <v>42014</v>
      </c>
      <c r="T133" s="34">
        <v>42015</v>
      </c>
      <c r="U133" s="29">
        <v>-66.650000000000006</v>
      </c>
      <c r="V133" s="26">
        <v>5</v>
      </c>
      <c r="W133" s="29">
        <v>16.62</v>
      </c>
      <c r="X133" s="26">
        <v>90166</v>
      </c>
      <c r="Y133" s="35">
        <v>6.4600000000000009</v>
      </c>
      <c r="Z133" s="1" t="s">
        <v>3012</v>
      </c>
      <c r="AA133" s="36">
        <v>0.98399999999999987</v>
      </c>
      <c r="AB133" s="54">
        <v>7.3127999999999993</v>
      </c>
      <c r="AC133" s="54">
        <v>1.8614400000000004</v>
      </c>
      <c r="AD133" s="36">
        <v>78.316000000000003</v>
      </c>
    </row>
    <row r="134" spans="1:30" s="37" customFormat="1" ht="15.75" customHeight="1" x14ac:dyDescent="0.2">
      <c r="A134" s="26">
        <v>166</v>
      </c>
      <c r="B134" s="27" t="s">
        <v>399</v>
      </c>
      <c r="C134" s="27" t="s">
        <v>48</v>
      </c>
      <c r="D134" s="28">
        <v>0.08</v>
      </c>
      <c r="E134" s="29">
        <v>399.98</v>
      </c>
      <c r="F134" s="29">
        <v>12.06</v>
      </c>
      <c r="G134" s="30" t="s">
        <v>27</v>
      </c>
      <c r="H134" s="27" t="s">
        <v>40</v>
      </c>
      <c r="I134" s="27" t="s">
        <v>41</v>
      </c>
      <c r="J134" s="27" t="s">
        <v>57</v>
      </c>
      <c r="K134" s="27" t="s">
        <v>31</v>
      </c>
      <c r="L134" s="31" t="s">
        <v>183</v>
      </c>
      <c r="M134" s="32">
        <v>0.56000000000000005</v>
      </c>
      <c r="N134" s="27" t="s">
        <v>33</v>
      </c>
      <c r="O134" s="27" t="s">
        <v>34</v>
      </c>
      <c r="P134" s="27" t="s">
        <v>400</v>
      </c>
      <c r="Q134" s="27" t="s">
        <v>401</v>
      </c>
      <c r="R134" s="33">
        <v>37087</v>
      </c>
      <c r="S134" s="34">
        <v>42015</v>
      </c>
      <c r="T134" s="34">
        <v>42022</v>
      </c>
      <c r="U134" s="29">
        <v>28.514099999999999</v>
      </c>
      <c r="V134" s="26">
        <v>5</v>
      </c>
      <c r="W134" s="29">
        <v>1839.91</v>
      </c>
      <c r="X134" s="26">
        <v>89426</v>
      </c>
      <c r="Y134" s="35">
        <v>14.12</v>
      </c>
      <c r="Z134" s="1" t="s">
        <v>3011</v>
      </c>
      <c r="AA134" s="36">
        <v>159.99200000000002</v>
      </c>
      <c r="AB134" s="54">
        <v>809.56039999999996</v>
      </c>
      <c r="AC134" s="54">
        <v>206.06992000000002</v>
      </c>
      <c r="AD134" s="36">
        <v>1639.3439000000001</v>
      </c>
    </row>
    <row r="135" spans="1:30" s="37" customFormat="1" ht="15.75" customHeight="1" x14ac:dyDescent="0.2">
      <c r="A135" s="26">
        <v>466</v>
      </c>
      <c r="B135" s="27" t="s">
        <v>402</v>
      </c>
      <c r="C135" s="27" t="s">
        <v>3094</v>
      </c>
      <c r="D135" s="28">
        <v>0.08</v>
      </c>
      <c r="E135" s="29">
        <v>297.64</v>
      </c>
      <c r="F135" s="29">
        <v>14.7</v>
      </c>
      <c r="G135" s="30" t="s">
        <v>27</v>
      </c>
      <c r="H135" s="27" t="s">
        <v>3095</v>
      </c>
      <c r="I135" s="27" t="s">
        <v>41</v>
      </c>
      <c r="J135" s="27" t="s">
        <v>57</v>
      </c>
      <c r="K135" s="27" t="s">
        <v>58</v>
      </c>
      <c r="L135" s="31" t="s">
        <v>387</v>
      </c>
      <c r="M135" s="32">
        <v>0.56999999999999995</v>
      </c>
      <c r="N135" s="27" t="s">
        <v>33</v>
      </c>
      <c r="O135" s="27" t="s">
        <v>111</v>
      </c>
      <c r="P135" s="27" t="s">
        <v>403</v>
      </c>
      <c r="Q135" s="27" t="s">
        <v>404</v>
      </c>
      <c r="R135" s="33">
        <v>2019</v>
      </c>
      <c r="S135" s="34">
        <v>42015</v>
      </c>
      <c r="T135" s="34">
        <v>42015</v>
      </c>
      <c r="U135" s="29">
        <v>496.79680000000002</v>
      </c>
      <c r="V135" s="26">
        <v>5</v>
      </c>
      <c r="W135" s="29">
        <v>1132.8399999999999</v>
      </c>
      <c r="X135" s="26">
        <v>88060</v>
      </c>
      <c r="Y135" s="35">
        <v>399.90000000000003</v>
      </c>
      <c r="Z135" s="1" t="s">
        <v>3014</v>
      </c>
      <c r="AA135" s="36">
        <v>119.056</v>
      </c>
      <c r="AB135" s="54">
        <v>487.12120000000004</v>
      </c>
      <c r="AC135" s="54">
        <v>129.14375999999999</v>
      </c>
      <c r="AD135" s="36">
        <v>502.28719999999987</v>
      </c>
    </row>
    <row r="136" spans="1:30" s="37" customFormat="1" ht="15.75" customHeight="1" x14ac:dyDescent="0.2">
      <c r="A136" s="26">
        <v>467</v>
      </c>
      <c r="B136" s="27" t="s">
        <v>405</v>
      </c>
      <c r="C136" s="27" t="s">
        <v>3094</v>
      </c>
      <c r="D136" s="28">
        <v>0.02</v>
      </c>
      <c r="E136" s="29">
        <v>12.99</v>
      </c>
      <c r="F136" s="29">
        <v>14.37</v>
      </c>
      <c r="G136" s="30" t="s">
        <v>39</v>
      </c>
      <c r="H136" s="27" t="s">
        <v>3095</v>
      </c>
      <c r="I136" s="27" t="s">
        <v>29</v>
      </c>
      <c r="J136" s="27" t="s">
        <v>126</v>
      </c>
      <c r="K136" s="27" t="s">
        <v>65</v>
      </c>
      <c r="L136" s="31" t="s">
        <v>406</v>
      </c>
      <c r="M136" s="32">
        <v>0.73</v>
      </c>
      <c r="N136" s="27" t="s">
        <v>33</v>
      </c>
      <c r="O136" s="27" t="s">
        <v>111</v>
      </c>
      <c r="P136" s="27" t="s">
        <v>403</v>
      </c>
      <c r="Q136" s="27" t="s">
        <v>407</v>
      </c>
      <c r="R136" s="33">
        <v>1915</v>
      </c>
      <c r="S136" s="34">
        <v>42015</v>
      </c>
      <c r="T136" s="34">
        <v>42016</v>
      </c>
      <c r="U136" s="29">
        <v>-556.80960000000005</v>
      </c>
      <c r="V136" s="26">
        <v>11</v>
      </c>
      <c r="W136" s="29">
        <v>143.63</v>
      </c>
      <c r="X136" s="26">
        <v>88060</v>
      </c>
      <c r="Y136" s="35">
        <v>297.56</v>
      </c>
      <c r="Z136" s="1" t="s">
        <v>3014</v>
      </c>
      <c r="AA136" s="36">
        <v>2.8578000000000001</v>
      </c>
      <c r="AB136" s="54">
        <v>38.780100000000004</v>
      </c>
      <c r="AC136" s="54">
        <v>9.5318090909090909</v>
      </c>
      <c r="AD136" s="36">
        <v>683.21180000000004</v>
      </c>
    </row>
    <row r="137" spans="1:30" s="37" customFormat="1" ht="15.75" customHeight="1" x14ac:dyDescent="0.2">
      <c r="A137" s="26">
        <v>468</v>
      </c>
      <c r="B137" s="27" t="s">
        <v>408</v>
      </c>
      <c r="C137" s="27" t="s">
        <v>3094</v>
      </c>
      <c r="D137" s="28">
        <v>0.06</v>
      </c>
      <c r="E137" s="29">
        <v>14.42</v>
      </c>
      <c r="F137" s="29">
        <v>6.75</v>
      </c>
      <c r="G137" s="30" t="s">
        <v>39</v>
      </c>
      <c r="H137" s="27" t="s">
        <v>3095</v>
      </c>
      <c r="I137" s="27" t="s">
        <v>49</v>
      </c>
      <c r="J137" s="27" t="s">
        <v>95</v>
      </c>
      <c r="K137" s="27" t="s">
        <v>144</v>
      </c>
      <c r="L137" s="31" t="s">
        <v>409</v>
      </c>
      <c r="M137" s="32">
        <v>0.52</v>
      </c>
      <c r="N137" s="27" t="s">
        <v>33</v>
      </c>
      <c r="O137" s="27" t="s">
        <v>111</v>
      </c>
      <c r="P137" s="27" t="s">
        <v>403</v>
      </c>
      <c r="Q137" s="27" t="s">
        <v>410</v>
      </c>
      <c r="R137" s="33">
        <v>2341</v>
      </c>
      <c r="S137" s="34">
        <v>42015</v>
      </c>
      <c r="T137" s="34">
        <v>42016</v>
      </c>
      <c r="U137" s="29">
        <v>-27.738800000000001</v>
      </c>
      <c r="V137" s="26">
        <v>5</v>
      </c>
      <c r="W137" s="29">
        <v>73.040000000000006</v>
      </c>
      <c r="X137" s="26">
        <v>88060</v>
      </c>
      <c r="Y137" s="35">
        <v>12.97</v>
      </c>
      <c r="Z137" s="1" t="s">
        <v>3014</v>
      </c>
      <c r="AA137" s="36">
        <v>4.3259999999999996</v>
      </c>
      <c r="AB137" s="54">
        <v>35.059200000000004</v>
      </c>
      <c r="AC137" s="54">
        <v>7.5961600000000002</v>
      </c>
      <c r="AD137" s="36">
        <v>89.702800000000011</v>
      </c>
    </row>
    <row r="138" spans="1:30" s="37" customFormat="1" ht="15.75" customHeight="1" x14ac:dyDescent="0.2">
      <c r="A138" s="26">
        <v>947</v>
      </c>
      <c r="B138" s="27" t="s">
        <v>396</v>
      </c>
      <c r="C138" s="27" t="s">
        <v>26</v>
      </c>
      <c r="D138" s="28">
        <v>0.08</v>
      </c>
      <c r="E138" s="29">
        <v>14.2</v>
      </c>
      <c r="F138" s="29">
        <v>5.3</v>
      </c>
      <c r="G138" s="30" t="s">
        <v>87</v>
      </c>
      <c r="H138" s="27" t="s">
        <v>71</v>
      </c>
      <c r="I138" s="27" t="s">
        <v>29</v>
      </c>
      <c r="J138" s="27" t="s">
        <v>126</v>
      </c>
      <c r="K138" s="27" t="s">
        <v>51</v>
      </c>
      <c r="L138" s="31" t="s">
        <v>288</v>
      </c>
      <c r="M138" s="32">
        <v>0.46</v>
      </c>
      <c r="N138" s="27" t="s">
        <v>33</v>
      </c>
      <c r="O138" s="27" t="s">
        <v>111</v>
      </c>
      <c r="P138" s="27" t="s">
        <v>397</v>
      </c>
      <c r="Q138" s="27" t="s">
        <v>398</v>
      </c>
      <c r="R138" s="33">
        <v>7002</v>
      </c>
      <c r="S138" s="34">
        <v>42015</v>
      </c>
      <c r="T138" s="34">
        <v>42017</v>
      </c>
      <c r="U138" s="29">
        <v>27.23</v>
      </c>
      <c r="V138" s="26">
        <v>5</v>
      </c>
      <c r="W138" s="29">
        <v>72.11</v>
      </c>
      <c r="X138" s="26">
        <v>86565</v>
      </c>
      <c r="Y138" s="35">
        <v>14.36</v>
      </c>
      <c r="Z138" s="1" t="s">
        <v>3014</v>
      </c>
      <c r="AA138" s="36">
        <v>5.68</v>
      </c>
      <c r="AB138" s="54">
        <v>38.939399999999999</v>
      </c>
      <c r="AC138" s="54">
        <v>6.6341200000000002</v>
      </c>
      <c r="AD138" s="36">
        <v>33.9</v>
      </c>
    </row>
    <row r="139" spans="1:30" s="37" customFormat="1" ht="15.75" customHeight="1" x14ac:dyDescent="0.2">
      <c r="A139" s="26">
        <v>470</v>
      </c>
      <c r="B139" s="27" t="s">
        <v>414</v>
      </c>
      <c r="C139" s="27" t="s">
        <v>3094</v>
      </c>
      <c r="D139" s="28">
        <v>0.03</v>
      </c>
      <c r="E139" s="29">
        <v>11.34</v>
      </c>
      <c r="F139" s="29">
        <v>5.01</v>
      </c>
      <c r="G139" s="30" t="s">
        <v>39</v>
      </c>
      <c r="H139" s="27" t="s">
        <v>3095</v>
      </c>
      <c r="I139" s="27" t="s">
        <v>49</v>
      </c>
      <c r="J139" s="27" t="s">
        <v>88</v>
      </c>
      <c r="K139" s="27" t="s">
        <v>73</v>
      </c>
      <c r="L139" s="31" t="s">
        <v>415</v>
      </c>
      <c r="M139" s="32">
        <v>0.36</v>
      </c>
      <c r="N139" s="27" t="s">
        <v>33</v>
      </c>
      <c r="O139" s="27" t="s">
        <v>111</v>
      </c>
      <c r="P139" s="27" t="s">
        <v>397</v>
      </c>
      <c r="Q139" s="27" t="s">
        <v>416</v>
      </c>
      <c r="R139" s="33">
        <v>8601</v>
      </c>
      <c r="S139" s="34">
        <v>42015</v>
      </c>
      <c r="T139" s="34">
        <v>42015</v>
      </c>
      <c r="U139" s="29">
        <v>23.2028</v>
      </c>
      <c r="V139" s="26">
        <v>5</v>
      </c>
      <c r="W139" s="29">
        <v>60.24</v>
      </c>
      <c r="X139" s="26">
        <v>88060</v>
      </c>
      <c r="Y139" s="35">
        <v>4.09</v>
      </c>
      <c r="Z139" s="1" t="s">
        <v>3014</v>
      </c>
      <c r="AA139" s="36">
        <v>1.7010000000000001</v>
      </c>
      <c r="AB139" s="54">
        <v>38.553600000000003</v>
      </c>
      <c r="AC139" s="54">
        <v>4.3372799999999998</v>
      </c>
      <c r="AD139" s="36">
        <v>30.3262</v>
      </c>
    </row>
    <row r="140" spans="1:30" s="37" customFormat="1" ht="15.75" customHeight="1" x14ac:dyDescent="0.2">
      <c r="A140" s="26">
        <v>469</v>
      </c>
      <c r="B140" s="27" t="s">
        <v>411</v>
      </c>
      <c r="C140" s="27" t="s">
        <v>3094</v>
      </c>
      <c r="D140" s="28">
        <v>0.05</v>
      </c>
      <c r="E140" s="29">
        <v>4.1399999999999997</v>
      </c>
      <c r="F140" s="29">
        <v>6.6</v>
      </c>
      <c r="G140" s="30" t="s">
        <v>87</v>
      </c>
      <c r="H140" s="27" t="s">
        <v>3095</v>
      </c>
      <c r="I140" s="27" t="s">
        <v>29</v>
      </c>
      <c r="J140" s="27" t="s">
        <v>126</v>
      </c>
      <c r="K140" s="27" t="s">
        <v>73</v>
      </c>
      <c r="L140" s="31" t="s">
        <v>412</v>
      </c>
      <c r="M140" s="32">
        <v>0.49</v>
      </c>
      <c r="N140" s="27" t="s">
        <v>33</v>
      </c>
      <c r="O140" s="27" t="s">
        <v>111</v>
      </c>
      <c r="P140" s="27" t="s">
        <v>397</v>
      </c>
      <c r="Q140" s="27" t="s">
        <v>413</v>
      </c>
      <c r="R140" s="33">
        <v>7506</v>
      </c>
      <c r="S140" s="34">
        <v>42015</v>
      </c>
      <c r="T140" s="34">
        <v>42017</v>
      </c>
      <c r="U140" s="29">
        <v>-128.68719999999999</v>
      </c>
      <c r="V140" s="26">
        <v>7</v>
      </c>
      <c r="W140" s="29">
        <v>33.35</v>
      </c>
      <c r="X140" s="26">
        <v>88060</v>
      </c>
      <c r="Y140" s="35">
        <v>11.31</v>
      </c>
      <c r="Z140" s="1" t="s">
        <v>3014</v>
      </c>
      <c r="AA140" s="36">
        <v>1.4489999999999998</v>
      </c>
      <c r="AB140" s="54">
        <v>17.008500000000002</v>
      </c>
      <c r="AC140" s="54">
        <v>2.3344999999999998</v>
      </c>
      <c r="AD140" s="36">
        <v>153.98820000000001</v>
      </c>
    </row>
    <row r="141" spans="1:30" s="37" customFormat="1" ht="15.75" customHeight="1" x14ac:dyDescent="0.2">
      <c r="A141" s="26">
        <v>2776</v>
      </c>
      <c r="B141" s="27" t="s">
        <v>417</v>
      </c>
      <c r="C141" s="27" t="s">
        <v>26</v>
      </c>
      <c r="D141" s="28">
        <v>0.03</v>
      </c>
      <c r="E141" s="29">
        <v>350.98</v>
      </c>
      <c r="F141" s="29">
        <v>30</v>
      </c>
      <c r="G141" s="30" t="s">
        <v>27</v>
      </c>
      <c r="H141" s="27" t="s">
        <v>40</v>
      </c>
      <c r="I141" s="27" t="s">
        <v>29</v>
      </c>
      <c r="J141" s="27" t="s">
        <v>109</v>
      </c>
      <c r="K141" s="27" t="s">
        <v>58</v>
      </c>
      <c r="L141" s="31" t="s">
        <v>191</v>
      </c>
      <c r="M141" s="32">
        <v>0.61</v>
      </c>
      <c r="N141" s="27" t="s">
        <v>33</v>
      </c>
      <c r="O141" s="27" t="s">
        <v>111</v>
      </c>
      <c r="P141" s="27" t="s">
        <v>418</v>
      </c>
      <c r="Q141" s="27" t="s">
        <v>419</v>
      </c>
      <c r="R141" s="33">
        <v>20877</v>
      </c>
      <c r="S141" s="34">
        <v>42016</v>
      </c>
      <c r="T141" s="34">
        <v>42019</v>
      </c>
      <c r="U141" s="29">
        <v>2692.4421000000002</v>
      </c>
      <c r="V141" s="26">
        <v>11</v>
      </c>
      <c r="W141" s="29">
        <v>3902.09</v>
      </c>
      <c r="X141" s="26">
        <v>91228</v>
      </c>
      <c r="Y141" s="35">
        <v>350.95000000000005</v>
      </c>
      <c r="Z141" s="1" t="s">
        <v>3014</v>
      </c>
      <c r="AA141" s="36">
        <v>115.82340000000001</v>
      </c>
      <c r="AB141" s="54">
        <v>1521.8151</v>
      </c>
      <c r="AC141" s="54">
        <v>216.38862727272726</v>
      </c>
      <c r="AD141" s="36">
        <v>1063.8244999999997</v>
      </c>
    </row>
    <row r="142" spans="1:30" s="37" customFormat="1" ht="15.75" customHeight="1" x14ac:dyDescent="0.2">
      <c r="A142" s="26">
        <v>824</v>
      </c>
      <c r="B142" s="27" t="s">
        <v>434</v>
      </c>
      <c r="C142" s="27" t="s">
        <v>48</v>
      </c>
      <c r="D142" s="28">
        <v>0.09</v>
      </c>
      <c r="E142" s="29">
        <v>260.98</v>
      </c>
      <c r="F142" s="29">
        <v>41.91</v>
      </c>
      <c r="G142" s="30" t="s">
        <v>27</v>
      </c>
      <c r="H142" s="27" t="s">
        <v>3095</v>
      </c>
      <c r="I142" s="27" t="s">
        <v>29</v>
      </c>
      <c r="J142" s="27" t="s">
        <v>117</v>
      </c>
      <c r="K142" s="27" t="s">
        <v>31</v>
      </c>
      <c r="L142" s="31" t="s">
        <v>435</v>
      </c>
      <c r="M142" s="32">
        <v>0.59</v>
      </c>
      <c r="N142" s="27" t="s">
        <v>33</v>
      </c>
      <c r="O142" s="27" t="s">
        <v>34</v>
      </c>
      <c r="P142" s="27" t="s">
        <v>400</v>
      </c>
      <c r="Q142" s="27" t="s">
        <v>436</v>
      </c>
      <c r="R142" s="33">
        <v>37174</v>
      </c>
      <c r="S142" s="34">
        <v>42016</v>
      </c>
      <c r="T142" s="34">
        <v>42023</v>
      </c>
      <c r="U142" s="29">
        <v>-100.744</v>
      </c>
      <c r="V142" s="26">
        <v>8</v>
      </c>
      <c r="W142" s="29">
        <v>2044.9</v>
      </c>
      <c r="X142" s="26">
        <v>89257</v>
      </c>
      <c r="Y142" s="35">
        <v>1.64</v>
      </c>
      <c r="Z142" s="1" t="s">
        <v>3011</v>
      </c>
      <c r="AA142" s="36">
        <v>187.90559999999999</v>
      </c>
      <c r="AB142" s="54">
        <v>838.40900000000011</v>
      </c>
      <c r="AC142" s="54">
        <v>150.811375</v>
      </c>
      <c r="AD142" s="36">
        <v>1915.8284000000001</v>
      </c>
    </row>
    <row r="143" spans="1:30" s="37" customFormat="1" ht="15.75" customHeight="1" x14ac:dyDescent="0.2">
      <c r="A143" s="26">
        <v>2491</v>
      </c>
      <c r="B143" s="27" t="s">
        <v>457</v>
      </c>
      <c r="C143" s="27" t="s">
        <v>3094</v>
      </c>
      <c r="D143" s="28">
        <v>7.0000000000000007E-2</v>
      </c>
      <c r="E143" s="29">
        <v>65.989999999999995</v>
      </c>
      <c r="F143" s="29">
        <v>8.8000000000000007</v>
      </c>
      <c r="G143" s="30" t="s">
        <v>39</v>
      </c>
      <c r="H143" s="27" t="s">
        <v>71</v>
      </c>
      <c r="I143" s="27" t="s">
        <v>41</v>
      </c>
      <c r="J143" s="27" t="s">
        <v>135</v>
      </c>
      <c r="K143" s="27" t="s">
        <v>73</v>
      </c>
      <c r="L143" s="31" t="s">
        <v>452</v>
      </c>
      <c r="M143" s="32">
        <v>0.57999999999999996</v>
      </c>
      <c r="N143" s="27" t="s">
        <v>33</v>
      </c>
      <c r="O143" s="27" t="s">
        <v>60</v>
      </c>
      <c r="P143" s="27" t="s">
        <v>90</v>
      </c>
      <c r="Q143" s="27" t="s">
        <v>100</v>
      </c>
      <c r="R143" s="33">
        <v>90045</v>
      </c>
      <c r="S143" s="34">
        <v>42016</v>
      </c>
      <c r="T143" s="34">
        <v>42016</v>
      </c>
      <c r="U143" s="29">
        <v>109.836</v>
      </c>
      <c r="V143" s="26">
        <v>37</v>
      </c>
      <c r="W143" s="29">
        <v>1939.03</v>
      </c>
      <c r="X143" s="26">
        <v>23877</v>
      </c>
      <c r="Y143" s="35">
        <v>6.25</v>
      </c>
      <c r="Z143" s="1" t="s">
        <v>3013</v>
      </c>
      <c r="AA143" s="36">
        <v>170.91409999999999</v>
      </c>
      <c r="AB143" s="54">
        <v>814.39260000000002</v>
      </c>
      <c r="AC143" s="54">
        <v>30.395605405405401</v>
      </c>
      <c r="AD143" s="36">
        <v>1649.4799</v>
      </c>
    </row>
    <row r="144" spans="1:30" s="37" customFormat="1" ht="15.75" customHeight="1" x14ac:dyDescent="0.2">
      <c r="A144" s="26">
        <v>120</v>
      </c>
      <c r="B144" s="27" t="s">
        <v>421</v>
      </c>
      <c r="C144" s="27" t="s">
        <v>38</v>
      </c>
      <c r="D144" s="28">
        <v>0.09</v>
      </c>
      <c r="E144" s="29">
        <v>205.99</v>
      </c>
      <c r="F144" s="29">
        <v>3</v>
      </c>
      <c r="G144" s="30" t="s">
        <v>87</v>
      </c>
      <c r="H144" s="27" t="s">
        <v>94</v>
      </c>
      <c r="I144" s="27" t="s">
        <v>41</v>
      </c>
      <c r="J144" s="27" t="s">
        <v>135</v>
      </c>
      <c r="K144" s="27" t="s">
        <v>73</v>
      </c>
      <c r="L144" s="31" t="s">
        <v>423</v>
      </c>
      <c r="M144" s="32">
        <v>0.57999999999999996</v>
      </c>
      <c r="N144" s="27" t="s">
        <v>33</v>
      </c>
      <c r="O144" s="27" t="s">
        <v>60</v>
      </c>
      <c r="P144" s="27" t="s">
        <v>146</v>
      </c>
      <c r="Q144" s="27" t="s">
        <v>181</v>
      </c>
      <c r="R144" s="33">
        <v>84041</v>
      </c>
      <c r="S144" s="34">
        <v>42016</v>
      </c>
      <c r="T144" s="34">
        <v>42018</v>
      </c>
      <c r="U144" s="29">
        <v>1179.0237</v>
      </c>
      <c r="V144" s="26">
        <v>10</v>
      </c>
      <c r="W144" s="29">
        <v>1708.73</v>
      </c>
      <c r="X144" s="26">
        <v>86520</v>
      </c>
      <c r="Y144" s="35">
        <v>205.9</v>
      </c>
      <c r="Z144" s="1" t="s">
        <v>3013</v>
      </c>
      <c r="AA144" s="36">
        <v>185.39100000000002</v>
      </c>
      <c r="AB144" s="54">
        <v>717.66660000000013</v>
      </c>
      <c r="AC144" s="54">
        <v>99.106339999999989</v>
      </c>
      <c r="AD144" s="36">
        <v>341.31529999999998</v>
      </c>
    </row>
    <row r="145" spans="1:30" s="37" customFormat="1" ht="15.75" customHeight="1" x14ac:dyDescent="0.2">
      <c r="A145" s="26">
        <v>1636</v>
      </c>
      <c r="B145" s="27" t="s">
        <v>428</v>
      </c>
      <c r="C145" s="27" t="s">
        <v>38</v>
      </c>
      <c r="D145" s="28">
        <v>0.04</v>
      </c>
      <c r="E145" s="29">
        <v>136.97999999999999</v>
      </c>
      <c r="F145" s="29">
        <v>24.49</v>
      </c>
      <c r="G145" s="30" t="s">
        <v>87</v>
      </c>
      <c r="H145" s="27" t="s">
        <v>71</v>
      </c>
      <c r="I145" s="27" t="s">
        <v>29</v>
      </c>
      <c r="J145" s="27" t="s">
        <v>126</v>
      </c>
      <c r="K145" s="27" t="s">
        <v>65</v>
      </c>
      <c r="L145" s="31" t="s">
        <v>429</v>
      </c>
      <c r="M145" s="32">
        <v>0.59</v>
      </c>
      <c r="N145" s="27" t="s">
        <v>33</v>
      </c>
      <c r="O145" s="27" t="s">
        <v>60</v>
      </c>
      <c r="P145" s="27" t="s">
        <v>90</v>
      </c>
      <c r="Q145" s="27" t="s">
        <v>430</v>
      </c>
      <c r="R145" s="33">
        <v>93905</v>
      </c>
      <c r="S145" s="34">
        <v>42016</v>
      </c>
      <c r="T145" s="34">
        <v>42018</v>
      </c>
      <c r="U145" s="29">
        <v>1127.5497</v>
      </c>
      <c r="V145" s="26">
        <v>12</v>
      </c>
      <c r="W145" s="29">
        <v>1634.13</v>
      </c>
      <c r="X145" s="26">
        <v>89706</v>
      </c>
      <c r="Y145" s="35">
        <v>90.929999999999993</v>
      </c>
      <c r="Z145" s="1" t="s">
        <v>3013</v>
      </c>
      <c r="AA145" s="36">
        <v>65.750399999999999</v>
      </c>
      <c r="AB145" s="54">
        <v>669.99330000000009</v>
      </c>
      <c r="AC145" s="54">
        <v>80.344724999999997</v>
      </c>
      <c r="AD145" s="36">
        <v>416.33990000000017</v>
      </c>
    </row>
    <row r="146" spans="1:30" s="37" customFormat="1" ht="15.75" customHeight="1" x14ac:dyDescent="0.2">
      <c r="A146" s="26">
        <v>1424</v>
      </c>
      <c r="B146" s="27" t="s">
        <v>437</v>
      </c>
      <c r="C146" s="27" t="s">
        <v>48</v>
      </c>
      <c r="D146" s="28">
        <v>0.05</v>
      </c>
      <c r="E146" s="29">
        <v>350.99</v>
      </c>
      <c r="F146" s="29">
        <v>39</v>
      </c>
      <c r="G146" s="30" t="s">
        <v>27</v>
      </c>
      <c r="H146" s="27" t="s">
        <v>71</v>
      </c>
      <c r="I146" s="27" t="s">
        <v>29</v>
      </c>
      <c r="J146" s="27" t="s">
        <v>109</v>
      </c>
      <c r="K146" s="27" t="s">
        <v>58</v>
      </c>
      <c r="L146" s="31" t="s">
        <v>438</v>
      </c>
      <c r="M146" s="32">
        <v>0.55000000000000004</v>
      </c>
      <c r="N146" s="27" t="s">
        <v>33</v>
      </c>
      <c r="O146" s="27" t="s">
        <v>60</v>
      </c>
      <c r="P146" s="27" t="s">
        <v>61</v>
      </c>
      <c r="Q146" s="27" t="s">
        <v>439</v>
      </c>
      <c r="R146" s="33">
        <v>80112</v>
      </c>
      <c r="S146" s="34">
        <v>42016</v>
      </c>
      <c r="T146" s="34">
        <v>42018</v>
      </c>
      <c r="U146" s="29">
        <v>451.28039999999999</v>
      </c>
      <c r="V146" s="26">
        <v>3</v>
      </c>
      <c r="W146" s="29">
        <v>1020.08</v>
      </c>
      <c r="X146" s="26">
        <v>89448</v>
      </c>
      <c r="Y146" s="35">
        <v>20.27</v>
      </c>
      <c r="Z146" s="1" t="s">
        <v>3013</v>
      </c>
      <c r="AA146" s="36">
        <v>52.648500000000006</v>
      </c>
      <c r="AB146" s="54">
        <v>459.036</v>
      </c>
      <c r="AC146" s="54">
        <v>187.0146666666667</v>
      </c>
      <c r="AD146" s="36">
        <v>477.15110000000004</v>
      </c>
    </row>
    <row r="147" spans="1:30" s="37" customFormat="1" ht="15.75" customHeight="1" x14ac:dyDescent="0.2">
      <c r="A147" s="26">
        <v>898</v>
      </c>
      <c r="B147" s="27" t="s">
        <v>424</v>
      </c>
      <c r="C147" s="27" t="s">
        <v>38</v>
      </c>
      <c r="D147" s="28">
        <v>0.04</v>
      </c>
      <c r="E147" s="29">
        <v>90.97</v>
      </c>
      <c r="F147" s="29">
        <v>28</v>
      </c>
      <c r="G147" s="30" t="s">
        <v>27</v>
      </c>
      <c r="H147" s="27" t="s">
        <v>3095</v>
      </c>
      <c r="I147" s="27" t="s">
        <v>41</v>
      </c>
      <c r="J147" s="27" t="s">
        <v>57</v>
      </c>
      <c r="K147" s="27" t="s">
        <v>58</v>
      </c>
      <c r="L147" s="31" t="s">
        <v>425</v>
      </c>
      <c r="M147" s="32">
        <v>0.38</v>
      </c>
      <c r="N147" s="27" t="s">
        <v>33</v>
      </c>
      <c r="O147" s="27" t="s">
        <v>111</v>
      </c>
      <c r="P147" s="27" t="s">
        <v>112</v>
      </c>
      <c r="Q147" s="27" t="s">
        <v>113</v>
      </c>
      <c r="R147" s="33">
        <v>10039</v>
      </c>
      <c r="S147" s="34">
        <v>42016</v>
      </c>
      <c r="T147" s="34">
        <v>42017</v>
      </c>
      <c r="U147" s="29">
        <v>-173.09520000000001</v>
      </c>
      <c r="V147" s="26">
        <v>6</v>
      </c>
      <c r="W147" s="29">
        <v>573.30999999999995</v>
      </c>
      <c r="X147" s="26">
        <v>33635</v>
      </c>
      <c r="Y147" s="35">
        <v>90.929999999999993</v>
      </c>
      <c r="Z147" s="1" t="s">
        <v>3014</v>
      </c>
      <c r="AA147" s="36">
        <v>21.832799999999999</v>
      </c>
      <c r="AB147" s="54">
        <v>355.45219999999995</v>
      </c>
      <c r="AC147" s="54">
        <v>36.309633333333331</v>
      </c>
      <c r="AD147" s="36">
        <v>696.57240000000002</v>
      </c>
    </row>
    <row r="148" spans="1:30" s="37" customFormat="1" ht="15.75" customHeight="1" x14ac:dyDescent="0.2">
      <c r="A148" s="26">
        <v>2489</v>
      </c>
      <c r="B148" s="27" t="s">
        <v>451</v>
      </c>
      <c r="C148" s="27" t="s">
        <v>3094</v>
      </c>
      <c r="D148" s="28">
        <v>7.0000000000000007E-2</v>
      </c>
      <c r="E148" s="29">
        <v>65.989999999999995</v>
      </c>
      <c r="F148" s="29">
        <v>8.8000000000000007</v>
      </c>
      <c r="G148" s="30" t="s">
        <v>39</v>
      </c>
      <c r="H148" s="27" t="s">
        <v>71</v>
      </c>
      <c r="I148" s="27" t="s">
        <v>41</v>
      </c>
      <c r="J148" s="27" t="s">
        <v>135</v>
      </c>
      <c r="K148" s="27" t="s">
        <v>73</v>
      </c>
      <c r="L148" s="31" t="s">
        <v>452</v>
      </c>
      <c r="M148" s="32">
        <v>0.57999999999999996</v>
      </c>
      <c r="N148" s="27" t="s">
        <v>33</v>
      </c>
      <c r="O148" s="27" t="s">
        <v>60</v>
      </c>
      <c r="P148" s="27" t="s">
        <v>90</v>
      </c>
      <c r="Q148" s="27" t="s">
        <v>453</v>
      </c>
      <c r="R148" s="33">
        <v>94521</v>
      </c>
      <c r="S148" s="34">
        <v>42016</v>
      </c>
      <c r="T148" s="34">
        <v>42016</v>
      </c>
      <c r="U148" s="29">
        <v>109.836</v>
      </c>
      <c r="V148" s="26">
        <v>9</v>
      </c>
      <c r="W148" s="29">
        <v>471.66</v>
      </c>
      <c r="X148" s="26">
        <v>86886</v>
      </c>
      <c r="Y148" s="35">
        <v>20.27</v>
      </c>
      <c r="Z148" s="1" t="s">
        <v>3013</v>
      </c>
      <c r="AA148" s="36">
        <v>41.573700000000002</v>
      </c>
      <c r="AB148" s="54">
        <v>198.09720000000004</v>
      </c>
      <c r="AC148" s="54">
        <v>30.395866666666663</v>
      </c>
      <c r="AD148" s="36">
        <v>311.45030000000003</v>
      </c>
    </row>
    <row r="149" spans="1:30" s="37" customFormat="1" ht="15.75" customHeight="1" x14ac:dyDescent="0.2">
      <c r="A149" s="26">
        <v>2491</v>
      </c>
      <c r="B149" s="27" t="s">
        <v>457</v>
      </c>
      <c r="C149" s="27" t="s">
        <v>3094</v>
      </c>
      <c r="D149" s="28">
        <v>0</v>
      </c>
      <c r="E149" s="29">
        <v>10.01</v>
      </c>
      <c r="F149" s="29">
        <v>1.99</v>
      </c>
      <c r="G149" s="30" t="s">
        <v>87</v>
      </c>
      <c r="H149" s="27" t="s">
        <v>71</v>
      </c>
      <c r="I149" s="27" t="s">
        <v>41</v>
      </c>
      <c r="J149" s="27" t="s">
        <v>42</v>
      </c>
      <c r="K149" s="27" t="s">
        <v>43</v>
      </c>
      <c r="L149" s="31" t="s">
        <v>455</v>
      </c>
      <c r="M149" s="32">
        <v>0.41</v>
      </c>
      <c r="N149" s="27" t="s">
        <v>33</v>
      </c>
      <c r="O149" s="27" t="s">
        <v>60</v>
      </c>
      <c r="P149" s="27" t="s">
        <v>90</v>
      </c>
      <c r="Q149" s="27" t="s">
        <v>100</v>
      </c>
      <c r="R149" s="33">
        <v>90045</v>
      </c>
      <c r="S149" s="34">
        <v>42016</v>
      </c>
      <c r="T149" s="34">
        <v>42018</v>
      </c>
      <c r="U149" s="29">
        <v>128.03</v>
      </c>
      <c r="V149" s="26">
        <v>42</v>
      </c>
      <c r="W149" s="29">
        <v>457.63</v>
      </c>
      <c r="X149" s="26">
        <v>23877</v>
      </c>
      <c r="Y149" s="35">
        <v>136.94</v>
      </c>
      <c r="Z149" s="1" t="s">
        <v>3013</v>
      </c>
      <c r="AA149" s="36">
        <v>0</v>
      </c>
      <c r="AB149" s="54">
        <v>270.00170000000003</v>
      </c>
      <c r="AC149" s="54">
        <v>4.4673404761904756</v>
      </c>
      <c r="AD149" s="36">
        <v>327.61</v>
      </c>
    </row>
    <row r="150" spans="1:30" s="37" customFormat="1" ht="15.75" customHeight="1" x14ac:dyDescent="0.2">
      <c r="A150" s="26">
        <v>750</v>
      </c>
      <c r="B150" s="27" t="s">
        <v>448</v>
      </c>
      <c r="C150" s="27" t="s">
        <v>3094</v>
      </c>
      <c r="D150" s="28">
        <v>0.09</v>
      </c>
      <c r="E150" s="29">
        <v>27.75</v>
      </c>
      <c r="F150" s="29">
        <v>19.989999999999998</v>
      </c>
      <c r="G150" s="30" t="s">
        <v>39</v>
      </c>
      <c r="H150" s="27" t="s">
        <v>94</v>
      </c>
      <c r="I150" s="27" t="s">
        <v>49</v>
      </c>
      <c r="J150" s="27" t="s">
        <v>78</v>
      </c>
      <c r="K150" s="27" t="s">
        <v>73</v>
      </c>
      <c r="L150" s="31" t="s">
        <v>449</v>
      </c>
      <c r="M150" s="32">
        <v>0.67</v>
      </c>
      <c r="N150" s="27" t="s">
        <v>33</v>
      </c>
      <c r="O150" s="27" t="s">
        <v>34</v>
      </c>
      <c r="P150" s="27" t="s">
        <v>388</v>
      </c>
      <c r="Q150" s="27" t="s">
        <v>450</v>
      </c>
      <c r="R150" s="33">
        <v>41042</v>
      </c>
      <c r="S150" s="34">
        <v>42016</v>
      </c>
      <c r="T150" s="34">
        <v>42017</v>
      </c>
      <c r="U150" s="29">
        <v>-224.64400000000001</v>
      </c>
      <c r="V150" s="26">
        <v>10</v>
      </c>
      <c r="W150" s="29">
        <v>257.52</v>
      </c>
      <c r="X150" s="26">
        <v>91200</v>
      </c>
      <c r="Y150" s="35">
        <v>6.2</v>
      </c>
      <c r="Z150" s="1" t="s">
        <v>3011</v>
      </c>
      <c r="AA150" s="36">
        <v>24.975000000000001</v>
      </c>
      <c r="AB150" s="54">
        <v>84.981599999999986</v>
      </c>
      <c r="AC150" s="54">
        <v>17.25384</v>
      </c>
      <c r="AD150" s="36">
        <v>437.19899999999996</v>
      </c>
    </row>
    <row r="151" spans="1:30" s="37" customFormat="1" ht="15.75" customHeight="1" x14ac:dyDescent="0.2">
      <c r="A151" s="26">
        <v>899</v>
      </c>
      <c r="B151" s="27" t="s">
        <v>426</v>
      </c>
      <c r="C151" s="27" t="s">
        <v>38</v>
      </c>
      <c r="D151" s="28">
        <v>0.04</v>
      </c>
      <c r="E151" s="29">
        <v>90.97</v>
      </c>
      <c r="F151" s="29">
        <v>28</v>
      </c>
      <c r="G151" s="30" t="s">
        <v>27</v>
      </c>
      <c r="H151" s="27" t="s">
        <v>3095</v>
      </c>
      <c r="I151" s="27" t="s">
        <v>41</v>
      </c>
      <c r="J151" s="27" t="s">
        <v>57</v>
      </c>
      <c r="K151" s="27" t="s">
        <v>58</v>
      </c>
      <c r="L151" s="31" t="s">
        <v>425</v>
      </c>
      <c r="M151" s="32">
        <v>0.38</v>
      </c>
      <c r="N151" s="27" t="s">
        <v>33</v>
      </c>
      <c r="O151" s="27" t="s">
        <v>111</v>
      </c>
      <c r="P151" s="27" t="s">
        <v>320</v>
      </c>
      <c r="Q151" s="27" t="s">
        <v>427</v>
      </c>
      <c r="R151" s="33">
        <v>16602</v>
      </c>
      <c r="S151" s="34">
        <v>42016</v>
      </c>
      <c r="T151" s="34">
        <v>42017</v>
      </c>
      <c r="U151" s="29">
        <v>-173.09520000000001</v>
      </c>
      <c r="V151" s="26">
        <v>2</v>
      </c>
      <c r="W151" s="29">
        <v>191.1</v>
      </c>
      <c r="X151" s="26">
        <v>86263</v>
      </c>
      <c r="Y151" s="35">
        <v>260.89000000000004</v>
      </c>
      <c r="Z151" s="1" t="s">
        <v>3014</v>
      </c>
      <c r="AA151" s="36">
        <v>7.2775999999999996</v>
      </c>
      <c r="AB151" s="54">
        <v>118.482</v>
      </c>
      <c r="AC151" s="54">
        <v>36.308999999999997</v>
      </c>
      <c r="AD151" s="36">
        <v>328.91759999999999</v>
      </c>
    </row>
    <row r="152" spans="1:30" s="37" customFormat="1" ht="15.75" customHeight="1" x14ac:dyDescent="0.2">
      <c r="A152" s="26">
        <v>898</v>
      </c>
      <c r="B152" s="27" t="s">
        <v>424</v>
      </c>
      <c r="C152" s="27" t="s">
        <v>38</v>
      </c>
      <c r="D152" s="28">
        <v>7.0000000000000007E-2</v>
      </c>
      <c r="E152" s="29">
        <v>20.34</v>
      </c>
      <c r="F152" s="29">
        <v>35</v>
      </c>
      <c r="G152" s="30" t="s">
        <v>39</v>
      </c>
      <c r="H152" s="27" t="s">
        <v>3095</v>
      </c>
      <c r="I152" s="27" t="s">
        <v>49</v>
      </c>
      <c r="J152" s="27" t="s">
        <v>78</v>
      </c>
      <c r="K152" s="27" t="s">
        <v>65</v>
      </c>
      <c r="L152" s="31" t="s">
        <v>260</v>
      </c>
      <c r="M152" s="32">
        <v>0.84</v>
      </c>
      <c r="N152" s="27" t="s">
        <v>33</v>
      </c>
      <c r="O152" s="27" t="s">
        <v>111</v>
      </c>
      <c r="P152" s="27" t="s">
        <v>112</v>
      </c>
      <c r="Q152" s="27" t="s">
        <v>113</v>
      </c>
      <c r="R152" s="33">
        <v>10039</v>
      </c>
      <c r="S152" s="34">
        <v>42016</v>
      </c>
      <c r="T152" s="34">
        <v>42017</v>
      </c>
      <c r="U152" s="29">
        <v>-96.16</v>
      </c>
      <c r="V152" s="26">
        <v>5</v>
      </c>
      <c r="W152" s="29">
        <v>140.22999999999999</v>
      </c>
      <c r="X152" s="26">
        <v>33635</v>
      </c>
      <c r="Y152" s="35">
        <v>350.94</v>
      </c>
      <c r="Z152" s="1" t="s">
        <v>3014</v>
      </c>
      <c r="AA152" s="36">
        <v>7.1190000000000007</v>
      </c>
      <c r="AB152" s="54">
        <v>22.436800000000002</v>
      </c>
      <c r="AC152" s="54">
        <v>23.558639999999997</v>
      </c>
      <c r="AD152" s="36">
        <v>194.27099999999999</v>
      </c>
    </row>
    <row r="153" spans="1:30" s="37" customFormat="1" ht="15.75" customHeight="1" x14ac:dyDescent="0.2">
      <c r="A153" s="26">
        <v>2069</v>
      </c>
      <c r="B153" s="27" t="s">
        <v>445</v>
      </c>
      <c r="C153" s="27" t="s">
        <v>116</v>
      </c>
      <c r="D153" s="28">
        <v>0.1</v>
      </c>
      <c r="E153" s="29">
        <v>40.98</v>
      </c>
      <c r="F153" s="29">
        <v>6.5</v>
      </c>
      <c r="G153" s="30" t="s">
        <v>39</v>
      </c>
      <c r="H153" s="27" t="s">
        <v>40</v>
      </c>
      <c r="I153" s="27" t="s">
        <v>41</v>
      </c>
      <c r="J153" s="27" t="s">
        <v>42</v>
      </c>
      <c r="K153" s="27" t="s">
        <v>73</v>
      </c>
      <c r="L153" s="31" t="s">
        <v>446</v>
      </c>
      <c r="M153" s="32">
        <v>0.74</v>
      </c>
      <c r="N153" s="27" t="s">
        <v>33</v>
      </c>
      <c r="O153" s="27" t="s">
        <v>34</v>
      </c>
      <c r="P153" s="27" t="s">
        <v>388</v>
      </c>
      <c r="Q153" s="27" t="s">
        <v>447</v>
      </c>
      <c r="R153" s="33">
        <v>41075</v>
      </c>
      <c r="S153" s="34">
        <v>42016</v>
      </c>
      <c r="T153" s="34">
        <v>42018</v>
      </c>
      <c r="U153" s="29">
        <v>66.852000000000004</v>
      </c>
      <c r="V153" s="26">
        <v>3</v>
      </c>
      <c r="W153" s="29">
        <v>120.34</v>
      </c>
      <c r="X153" s="26">
        <v>88554</v>
      </c>
      <c r="Y153" s="35">
        <v>8.74</v>
      </c>
      <c r="Z153" s="1" t="s">
        <v>3011</v>
      </c>
      <c r="AA153" s="36">
        <v>12.294</v>
      </c>
      <c r="AB153" s="54">
        <v>31.288400000000003</v>
      </c>
      <c r="AC153" s="54">
        <v>29.68386666666667</v>
      </c>
      <c r="AD153" s="36">
        <v>34.694000000000003</v>
      </c>
    </row>
    <row r="154" spans="1:30" s="37" customFormat="1" ht="15.75" customHeight="1" x14ac:dyDescent="0.2">
      <c r="A154" s="26">
        <v>2490</v>
      </c>
      <c r="B154" s="27" t="s">
        <v>454</v>
      </c>
      <c r="C154" s="27" t="s">
        <v>3094</v>
      </c>
      <c r="D154" s="28">
        <v>0</v>
      </c>
      <c r="E154" s="29">
        <v>10.01</v>
      </c>
      <c r="F154" s="29">
        <v>1.99</v>
      </c>
      <c r="G154" s="30" t="s">
        <v>87</v>
      </c>
      <c r="H154" s="27" t="s">
        <v>71</v>
      </c>
      <c r="I154" s="27" t="s">
        <v>41</v>
      </c>
      <c r="J154" s="27" t="s">
        <v>42</v>
      </c>
      <c r="K154" s="27" t="s">
        <v>43</v>
      </c>
      <c r="L154" s="31" t="s">
        <v>455</v>
      </c>
      <c r="M154" s="32">
        <v>0.41</v>
      </c>
      <c r="N154" s="27" t="s">
        <v>33</v>
      </c>
      <c r="O154" s="27" t="s">
        <v>60</v>
      </c>
      <c r="P154" s="27" t="s">
        <v>90</v>
      </c>
      <c r="Q154" s="27" t="s">
        <v>456</v>
      </c>
      <c r="R154" s="33">
        <v>92627</v>
      </c>
      <c r="S154" s="34">
        <v>42016</v>
      </c>
      <c r="T154" s="34">
        <v>42018</v>
      </c>
      <c r="U154" s="29">
        <v>82.703400000000002</v>
      </c>
      <c r="V154" s="26">
        <v>11</v>
      </c>
      <c r="W154" s="29">
        <v>119.86</v>
      </c>
      <c r="X154" s="26">
        <v>86886</v>
      </c>
      <c r="Y154" s="35">
        <v>1.96</v>
      </c>
      <c r="Z154" s="1" t="s">
        <v>3013</v>
      </c>
      <c r="AA154" s="36">
        <v>0</v>
      </c>
      <c r="AB154" s="54">
        <v>70.717400000000012</v>
      </c>
      <c r="AC154" s="54">
        <v>4.4675090909090907</v>
      </c>
      <c r="AD154" s="36">
        <v>35.166600000000003</v>
      </c>
    </row>
    <row r="155" spans="1:30" s="37" customFormat="1" ht="15.75" customHeight="1" x14ac:dyDescent="0.2">
      <c r="A155" s="26">
        <v>823</v>
      </c>
      <c r="B155" s="27" t="s">
        <v>431</v>
      </c>
      <c r="C155" s="27" t="s">
        <v>48</v>
      </c>
      <c r="D155" s="28">
        <v>0.04</v>
      </c>
      <c r="E155" s="29">
        <v>6.24</v>
      </c>
      <c r="F155" s="29">
        <v>5.22</v>
      </c>
      <c r="G155" s="30" t="s">
        <v>39</v>
      </c>
      <c r="H155" s="27" t="s">
        <v>3095</v>
      </c>
      <c r="I155" s="27" t="s">
        <v>29</v>
      </c>
      <c r="J155" s="27" t="s">
        <v>126</v>
      </c>
      <c r="K155" s="27" t="s">
        <v>73</v>
      </c>
      <c r="L155" s="31" t="s">
        <v>432</v>
      </c>
      <c r="M155" s="32">
        <v>0.6</v>
      </c>
      <c r="N155" s="27" t="s">
        <v>33</v>
      </c>
      <c r="O155" s="27" t="s">
        <v>34</v>
      </c>
      <c r="P155" s="27" t="s">
        <v>400</v>
      </c>
      <c r="Q155" s="27" t="s">
        <v>433</v>
      </c>
      <c r="R155" s="33">
        <v>37167</v>
      </c>
      <c r="S155" s="34">
        <v>42016</v>
      </c>
      <c r="T155" s="34">
        <v>42021</v>
      </c>
      <c r="U155" s="29">
        <v>4.3808999999999996</v>
      </c>
      <c r="V155" s="26">
        <v>13</v>
      </c>
      <c r="W155" s="29">
        <v>80.23</v>
      </c>
      <c r="X155" s="26">
        <v>89257</v>
      </c>
      <c r="Y155" s="35">
        <v>29.88</v>
      </c>
      <c r="Z155" s="1" t="s">
        <v>3011</v>
      </c>
      <c r="AA155" s="36">
        <v>3.2448000000000001</v>
      </c>
      <c r="AB155" s="54">
        <v>32.092000000000006</v>
      </c>
      <c r="AC155" s="54">
        <v>3.702923076923077</v>
      </c>
      <c r="AD155" s="36">
        <v>67.38430000000001</v>
      </c>
    </row>
    <row r="156" spans="1:30" s="37" customFormat="1" ht="15.75" customHeight="1" x14ac:dyDescent="0.2">
      <c r="A156" s="26">
        <v>1424</v>
      </c>
      <c r="B156" s="27" t="s">
        <v>437</v>
      </c>
      <c r="C156" s="27" t="s">
        <v>48</v>
      </c>
      <c r="D156" s="28">
        <v>0</v>
      </c>
      <c r="E156" s="29">
        <v>8.74</v>
      </c>
      <c r="F156" s="29">
        <v>1.39</v>
      </c>
      <c r="G156" s="30" t="s">
        <v>39</v>
      </c>
      <c r="H156" s="27" t="s">
        <v>71</v>
      </c>
      <c r="I156" s="27" t="s">
        <v>49</v>
      </c>
      <c r="J156" s="27" t="s">
        <v>345</v>
      </c>
      <c r="K156" s="27" t="s">
        <v>73</v>
      </c>
      <c r="L156" s="31" t="s">
        <v>440</v>
      </c>
      <c r="M156" s="32">
        <v>0.38</v>
      </c>
      <c r="N156" s="27" t="s">
        <v>33</v>
      </c>
      <c r="O156" s="27" t="s">
        <v>60</v>
      </c>
      <c r="P156" s="27" t="s">
        <v>61</v>
      </c>
      <c r="Q156" s="27" t="s">
        <v>439</v>
      </c>
      <c r="R156" s="33">
        <v>80112</v>
      </c>
      <c r="S156" s="34">
        <v>42016</v>
      </c>
      <c r="T156" s="34">
        <v>42020</v>
      </c>
      <c r="U156" s="29">
        <v>44.988</v>
      </c>
      <c r="V156" s="26">
        <v>7</v>
      </c>
      <c r="W156" s="29">
        <v>65.2</v>
      </c>
      <c r="X156" s="26">
        <v>89448</v>
      </c>
      <c r="Y156" s="35">
        <v>40.879999999999995</v>
      </c>
      <c r="Z156" s="1" t="s">
        <v>3013</v>
      </c>
      <c r="AA156" s="36">
        <v>0</v>
      </c>
      <c r="AB156" s="54">
        <v>40.423999999999999</v>
      </c>
      <c r="AC156" s="54">
        <v>3.5394285714285716</v>
      </c>
      <c r="AD156" s="36">
        <v>18.822000000000003</v>
      </c>
    </row>
    <row r="157" spans="1:30" s="37" customFormat="1" ht="15.75" customHeight="1" x14ac:dyDescent="0.2">
      <c r="A157" s="26">
        <v>120</v>
      </c>
      <c r="B157" s="27" t="s">
        <v>421</v>
      </c>
      <c r="C157" s="27" t="s">
        <v>38</v>
      </c>
      <c r="D157" s="28">
        <v>0.05</v>
      </c>
      <c r="E157" s="29">
        <v>6.3</v>
      </c>
      <c r="F157" s="29">
        <v>0.5</v>
      </c>
      <c r="G157" s="30" t="s">
        <v>39</v>
      </c>
      <c r="H157" s="27" t="s">
        <v>94</v>
      </c>
      <c r="I157" s="27" t="s">
        <v>49</v>
      </c>
      <c r="J157" s="27" t="s">
        <v>152</v>
      </c>
      <c r="K157" s="27" t="s">
        <v>73</v>
      </c>
      <c r="L157" s="31" t="s">
        <v>422</v>
      </c>
      <c r="M157" s="32">
        <v>0.39</v>
      </c>
      <c r="N157" s="27" t="s">
        <v>33</v>
      </c>
      <c r="O157" s="27" t="s">
        <v>60</v>
      </c>
      <c r="P157" s="27" t="s">
        <v>146</v>
      </c>
      <c r="Q157" s="27" t="s">
        <v>181</v>
      </c>
      <c r="R157" s="33">
        <v>84041</v>
      </c>
      <c r="S157" s="34">
        <v>42016</v>
      </c>
      <c r="T157" s="34">
        <v>42017</v>
      </c>
      <c r="U157" s="29">
        <v>41.296500000000002</v>
      </c>
      <c r="V157" s="26">
        <v>10</v>
      </c>
      <c r="W157" s="29">
        <v>59.85</v>
      </c>
      <c r="X157" s="26">
        <v>86520</v>
      </c>
      <c r="Y157" s="35">
        <v>27.66</v>
      </c>
      <c r="Z157" s="1" t="s">
        <v>3013</v>
      </c>
      <c r="AA157" s="36">
        <v>3.15</v>
      </c>
      <c r="AB157" s="54">
        <v>36.508499999999998</v>
      </c>
      <c r="AC157" s="54">
        <v>2.3341500000000002</v>
      </c>
      <c r="AD157" s="36">
        <v>14.903500000000001</v>
      </c>
    </row>
    <row r="158" spans="1:30" s="37" customFormat="1" ht="15.75" customHeight="1" x14ac:dyDescent="0.2">
      <c r="A158" s="26">
        <v>2715</v>
      </c>
      <c r="B158" s="27" t="s">
        <v>442</v>
      </c>
      <c r="C158" s="27" t="s">
        <v>48</v>
      </c>
      <c r="D158" s="28">
        <v>0.01</v>
      </c>
      <c r="E158" s="29">
        <v>29.89</v>
      </c>
      <c r="F158" s="29">
        <v>1.99</v>
      </c>
      <c r="G158" s="30" t="s">
        <v>39</v>
      </c>
      <c r="H158" s="27" t="s">
        <v>94</v>
      </c>
      <c r="I158" s="27" t="s">
        <v>41</v>
      </c>
      <c r="J158" s="27" t="s">
        <v>42</v>
      </c>
      <c r="K158" s="27" t="s">
        <v>43</v>
      </c>
      <c r="L158" s="31" t="s">
        <v>443</v>
      </c>
      <c r="M158" s="32">
        <v>0.5</v>
      </c>
      <c r="N158" s="27" t="s">
        <v>33</v>
      </c>
      <c r="O158" s="27" t="s">
        <v>53</v>
      </c>
      <c r="P158" s="27" t="s">
        <v>289</v>
      </c>
      <c r="Q158" s="27" t="s">
        <v>444</v>
      </c>
      <c r="R158" s="33">
        <v>48911</v>
      </c>
      <c r="S158" s="34">
        <v>42016</v>
      </c>
      <c r="T158" s="34">
        <v>42020</v>
      </c>
      <c r="U158" s="29">
        <v>-74.64</v>
      </c>
      <c r="V158" s="26">
        <v>1</v>
      </c>
      <c r="W158" s="29">
        <v>31.96</v>
      </c>
      <c r="X158" s="26">
        <v>88702</v>
      </c>
      <c r="Y158" s="35">
        <v>65.92</v>
      </c>
      <c r="Z158" s="1" t="s">
        <v>3012</v>
      </c>
      <c r="AA158" s="36">
        <v>0.2989</v>
      </c>
      <c r="AB158" s="54">
        <v>15.98</v>
      </c>
      <c r="AC158" s="54">
        <v>15.98</v>
      </c>
      <c r="AD158" s="36">
        <v>104.31110000000001</v>
      </c>
    </row>
    <row r="159" spans="1:30" s="37" customFormat="1" ht="15.75" customHeight="1" x14ac:dyDescent="0.2">
      <c r="A159" s="26">
        <v>899</v>
      </c>
      <c r="B159" s="27" t="s">
        <v>426</v>
      </c>
      <c r="C159" s="27" t="s">
        <v>38</v>
      </c>
      <c r="D159" s="28">
        <v>7.0000000000000007E-2</v>
      </c>
      <c r="E159" s="29">
        <v>20.34</v>
      </c>
      <c r="F159" s="29">
        <v>35</v>
      </c>
      <c r="G159" s="30" t="s">
        <v>39</v>
      </c>
      <c r="H159" s="27" t="s">
        <v>3095</v>
      </c>
      <c r="I159" s="27" t="s">
        <v>49</v>
      </c>
      <c r="J159" s="27" t="s">
        <v>78</v>
      </c>
      <c r="K159" s="27" t="s">
        <v>65</v>
      </c>
      <c r="L159" s="31" t="s">
        <v>260</v>
      </c>
      <c r="M159" s="32">
        <v>0.84</v>
      </c>
      <c r="N159" s="27" t="s">
        <v>33</v>
      </c>
      <c r="O159" s="27" t="s">
        <v>111</v>
      </c>
      <c r="P159" s="27" t="s">
        <v>320</v>
      </c>
      <c r="Q159" s="27" t="s">
        <v>427</v>
      </c>
      <c r="R159" s="33">
        <v>16602</v>
      </c>
      <c r="S159" s="34">
        <v>42016</v>
      </c>
      <c r="T159" s="34">
        <v>42017</v>
      </c>
      <c r="U159" s="29">
        <v>-96.16</v>
      </c>
      <c r="V159" s="26">
        <v>1</v>
      </c>
      <c r="W159" s="29">
        <v>28.05</v>
      </c>
      <c r="X159" s="26">
        <v>86263</v>
      </c>
      <c r="Y159" s="35">
        <v>10.01</v>
      </c>
      <c r="Z159" s="1" t="s">
        <v>3014</v>
      </c>
      <c r="AA159" s="36">
        <v>1.4238000000000002</v>
      </c>
      <c r="AB159" s="54">
        <v>4.4880000000000013</v>
      </c>
      <c r="AC159" s="54">
        <v>23.562000000000001</v>
      </c>
      <c r="AD159" s="36">
        <v>87.786199999999994</v>
      </c>
    </row>
    <row r="160" spans="1:30" s="37" customFormat="1" ht="15.75" customHeight="1" x14ac:dyDescent="0.2">
      <c r="A160" s="26">
        <v>1424</v>
      </c>
      <c r="B160" s="27" t="s">
        <v>437</v>
      </c>
      <c r="C160" s="27" t="s">
        <v>48</v>
      </c>
      <c r="D160" s="28">
        <v>0.02</v>
      </c>
      <c r="E160" s="29">
        <v>1.98</v>
      </c>
      <c r="F160" s="29">
        <v>0.7</v>
      </c>
      <c r="G160" s="30" t="s">
        <v>39</v>
      </c>
      <c r="H160" s="27" t="s">
        <v>71</v>
      </c>
      <c r="I160" s="27" t="s">
        <v>49</v>
      </c>
      <c r="J160" s="27" t="s">
        <v>176</v>
      </c>
      <c r="K160" s="27" t="s">
        <v>51</v>
      </c>
      <c r="L160" s="31" t="s">
        <v>441</v>
      </c>
      <c r="M160" s="32">
        <v>0.83</v>
      </c>
      <c r="N160" s="27" t="s">
        <v>33</v>
      </c>
      <c r="O160" s="27" t="s">
        <v>60</v>
      </c>
      <c r="P160" s="27" t="s">
        <v>61</v>
      </c>
      <c r="Q160" s="27" t="s">
        <v>439</v>
      </c>
      <c r="R160" s="33">
        <v>80112</v>
      </c>
      <c r="S160" s="34">
        <v>42016</v>
      </c>
      <c r="T160" s="34">
        <v>42020</v>
      </c>
      <c r="U160" s="29">
        <v>-20.732800000000001</v>
      </c>
      <c r="V160" s="26">
        <v>11</v>
      </c>
      <c r="W160" s="29">
        <v>22.59</v>
      </c>
      <c r="X160" s="26">
        <v>89448</v>
      </c>
      <c r="Y160" s="35">
        <v>65.92</v>
      </c>
      <c r="Z160" s="1" t="s">
        <v>3013</v>
      </c>
      <c r="AA160" s="36">
        <v>0.43560000000000004</v>
      </c>
      <c r="AB160" s="54">
        <v>3.8403000000000009</v>
      </c>
      <c r="AC160" s="54">
        <v>1.7045181818181818</v>
      </c>
      <c r="AD160" s="36">
        <v>42.187200000000004</v>
      </c>
    </row>
    <row r="161" spans="1:30" s="37" customFormat="1" ht="15.75" customHeight="1" x14ac:dyDescent="0.2">
      <c r="A161" s="26">
        <v>2776</v>
      </c>
      <c r="B161" s="27" t="s">
        <v>417</v>
      </c>
      <c r="C161" s="27" t="s">
        <v>26</v>
      </c>
      <c r="D161" s="28">
        <v>0.04</v>
      </c>
      <c r="E161" s="29">
        <v>1.68</v>
      </c>
      <c r="F161" s="29">
        <v>1</v>
      </c>
      <c r="G161" s="30" t="s">
        <v>39</v>
      </c>
      <c r="H161" s="27" t="s">
        <v>40</v>
      </c>
      <c r="I161" s="27" t="s">
        <v>49</v>
      </c>
      <c r="J161" s="27" t="s">
        <v>50</v>
      </c>
      <c r="K161" s="27" t="s">
        <v>51</v>
      </c>
      <c r="L161" s="31" t="s">
        <v>420</v>
      </c>
      <c r="M161" s="32">
        <v>0.35</v>
      </c>
      <c r="N161" s="27" t="s">
        <v>33</v>
      </c>
      <c r="O161" s="27" t="s">
        <v>111</v>
      </c>
      <c r="P161" s="27" t="s">
        <v>418</v>
      </c>
      <c r="Q161" s="27" t="s">
        <v>419</v>
      </c>
      <c r="R161" s="33">
        <v>20877</v>
      </c>
      <c r="S161" s="34">
        <v>42016</v>
      </c>
      <c r="T161" s="34">
        <v>42018</v>
      </c>
      <c r="U161" s="29">
        <v>2.0672000000000001</v>
      </c>
      <c r="V161" s="26">
        <v>8</v>
      </c>
      <c r="W161" s="29">
        <v>14.18</v>
      </c>
      <c r="X161" s="26">
        <v>91228</v>
      </c>
      <c r="Y161" s="35">
        <v>10.01</v>
      </c>
      <c r="Z161" s="1" t="s">
        <v>3014</v>
      </c>
      <c r="AA161" s="36">
        <v>0.53759999999999997</v>
      </c>
      <c r="AB161" s="54">
        <v>9.2170000000000005</v>
      </c>
      <c r="AC161" s="54">
        <v>0.6203749999999999</v>
      </c>
      <c r="AD161" s="36">
        <v>10.575199999999999</v>
      </c>
    </row>
    <row r="162" spans="1:30" s="37" customFormat="1" ht="15.75" customHeight="1" x14ac:dyDescent="0.2">
      <c r="A162" s="26">
        <v>3340</v>
      </c>
      <c r="B162" s="27" t="s">
        <v>473</v>
      </c>
      <c r="C162" s="27" t="s">
        <v>116</v>
      </c>
      <c r="D162" s="28">
        <v>0.08</v>
      </c>
      <c r="E162" s="29">
        <v>125.99</v>
      </c>
      <c r="F162" s="29">
        <v>4.2</v>
      </c>
      <c r="G162" s="30" t="s">
        <v>39</v>
      </c>
      <c r="H162" s="27" t="s">
        <v>40</v>
      </c>
      <c r="I162" s="27" t="s">
        <v>41</v>
      </c>
      <c r="J162" s="27" t="s">
        <v>135</v>
      </c>
      <c r="K162" s="27" t="s">
        <v>73</v>
      </c>
      <c r="L162" s="31" t="s">
        <v>474</v>
      </c>
      <c r="M162" s="32">
        <v>0.56999999999999995</v>
      </c>
      <c r="N162" s="27" t="s">
        <v>33</v>
      </c>
      <c r="O162" s="27" t="s">
        <v>60</v>
      </c>
      <c r="P162" s="27" t="s">
        <v>139</v>
      </c>
      <c r="Q162" s="27" t="s">
        <v>475</v>
      </c>
      <c r="R162" s="33">
        <v>97060</v>
      </c>
      <c r="S162" s="34">
        <v>42017</v>
      </c>
      <c r="T162" s="34">
        <v>42018</v>
      </c>
      <c r="U162" s="29">
        <v>989.81190000000004</v>
      </c>
      <c r="V162" s="26">
        <v>14</v>
      </c>
      <c r="W162" s="29">
        <v>1434.51</v>
      </c>
      <c r="X162" s="26">
        <v>85980</v>
      </c>
      <c r="Y162" s="35">
        <v>2.02</v>
      </c>
      <c r="Z162" s="1" t="s">
        <v>3013</v>
      </c>
      <c r="AA162" s="36">
        <v>141.1088</v>
      </c>
      <c r="AB162" s="54">
        <v>616.83930000000009</v>
      </c>
      <c r="AC162" s="54">
        <v>58.405049999999996</v>
      </c>
      <c r="AD162" s="36">
        <v>299.38929999999982</v>
      </c>
    </row>
    <row r="163" spans="1:30" s="37" customFormat="1" ht="15.75" customHeight="1" x14ac:dyDescent="0.2">
      <c r="A163" s="26">
        <v>510</v>
      </c>
      <c r="B163" s="27" t="s">
        <v>461</v>
      </c>
      <c r="C163" s="27" t="s">
        <v>48</v>
      </c>
      <c r="D163" s="28">
        <v>0.02</v>
      </c>
      <c r="E163" s="29">
        <v>48.04</v>
      </c>
      <c r="F163" s="29">
        <v>5.09</v>
      </c>
      <c r="G163" s="30" t="s">
        <v>39</v>
      </c>
      <c r="H163" s="27" t="s">
        <v>94</v>
      </c>
      <c r="I163" s="27" t="s">
        <v>49</v>
      </c>
      <c r="J163" s="27" t="s">
        <v>88</v>
      </c>
      <c r="K163" s="27" t="s">
        <v>73</v>
      </c>
      <c r="L163" s="31" t="s">
        <v>462</v>
      </c>
      <c r="M163" s="32">
        <v>0.37</v>
      </c>
      <c r="N163" s="27" t="s">
        <v>33</v>
      </c>
      <c r="O163" s="27" t="s">
        <v>60</v>
      </c>
      <c r="P163" s="27" t="s">
        <v>90</v>
      </c>
      <c r="Q163" s="27" t="s">
        <v>463</v>
      </c>
      <c r="R163" s="33">
        <v>95336</v>
      </c>
      <c r="S163" s="34">
        <v>42017</v>
      </c>
      <c r="T163" s="34">
        <v>42017</v>
      </c>
      <c r="U163" s="29">
        <v>105.2526</v>
      </c>
      <c r="V163" s="26">
        <v>3</v>
      </c>
      <c r="W163" s="29">
        <v>152.54</v>
      </c>
      <c r="X163" s="26">
        <v>90058</v>
      </c>
      <c r="Y163" s="35">
        <v>48.019999999999996</v>
      </c>
      <c r="Z163" s="1" t="s">
        <v>3013</v>
      </c>
      <c r="AA163" s="36">
        <v>2.8824000000000001</v>
      </c>
      <c r="AB163" s="54">
        <v>96.100200000000001</v>
      </c>
      <c r="AC163" s="54">
        <v>18.813266666666664</v>
      </c>
      <c r="AD163" s="36">
        <v>39.314999999999984</v>
      </c>
    </row>
    <row r="164" spans="1:30" s="37" customFormat="1" ht="15.75" customHeight="1" x14ac:dyDescent="0.2">
      <c r="A164" s="26">
        <v>2369</v>
      </c>
      <c r="B164" s="27" t="s">
        <v>470</v>
      </c>
      <c r="C164" s="27" t="s">
        <v>48</v>
      </c>
      <c r="D164" s="28">
        <v>7.0000000000000007E-2</v>
      </c>
      <c r="E164" s="29">
        <v>5.98</v>
      </c>
      <c r="F164" s="29">
        <v>5.79</v>
      </c>
      <c r="G164" s="30" t="s">
        <v>39</v>
      </c>
      <c r="H164" s="27" t="s">
        <v>40</v>
      </c>
      <c r="I164" s="27" t="s">
        <v>49</v>
      </c>
      <c r="J164" s="27" t="s">
        <v>88</v>
      </c>
      <c r="K164" s="27" t="s">
        <v>73</v>
      </c>
      <c r="L164" s="31" t="s">
        <v>471</v>
      </c>
      <c r="M164" s="32">
        <v>0.36</v>
      </c>
      <c r="N164" s="27" t="s">
        <v>33</v>
      </c>
      <c r="O164" s="27" t="s">
        <v>34</v>
      </c>
      <c r="P164" s="27" t="s">
        <v>123</v>
      </c>
      <c r="Q164" s="27" t="s">
        <v>472</v>
      </c>
      <c r="R164" s="33">
        <v>33024</v>
      </c>
      <c r="S164" s="34">
        <v>42017</v>
      </c>
      <c r="T164" s="34">
        <v>42019</v>
      </c>
      <c r="U164" s="29">
        <v>-41.972700000000003</v>
      </c>
      <c r="V164" s="26">
        <v>13</v>
      </c>
      <c r="W164" s="29">
        <v>77.42</v>
      </c>
      <c r="X164" s="26">
        <v>90408</v>
      </c>
      <c r="Y164" s="35">
        <v>7.9300000000000006</v>
      </c>
      <c r="Z164" s="1" t="s">
        <v>3011</v>
      </c>
      <c r="AA164" s="36">
        <v>5.4418000000000006</v>
      </c>
      <c r="AB164" s="54">
        <v>49.5488</v>
      </c>
      <c r="AC164" s="54">
        <v>2.1439384615384616</v>
      </c>
      <c r="AD164" s="36">
        <v>108.1609</v>
      </c>
    </row>
    <row r="165" spans="1:30" s="37" customFormat="1" ht="15.75" customHeight="1" x14ac:dyDescent="0.2">
      <c r="A165" s="26">
        <v>570</v>
      </c>
      <c r="B165" s="27" t="s">
        <v>464</v>
      </c>
      <c r="C165" s="27" t="s">
        <v>48</v>
      </c>
      <c r="D165" s="28">
        <v>0.06</v>
      </c>
      <c r="E165" s="29">
        <v>7.99</v>
      </c>
      <c r="F165" s="29">
        <v>5.03</v>
      </c>
      <c r="G165" s="30" t="s">
        <v>39</v>
      </c>
      <c r="H165" s="27" t="s">
        <v>40</v>
      </c>
      <c r="I165" s="27" t="s">
        <v>41</v>
      </c>
      <c r="J165" s="27" t="s">
        <v>135</v>
      </c>
      <c r="K165" s="27" t="s">
        <v>144</v>
      </c>
      <c r="L165" s="31" t="s">
        <v>465</v>
      </c>
      <c r="M165" s="32">
        <v>0.6</v>
      </c>
      <c r="N165" s="27" t="s">
        <v>33</v>
      </c>
      <c r="O165" s="27" t="s">
        <v>60</v>
      </c>
      <c r="P165" s="27" t="s">
        <v>296</v>
      </c>
      <c r="Q165" s="27" t="s">
        <v>466</v>
      </c>
      <c r="R165" s="33">
        <v>89015</v>
      </c>
      <c r="S165" s="34">
        <v>42017</v>
      </c>
      <c r="T165" s="34">
        <v>42017</v>
      </c>
      <c r="U165" s="29">
        <v>-122.133</v>
      </c>
      <c r="V165" s="26">
        <v>10</v>
      </c>
      <c r="W165" s="29">
        <v>65.739999999999995</v>
      </c>
      <c r="X165" s="26">
        <v>88881</v>
      </c>
      <c r="Y165" s="35">
        <v>4.4200000000000008</v>
      </c>
      <c r="Z165" s="1" t="s">
        <v>3013</v>
      </c>
      <c r="AA165" s="36">
        <v>4.7939999999999996</v>
      </c>
      <c r="AB165" s="54">
        <v>26.295999999999999</v>
      </c>
      <c r="AC165" s="54">
        <v>3.9443999999999999</v>
      </c>
      <c r="AD165" s="36">
        <v>178.04899999999998</v>
      </c>
    </row>
    <row r="166" spans="1:30" s="37" customFormat="1" ht="15.75" customHeight="1" x14ac:dyDescent="0.2">
      <c r="A166" s="26">
        <v>576</v>
      </c>
      <c r="B166" s="27" t="s">
        <v>467</v>
      </c>
      <c r="C166" s="27" t="s">
        <v>48</v>
      </c>
      <c r="D166" s="28">
        <v>0.06</v>
      </c>
      <c r="E166" s="29">
        <v>4.4800000000000004</v>
      </c>
      <c r="F166" s="29">
        <v>49</v>
      </c>
      <c r="G166" s="30" t="s">
        <v>39</v>
      </c>
      <c r="H166" s="27" t="s">
        <v>94</v>
      </c>
      <c r="I166" s="27" t="s">
        <v>49</v>
      </c>
      <c r="J166" s="27" t="s">
        <v>95</v>
      </c>
      <c r="K166" s="27" t="s">
        <v>65</v>
      </c>
      <c r="L166" s="31" t="s">
        <v>468</v>
      </c>
      <c r="M166" s="32">
        <v>0.6</v>
      </c>
      <c r="N166" s="27" t="s">
        <v>33</v>
      </c>
      <c r="O166" s="27" t="s">
        <v>60</v>
      </c>
      <c r="P166" s="27" t="s">
        <v>90</v>
      </c>
      <c r="Q166" s="27" t="s">
        <v>469</v>
      </c>
      <c r="R166" s="33">
        <v>91767</v>
      </c>
      <c r="S166" s="34">
        <v>42017</v>
      </c>
      <c r="T166" s="34">
        <v>42021</v>
      </c>
      <c r="U166" s="29">
        <v>-566</v>
      </c>
      <c r="V166" s="26">
        <v>4</v>
      </c>
      <c r="W166" s="29">
        <v>32.6</v>
      </c>
      <c r="X166" s="26">
        <v>88645</v>
      </c>
      <c r="Y166" s="35">
        <v>5.91</v>
      </c>
      <c r="Z166" s="1" t="s">
        <v>3013</v>
      </c>
      <c r="AA166" s="36">
        <v>1.0752000000000002</v>
      </c>
      <c r="AB166" s="54">
        <v>13.040000000000001</v>
      </c>
      <c r="AC166" s="54">
        <v>4.8899999999999997</v>
      </c>
      <c r="AD166" s="36">
        <v>548.52480000000003</v>
      </c>
    </row>
    <row r="167" spans="1:30" s="37" customFormat="1" ht="15.75" customHeight="1" x14ac:dyDescent="0.2">
      <c r="A167" s="26">
        <v>2338</v>
      </c>
      <c r="B167" s="27" t="s">
        <v>458</v>
      </c>
      <c r="C167" s="27" t="s">
        <v>26</v>
      </c>
      <c r="D167" s="28">
        <v>0.06</v>
      </c>
      <c r="E167" s="29">
        <v>2.08</v>
      </c>
      <c r="F167" s="29">
        <v>5.33</v>
      </c>
      <c r="G167" s="30" t="s">
        <v>39</v>
      </c>
      <c r="H167" s="27" t="s">
        <v>71</v>
      </c>
      <c r="I167" s="27" t="s">
        <v>29</v>
      </c>
      <c r="J167" s="27" t="s">
        <v>126</v>
      </c>
      <c r="K167" s="27" t="s">
        <v>73</v>
      </c>
      <c r="L167" s="31" t="s">
        <v>459</v>
      </c>
      <c r="M167" s="32">
        <v>0.43</v>
      </c>
      <c r="N167" s="27" t="s">
        <v>33</v>
      </c>
      <c r="O167" s="27" t="s">
        <v>111</v>
      </c>
      <c r="P167" s="27" t="s">
        <v>418</v>
      </c>
      <c r="Q167" s="27" t="s">
        <v>460</v>
      </c>
      <c r="R167" s="33">
        <v>20740</v>
      </c>
      <c r="S167" s="34">
        <v>42017</v>
      </c>
      <c r="T167" s="34">
        <v>42017</v>
      </c>
      <c r="U167" s="29">
        <v>-82.559200000000004</v>
      </c>
      <c r="V167" s="26">
        <v>4</v>
      </c>
      <c r="W167" s="29">
        <v>9.23</v>
      </c>
      <c r="X167" s="26">
        <v>91480</v>
      </c>
      <c r="Y167" s="35">
        <v>125.91</v>
      </c>
      <c r="Z167" s="1" t="s">
        <v>3014</v>
      </c>
      <c r="AA167" s="36">
        <v>0.49919999999999998</v>
      </c>
      <c r="AB167" s="54">
        <v>5.2611000000000008</v>
      </c>
      <c r="AC167" s="54">
        <v>0.99222500000000002</v>
      </c>
      <c r="AD167" s="36">
        <v>85.960000000000008</v>
      </c>
    </row>
    <row r="168" spans="1:30" s="37" customFormat="1" ht="15.75" customHeight="1" x14ac:dyDescent="0.2">
      <c r="A168" s="26">
        <v>3149</v>
      </c>
      <c r="B168" s="27" t="s">
        <v>492</v>
      </c>
      <c r="C168" s="27" t="s">
        <v>116</v>
      </c>
      <c r="D168" s="28">
        <v>0.06</v>
      </c>
      <c r="E168" s="29">
        <v>320.98</v>
      </c>
      <c r="F168" s="29">
        <v>58.95</v>
      </c>
      <c r="G168" s="30" t="s">
        <v>27</v>
      </c>
      <c r="H168" s="27" t="s">
        <v>94</v>
      </c>
      <c r="I168" s="27" t="s">
        <v>29</v>
      </c>
      <c r="J168" s="27" t="s">
        <v>109</v>
      </c>
      <c r="K168" s="27" t="s">
        <v>58</v>
      </c>
      <c r="L168" s="31" t="s">
        <v>493</v>
      </c>
      <c r="M168" s="32">
        <v>0.56999999999999995</v>
      </c>
      <c r="N168" s="27" t="s">
        <v>33</v>
      </c>
      <c r="O168" s="27" t="s">
        <v>60</v>
      </c>
      <c r="P168" s="27" t="s">
        <v>490</v>
      </c>
      <c r="Q168" s="27" t="s">
        <v>494</v>
      </c>
      <c r="R168" s="33">
        <v>83440</v>
      </c>
      <c r="S168" s="34">
        <v>42018</v>
      </c>
      <c r="T168" s="34">
        <v>42020</v>
      </c>
      <c r="U168" s="29">
        <v>971.62199999999996</v>
      </c>
      <c r="V168" s="26">
        <v>6</v>
      </c>
      <c r="W168" s="29">
        <v>1952.43</v>
      </c>
      <c r="X168" s="26">
        <v>89716</v>
      </c>
      <c r="Y168" s="35">
        <v>7.6899999999999995</v>
      </c>
      <c r="Z168" s="1" t="s">
        <v>3013</v>
      </c>
      <c r="AA168" s="36">
        <v>115.5528</v>
      </c>
      <c r="AB168" s="54">
        <v>839.5449000000001</v>
      </c>
      <c r="AC168" s="54">
        <v>185.48085</v>
      </c>
      <c r="AD168" s="36">
        <v>806.30520000000024</v>
      </c>
    </row>
    <row r="169" spans="1:30" s="37" customFormat="1" ht="15.75" customHeight="1" x14ac:dyDescent="0.2">
      <c r="A169" s="26">
        <v>463</v>
      </c>
      <c r="B169" s="27" t="s">
        <v>482</v>
      </c>
      <c r="C169" s="27" t="s">
        <v>48</v>
      </c>
      <c r="D169" s="28">
        <v>7.0000000000000007E-2</v>
      </c>
      <c r="E169" s="29">
        <v>165.2</v>
      </c>
      <c r="F169" s="29">
        <v>19.989999999999998</v>
      </c>
      <c r="G169" s="30" t="s">
        <v>39</v>
      </c>
      <c r="H169" s="27" t="s">
        <v>3095</v>
      </c>
      <c r="I169" s="27" t="s">
        <v>49</v>
      </c>
      <c r="J169" s="27" t="s">
        <v>78</v>
      </c>
      <c r="K169" s="27" t="s">
        <v>73</v>
      </c>
      <c r="L169" s="31" t="s">
        <v>483</v>
      </c>
      <c r="M169" s="32">
        <v>0.59</v>
      </c>
      <c r="N169" s="27" t="s">
        <v>33</v>
      </c>
      <c r="O169" s="27" t="s">
        <v>60</v>
      </c>
      <c r="P169" s="27" t="s">
        <v>90</v>
      </c>
      <c r="Q169" s="27" t="s">
        <v>484</v>
      </c>
      <c r="R169" s="33">
        <v>90069</v>
      </c>
      <c r="S169" s="34">
        <v>42018</v>
      </c>
      <c r="T169" s="34">
        <v>42020</v>
      </c>
      <c r="U169" s="29">
        <v>521.69000000000005</v>
      </c>
      <c r="V169" s="26">
        <v>7</v>
      </c>
      <c r="W169" s="29">
        <v>1081.54</v>
      </c>
      <c r="X169" s="26">
        <v>88061</v>
      </c>
      <c r="Y169" s="35">
        <v>18.869999999999997</v>
      </c>
      <c r="Z169" s="1" t="s">
        <v>3013</v>
      </c>
      <c r="AA169" s="36">
        <v>80.948000000000008</v>
      </c>
      <c r="AB169" s="54">
        <v>443.4314</v>
      </c>
      <c r="AC169" s="54">
        <v>91.158371428571414</v>
      </c>
      <c r="AD169" s="36">
        <v>458.91199999999992</v>
      </c>
    </row>
    <row r="170" spans="1:30" s="37" customFormat="1" ht="15.75" customHeight="1" x14ac:dyDescent="0.2">
      <c r="A170" s="26">
        <v>3225</v>
      </c>
      <c r="B170" s="27" t="s">
        <v>498</v>
      </c>
      <c r="C170" s="27" t="s">
        <v>3094</v>
      </c>
      <c r="D170" s="28">
        <v>0.1</v>
      </c>
      <c r="E170" s="29">
        <v>208.16</v>
      </c>
      <c r="F170" s="29">
        <v>68.02</v>
      </c>
      <c r="G170" s="30" t="s">
        <v>27</v>
      </c>
      <c r="H170" s="27" t="s">
        <v>3095</v>
      </c>
      <c r="I170" s="27" t="s">
        <v>49</v>
      </c>
      <c r="J170" s="27" t="s">
        <v>95</v>
      </c>
      <c r="K170" s="27" t="s">
        <v>58</v>
      </c>
      <c r="L170" s="31" t="s">
        <v>499</v>
      </c>
      <c r="M170" s="32">
        <v>0.57999999999999996</v>
      </c>
      <c r="N170" s="27" t="s">
        <v>33</v>
      </c>
      <c r="O170" s="27" t="s">
        <v>34</v>
      </c>
      <c r="P170" s="27" t="s">
        <v>400</v>
      </c>
      <c r="Q170" s="27" t="s">
        <v>500</v>
      </c>
      <c r="R170" s="33">
        <v>38138</v>
      </c>
      <c r="S170" s="34">
        <v>42018</v>
      </c>
      <c r="T170" s="34">
        <v>42018</v>
      </c>
      <c r="U170" s="29">
        <v>-137.52199999999999</v>
      </c>
      <c r="V170" s="26">
        <v>4</v>
      </c>
      <c r="W170" s="29">
        <v>768.81</v>
      </c>
      <c r="X170" s="26">
        <v>86507</v>
      </c>
      <c r="Y170" s="35">
        <v>115.91</v>
      </c>
      <c r="Z170" s="1" t="s">
        <v>3011</v>
      </c>
      <c r="AA170" s="36">
        <v>83.26400000000001</v>
      </c>
      <c r="AB170" s="54">
        <v>322.90019999999998</v>
      </c>
      <c r="AC170" s="54">
        <v>111.47744999999999</v>
      </c>
      <c r="AD170" s="36">
        <v>755.04799999999989</v>
      </c>
    </row>
    <row r="171" spans="1:30" s="37" customFormat="1" ht="15.75" customHeight="1" x14ac:dyDescent="0.2">
      <c r="A171" s="26">
        <v>1636</v>
      </c>
      <c r="B171" s="27" t="s">
        <v>428</v>
      </c>
      <c r="C171" s="27" t="s">
        <v>26</v>
      </c>
      <c r="D171" s="28">
        <v>0.08</v>
      </c>
      <c r="E171" s="29">
        <v>115.99</v>
      </c>
      <c r="F171" s="29">
        <v>56.14</v>
      </c>
      <c r="G171" s="30" t="s">
        <v>27</v>
      </c>
      <c r="H171" s="27" t="s">
        <v>71</v>
      </c>
      <c r="I171" s="27" t="s">
        <v>41</v>
      </c>
      <c r="J171" s="27" t="s">
        <v>57</v>
      </c>
      <c r="K171" s="27" t="s">
        <v>58</v>
      </c>
      <c r="L171" s="31" t="s">
        <v>480</v>
      </c>
      <c r="M171" s="32">
        <v>0.4</v>
      </c>
      <c r="N171" s="27" t="s">
        <v>33</v>
      </c>
      <c r="O171" s="27" t="s">
        <v>60</v>
      </c>
      <c r="P171" s="27" t="s">
        <v>90</v>
      </c>
      <c r="Q171" s="27" t="s">
        <v>430</v>
      </c>
      <c r="R171" s="33">
        <v>93905</v>
      </c>
      <c r="S171" s="34">
        <v>42018</v>
      </c>
      <c r="T171" s="34">
        <v>42020</v>
      </c>
      <c r="U171" s="29">
        <v>-272.860884</v>
      </c>
      <c r="V171" s="26">
        <v>5</v>
      </c>
      <c r="W171" s="29">
        <v>562.92999999999995</v>
      </c>
      <c r="X171" s="26">
        <v>89704</v>
      </c>
      <c r="Y171" s="35">
        <v>4.2</v>
      </c>
      <c r="Z171" s="1" t="s">
        <v>3013</v>
      </c>
      <c r="AA171" s="36">
        <v>46.396000000000001</v>
      </c>
      <c r="AB171" s="54">
        <v>337.75799999999998</v>
      </c>
      <c r="AC171" s="54">
        <v>45.034399999999998</v>
      </c>
      <c r="AD171" s="36">
        <v>733.25488399999995</v>
      </c>
    </row>
    <row r="172" spans="1:30" s="37" customFormat="1" ht="15.75" customHeight="1" x14ac:dyDescent="0.2">
      <c r="A172" s="26">
        <v>2820</v>
      </c>
      <c r="B172" s="27" t="s">
        <v>495</v>
      </c>
      <c r="C172" s="27" t="s">
        <v>3094</v>
      </c>
      <c r="D172" s="28">
        <v>0.1</v>
      </c>
      <c r="E172" s="29">
        <v>22.01</v>
      </c>
      <c r="F172" s="29">
        <v>5.53</v>
      </c>
      <c r="G172" s="30" t="s">
        <v>39</v>
      </c>
      <c r="H172" s="27" t="s">
        <v>71</v>
      </c>
      <c r="I172" s="27" t="s">
        <v>49</v>
      </c>
      <c r="J172" s="27" t="s">
        <v>50</v>
      </c>
      <c r="K172" s="27" t="s">
        <v>43</v>
      </c>
      <c r="L172" s="31" t="s">
        <v>496</v>
      </c>
      <c r="M172" s="32">
        <v>0.59</v>
      </c>
      <c r="N172" s="27" t="s">
        <v>33</v>
      </c>
      <c r="O172" s="27" t="s">
        <v>53</v>
      </c>
      <c r="P172" s="27" t="s">
        <v>80</v>
      </c>
      <c r="Q172" s="27" t="s">
        <v>497</v>
      </c>
      <c r="R172" s="33">
        <v>63129</v>
      </c>
      <c r="S172" s="34">
        <v>42018</v>
      </c>
      <c r="T172" s="34">
        <v>42019</v>
      </c>
      <c r="U172" s="29">
        <v>31.59</v>
      </c>
      <c r="V172" s="26">
        <v>14</v>
      </c>
      <c r="W172" s="29">
        <v>281.75</v>
      </c>
      <c r="X172" s="26">
        <v>87900</v>
      </c>
      <c r="Y172" s="35">
        <v>165.13</v>
      </c>
      <c r="Z172" s="1" t="s">
        <v>3012</v>
      </c>
      <c r="AA172" s="36">
        <v>30.814</v>
      </c>
      <c r="AB172" s="54">
        <v>115.51750000000001</v>
      </c>
      <c r="AC172" s="54">
        <v>11.873749999999999</v>
      </c>
      <c r="AD172" s="36">
        <v>213.816</v>
      </c>
    </row>
    <row r="173" spans="1:30" s="37" customFormat="1" ht="15.75" customHeight="1" x14ac:dyDescent="0.2">
      <c r="A173" s="26">
        <v>3226</v>
      </c>
      <c r="B173" s="27" t="s">
        <v>501</v>
      </c>
      <c r="C173" s="27" t="s">
        <v>3094</v>
      </c>
      <c r="D173" s="28">
        <v>7.0000000000000007E-2</v>
      </c>
      <c r="E173" s="29">
        <v>90.48</v>
      </c>
      <c r="F173" s="29">
        <v>19.989999999999998</v>
      </c>
      <c r="G173" s="30" t="s">
        <v>39</v>
      </c>
      <c r="H173" s="27" t="s">
        <v>3095</v>
      </c>
      <c r="I173" s="27" t="s">
        <v>49</v>
      </c>
      <c r="J173" s="27" t="s">
        <v>345</v>
      </c>
      <c r="K173" s="27" t="s">
        <v>73</v>
      </c>
      <c r="L173" s="31" t="s">
        <v>502</v>
      </c>
      <c r="M173" s="32">
        <v>0.4</v>
      </c>
      <c r="N173" s="27" t="s">
        <v>33</v>
      </c>
      <c r="O173" s="27" t="s">
        <v>34</v>
      </c>
      <c r="P173" s="27" t="s">
        <v>400</v>
      </c>
      <c r="Q173" s="27" t="s">
        <v>503</v>
      </c>
      <c r="R173" s="33">
        <v>37075</v>
      </c>
      <c r="S173" s="34">
        <v>42018</v>
      </c>
      <c r="T173" s="34">
        <v>42019</v>
      </c>
      <c r="U173" s="29">
        <v>-11.816000000000001</v>
      </c>
      <c r="V173" s="26">
        <v>2</v>
      </c>
      <c r="W173" s="29">
        <v>183.39</v>
      </c>
      <c r="X173" s="26">
        <v>86507</v>
      </c>
      <c r="Y173" s="35">
        <v>6.42</v>
      </c>
      <c r="Z173" s="1" t="s">
        <v>3011</v>
      </c>
      <c r="AA173" s="36">
        <v>12.667200000000001</v>
      </c>
      <c r="AB173" s="54">
        <v>110.03399999999999</v>
      </c>
      <c r="AC173" s="54">
        <v>36.677999999999997</v>
      </c>
      <c r="AD173" s="36">
        <v>162.54879999999997</v>
      </c>
    </row>
    <row r="174" spans="1:30" s="37" customFormat="1" ht="15.75" customHeight="1" x14ac:dyDescent="0.2">
      <c r="A174" s="26">
        <v>3148</v>
      </c>
      <c r="B174" s="27" t="s">
        <v>488</v>
      </c>
      <c r="C174" s="27" t="s">
        <v>116</v>
      </c>
      <c r="D174" s="28">
        <v>0.06</v>
      </c>
      <c r="E174" s="29">
        <v>19.989999999999998</v>
      </c>
      <c r="F174" s="29">
        <v>11.17</v>
      </c>
      <c r="G174" s="30" t="s">
        <v>39</v>
      </c>
      <c r="H174" s="27" t="s">
        <v>94</v>
      </c>
      <c r="I174" s="27" t="s">
        <v>29</v>
      </c>
      <c r="J174" s="27" t="s">
        <v>126</v>
      </c>
      <c r="K174" s="27" t="s">
        <v>65</v>
      </c>
      <c r="L174" s="31" t="s">
        <v>489</v>
      </c>
      <c r="M174" s="32">
        <v>0.6</v>
      </c>
      <c r="N174" s="27" t="s">
        <v>33</v>
      </c>
      <c r="O174" s="27" t="s">
        <v>60</v>
      </c>
      <c r="P174" s="27" t="s">
        <v>490</v>
      </c>
      <c r="Q174" s="27" t="s">
        <v>491</v>
      </c>
      <c r="R174" s="33">
        <v>83854</v>
      </c>
      <c r="S174" s="34">
        <v>42018</v>
      </c>
      <c r="T174" s="34">
        <v>42018</v>
      </c>
      <c r="U174" s="29">
        <v>-66.823599999999999</v>
      </c>
      <c r="V174" s="26">
        <v>7</v>
      </c>
      <c r="W174" s="29">
        <v>139.49</v>
      </c>
      <c r="X174" s="26">
        <v>89716</v>
      </c>
      <c r="Y174" s="35">
        <v>19.93</v>
      </c>
      <c r="Z174" s="1" t="s">
        <v>3013</v>
      </c>
      <c r="AA174" s="36">
        <v>8.3957999999999977</v>
      </c>
      <c r="AB174" s="54">
        <v>55.796000000000006</v>
      </c>
      <c r="AC174" s="54">
        <v>11.956285714285714</v>
      </c>
      <c r="AD174" s="36">
        <v>186.74780000000001</v>
      </c>
    </row>
    <row r="175" spans="1:30" s="37" customFormat="1" ht="15.75" customHeight="1" x14ac:dyDescent="0.2">
      <c r="A175" s="26">
        <v>772</v>
      </c>
      <c r="B175" s="27" t="s">
        <v>476</v>
      </c>
      <c r="C175" s="27" t="s">
        <v>26</v>
      </c>
      <c r="D175" s="28">
        <v>0.1</v>
      </c>
      <c r="E175" s="29">
        <v>18.97</v>
      </c>
      <c r="F175" s="29">
        <v>9.5399999999999991</v>
      </c>
      <c r="G175" s="30" t="s">
        <v>87</v>
      </c>
      <c r="H175" s="27" t="s">
        <v>3095</v>
      </c>
      <c r="I175" s="27" t="s">
        <v>49</v>
      </c>
      <c r="J175" s="27" t="s">
        <v>88</v>
      </c>
      <c r="K175" s="27" t="s">
        <v>73</v>
      </c>
      <c r="L175" s="31" t="s">
        <v>479</v>
      </c>
      <c r="M175" s="32">
        <v>0.37</v>
      </c>
      <c r="N175" s="27" t="s">
        <v>33</v>
      </c>
      <c r="O175" s="27" t="s">
        <v>111</v>
      </c>
      <c r="P175" s="27" t="s">
        <v>320</v>
      </c>
      <c r="Q175" s="27" t="s">
        <v>478</v>
      </c>
      <c r="R175" s="33">
        <v>18103</v>
      </c>
      <c r="S175" s="34">
        <v>42018</v>
      </c>
      <c r="T175" s="34">
        <v>42020</v>
      </c>
      <c r="U175" s="29">
        <v>-9.1636000000000006</v>
      </c>
      <c r="V175" s="26">
        <v>3</v>
      </c>
      <c r="W175" s="29">
        <v>56.73</v>
      </c>
      <c r="X175" s="26">
        <v>88666</v>
      </c>
      <c r="Y175" s="35">
        <v>320.92</v>
      </c>
      <c r="Z175" s="1" t="s">
        <v>3014</v>
      </c>
      <c r="AA175" s="36">
        <v>5.6909999999999998</v>
      </c>
      <c r="AB175" s="54">
        <v>35.739899999999999</v>
      </c>
      <c r="AC175" s="54">
        <v>6.9966999999999997</v>
      </c>
      <c r="AD175" s="36">
        <v>50.662599999999998</v>
      </c>
    </row>
    <row r="176" spans="1:30" s="37" customFormat="1" ht="15.75" customHeight="1" x14ac:dyDescent="0.2">
      <c r="A176" s="26">
        <v>3064</v>
      </c>
      <c r="B176" s="27" t="s">
        <v>485</v>
      </c>
      <c r="C176" s="27" t="s">
        <v>48</v>
      </c>
      <c r="D176" s="28">
        <v>0.03</v>
      </c>
      <c r="E176" s="29">
        <v>6.45</v>
      </c>
      <c r="F176" s="29">
        <v>1.34</v>
      </c>
      <c r="G176" s="30" t="s">
        <v>39</v>
      </c>
      <c r="H176" s="27" t="s">
        <v>40</v>
      </c>
      <c r="I176" s="27" t="s">
        <v>49</v>
      </c>
      <c r="J176" s="27" t="s">
        <v>88</v>
      </c>
      <c r="K176" s="27" t="s">
        <v>51</v>
      </c>
      <c r="L176" s="31" t="s">
        <v>486</v>
      </c>
      <c r="M176" s="32">
        <v>0.36</v>
      </c>
      <c r="N176" s="27" t="s">
        <v>33</v>
      </c>
      <c r="O176" s="27" t="s">
        <v>60</v>
      </c>
      <c r="P176" s="27" t="s">
        <v>67</v>
      </c>
      <c r="Q176" s="27" t="s">
        <v>487</v>
      </c>
      <c r="R176" s="33">
        <v>98503</v>
      </c>
      <c r="S176" s="34">
        <v>42018</v>
      </c>
      <c r="T176" s="34">
        <v>42023</v>
      </c>
      <c r="U176" s="29">
        <v>39.129899999999999</v>
      </c>
      <c r="V176" s="26">
        <v>9</v>
      </c>
      <c r="W176" s="29">
        <v>56.71</v>
      </c>
      <c r="X176" s="26">
        <v>88448</v>
      </c>
      <c r="Y176" s="35">
        <v>21.91</v>
      </c>
      <c r="Z176" s="1" t="s">
        <v>3013</v>
      </c>
      <c r="AA176" s="36">
        <v>1.7415</v>
      </c>
      <c r="AB176" s="54">
        <v>36.294400000000003</v>
      </c>
      <c r="AC176" s="54">
        <v>2.2683999999999997</v>
      </c>
      <c r="AD176" s="36">
        <v>14.498599999999996</v>
      </c>
    </row>
    <row r="177" spans="1:30" s="37" customFormat="1" ht="15.75" customHeight="1" x14ac:dyDescent="0.2">
      <c r="A177" s="26">
        <v>772</v>
      </c>
      <c r="B177" s="27" t="s">
        <v>476</v>
      </c>
      <c r="C177" s="27" t="s">
        <v>26</v>
      </c>
      <c r="D177" s="28">
        <v>0.08</v>
      </c>
      <c r="E177" s="29">
        <v>7.77</v>
      </c>
      <c r="F177" s="29">
        <v>9.23</v>
      </c>
      <c r="G177" s="30" t="s">
        <v>39</v>
      </c>
      <c r="H177" s="27" t="s">
        <v>3095</v>
      </c>
      <c r="I177" s="27" t="s">
        <v>49</v>
      </c>
      <c r="J177" s="27" t="s">
        <v>95</v>
      </c>
      <c r="K177" s="27" t="s">
        <v>73</v>
      </c>
      <c r="L177" s="31" t="s">
        <v>477</v>
      </c>
      <c r="M177" s="32">
        <v>0.57999999999999996</v>
      </c>
      <c r="N177" s="27" t="s">
        <v>33</v>
      </c>
      <c r="O177" s="27" t="s">
        <v>111</v>
      </c>
      <c r="P177" s="27" t="s">
        <v>320</v>
      </c>
      <c r="Q177" s="27" t="s">
        <v>478</v>
      </c>
      <c r="R177" s="33">
        <v>18103</v>
      </c>
      <c r="S177" s="34">
        <v>42018</v>
      </c>
      <c r="T177" s="34">
        <v>42020</v>
      </c>
      <c r="U177" s="29">
        <v>-209.25</v>
      </c>
      <c r="V177" s="26">
        <v>7</v>
      </c>
      <c r="W177" s="29">
        <v>56.44</v>
      </c>
      <c r="X177" s="26">
        <v>88666</v>
      </c>
      <c r="Y177" s="35">
        <v>208.06</v>
      </c>
      <c r="Z177" s="1" t="s">
        <v>3014</v>
      </c>
      <c r="AA177" s="36">
        <v>4.3511999999999995</v>
      </c>
      <c r="AB177" s="54">
        <v>23.704800000000002</v>
      </c>
      <c r="AC177" s="54">
        <v>4.6764571428571422</v>
      </c>
      <c r="AD177" s="36">
        <v>252.1088</v>
      </c>
    </row>
    <row r="178" spans="1:30" s="37" customFormat="1" ht="15.75" customHeight="1" x14ac:dyDescent="0.2">
      <c r="A178" s="26">
        <v>1636</v>
      </c>
      <c r="B178" s="27" t="s">
        <v>428</v>
      </c>
      <c r="C178" s="27" t="s">
        <v>26</v>
      </c>
      <c r="D178" s="28">
        <v>0.08</v>
      </c>
      <c r="E178" s="29">
        <v>4.28</v>
      </c>
      <c r="F178" s="29">
        <v>0.94</v>
      </c>
      <c r="G178" s="30" t="s">
        <v>39</v>
      </c>
      <c r="H178" s="27" t="s">
        <v>71</v>
      </c>
      <c r="I178" s="27" t="s">
        <v>49</v>
      </c>
      <c r="J178" s="27" t="s">
        <v>50</v>
      </c>
      <c r="K178" s="27" t="s">
        <v>51</v>
      </c>
      <c r="L178" s="31" t="s">
        <v>481</v>
      </c>
      <c r="M178" s="32">
        <v>0.56000000000000005</v>
      </c>
      <c r="N178" s="27" t="s">
        <v>33</v>
      </c>
      <c r="O178" s="27" t="s">
        <v>60</v>
      </c>
      <c r="P178" s="27" t="s">
        <v>90</v>
      </c>
      <c r="Q178" s="27" t="s">
        <v>430</v>
      </c>
      <c r="R178" s="33">
        <v>93905</v>
      </c>
      <c r="S178" s="34">
        <v>42018</v>
      </c>
      <c r="T178" s="34">
        <v>42021</v>
      </c>
      <c r="U178" s="29">
        <v>10.5792</v>
      </c>
      <c r="V178" s="26">
        <v>7</v>
      </c>
      <c r="W178" s="29">
        <v>29.18</v>
      </c>
      <c r="X178" s="26">
        <v>89704</v>
      </c>
      <c r="Y178" s="35">
        <v>90.410000000000011</v>
      </c>
      <c r="Z178" s="1" t="s">
        <v>3013</v>
      </c>
      <c r="AA178" s="36">
        <v>2.3968000000000003</v>
      </c>
      <c r="AB178" s="54">
        <v>12.839199999999998</v>
      </c>
      <c r="AC178" s="54">
        <v>2.3344</v>
      </c>
      <c r="AD178" s="36">
        <v>15.263999999999999</v>
      </c>
    </row>
    <row r="179" spans="1:30" s="37" customFormat="1" ht="15.75" customHeight="1" x14ac:dyDescent="0.2">
      <c r="A179" s="26">
        <v>3226</v>
      </c>
      <c r="B179" s="27" t="s">
        <v>501</v>
      </c>
      <c r="C179" s="27" t="s">
        <v>3094</v>
      </c>
      <c r="D179" s="28">
        <v>0.02</v>
      </c>
      <c r="E179" s="29">
        <v>4.28</v>
      </c>
      <c r="F179" s="29">
        <v>0.94</v>
      </c>
      <c r="G179" s="30" t="s">
        <v>39</v>
      </c>
      <c r="H179" s="27" t="s">
        <v>3095</v>
      </c>
      <c r="I179" s="27" t="s">
        <v>49</v>
      </c>
      <c r="J179" s="27" t="s">
        <v>50</v>
      </c>
      <c r="K179" s="27" t="s">
        <v>51</v>
      </c>
      <c r="L179" s="31" t="s">
        <v>481</v>
      </c>
      <c r="M179" s="32">
        <v>0.56000000000000005</v>
      </c>
      <c r="N179" s="27" t="s">
        <v>33</v>
      </c>
      <c r="O179" s="27" t="s">
        <v>34</v>
      </c>
      <c r="P179" s="27" t="s">
        <v>400</v>
      </c>
      <c r="Q179" s="27" t="s">
        <v>503</v>
      </c>
      <c r="R179" s="33">
        <v>37075</v>
      </c>
      <c r="S179" s="34">
        <v>42018</v>
      </c>
      <c r="T179" s="34">
        <v>42019</v>
      </c>
      <c r="U179" s="29">
        <v>-105.126</v>
      </c>
      <c r="V179" s="26">
        <v>4</v>
      </c>
      <c r="W179" s="29">
        <v>17.89</v>
      </c>
      <c r="X179" s="26">
        <v>86507</v>
      </c>
      <c r="Y179" s="35">
        <v>9.4700000000000006</v>
      </c>
      <c r="Z179" s="1" t="s">
        <v>3011</v>
      </c>
      <c r="AA179" s="36">
        <v>0.34240000000000004</v>
      </c>
      <c r="AB179" s="54">
        <v>7.871599999999999</v>
      </c>
      <c r="AC179" s="54">
        <v>2.5046000000000004</v>
      </c>
      <c r="AD179" s="36">
        <v>121.73360000000001</v>
      </c>
    </row>
    <row r="180" spans="1:30" s="37" customFormat="1" ht="15.75" customHeight="1" x14ac:dyDescent="0.2">
      <c r="A180" s="26">
        <v>3226</v>
      </c>
      <c r="B180" s="27" t="s">
        <v>501</v>
      </c>
      <c r="C180" s="27" t="s">
        <v>3094</v>
      </c>
      <c r="D180" s="28">
        <v>0.01</v>
      </c>
      <c r="E180" s="29">
        <v>9.48</v>
      </c>
      <c r="F180" s="29">
        <v>7.29</v>
      </c>
      <c r="G180" s="30" t="s">
        <v>87</v>
      </c>
      <c r="H180" s="27" t="s">
        <v>3095</v>
      </c>
      <c r="I180" s="27" t="s">
        <v>29</v>
      </c>
      <c r="J180" s="27" t="s">
        <v>126</v>
      </c>
      <c r="K180" s="27" t="s">
        <v>43</v>
      </c>
      <c r="L180" s="31" t="s">
        <v>504</v>
      </c>
      <c r="M180" s="32">
        <v>0.45</v>
      </c>
      <c r="N180" s="27" t="s">
        <v>33</v>
      </c>
      <c r="O180" s="27" t="s">
        <v>34</v>
      </c>
      <c r="P180" s="27" t="s">
        <v>400</v>
      </c>
      <c r="Q180" s="27" t="s">
        <v>503</v>
      </c>
      <c r="R180" s="33">
        <v>37075</v>
      </c>
      <c r="S180" s="34">
        <v>42018</v>
      </c>
      <c r="T180" s="34">
        <v>42020</v>
      </c>
      <c r="U180" s="29">
        <v>238.93379999999999</v>
      </c>
      <c r="V180" s="26">
        <v>1</v>
      </c>
      <c r="W180" s="29">
        <v>12.9</v>
      </c>
      <c r="X180" s="26">
        <v>86507</v>
      </c>
      <c r="Y180" s="35">
        <v>4.2600000000000007</v>
      </c>
      <c r="Z180" s="1" t="s">
        <v>3011</v>
      </c>
      <c r="AA180" s="36">
        <v>9.4800000000000009E-2</v>
      </c>
      <c r="AB180" s="54">
        <v>7.0950000000000006</v>
      </c>
      <c r="AC180" s="54">
        <v>5.8050000000000006</v>
      </c>
      <c r="AD180" s="36">
        <v>-233.41859999999997</v>
      </c>
    </row>
    <row r="181" spans="1:30" s="37" customFormat="1" ht="15.75" customHeight="1" x14ac:dyDescent="0.2">
      <c r="A181" s="26">
        <v>1212</v>
      </c>
      <c r="B181" s="27" t="s">
        <v>515</v>
      </c>
      <c r="C181" s="27" t="s">
        <v>38</v>
      </c>
      <c r="D181" s="28">
        <v>0.01</v>
      </c>
      <c r="E181" s="29">
        <v>3499.99</v>
      </c>
      <c r="F181" s="29">
        <v>24.49</v>
      </c>
      <c r="G181" s="30" t="s">
        <v>39</v>
      </c>
      <c r="H181" s="27" t="s">
        <v>94</v>
      </c>
      <c r="I181" s="27" t="s">
        <v>41</v>
      </c>
      <c r="J181" s="27" t="s">
        <v>64</v>
      </c>
      <c r="K181" s="27" t="s">
        <v>65</v>
      </c>
      <c r="L181" s="31" t="s">
        <v>518</v>
      </c>
      <c r="M181" s="32">
        <v>0.37</v>
      </c>
      <c r="N181" s="27" t="s">
        <v>33</v>
      </c>
      <c r="O181" s="27" t="s">
        <v>53</v>
      </c>
      <c r="P181" s="27" t="s">
        <v>54</v>
      </c>
      <c r="Q181" s="27" t="s">
        <v>517</v>
      </c>
      <c r="R181" s="33">
        <v>46404</v>
      </c>
      <c r="S181" s="34">
        <v>42019</v>
      </c>
      <c r="T181" s="34">
        <v>42020</v>
      </c>
      <c r="U181" s="29">
        <v>-3061.82</v>
      </c>
      <c r="V181" s="26">
        <v>1</v>
      </c>
      <c r="W181" s="29">
        <v>3672.89</v>
      </c>
      <c r="X181" s="26">
        <v>88600</v>
      </c>
      <c r="Y181" s="35">
        <v>2.79</v>
      </c>
      <c r="Z181" s="1" t="s">
        <v>3012</v>
      </c>
      <c r="AA181" s="36">
        <v>34.999899999999997</v>
      </c>
      <c r="AB181" s="54">
        <v>2313.9207000000001</v>
      </c>
      <c r="AC181" s="54">
        <v>1358.9693</v>
      </c>
      <c r="AD181" s="36">
        <v>6675.2201000000005</v>
      </c>
    </row>
    <row r="182" spans="1:30" s="37" customFormat="1" ht="15.75" customHeight="1" x14ac:dyDescent="0.2">
      <c r="A182" s="26">
        <v>1402</v>
      </c>
      <c r="B182" s="27" t="s">
        <v>531</v>
      </c>
      <c r="C182" s="27" t="s">
        <v>3094</v>
      </c>
      <c r="D182" s="28">
        <v>0</v>
      </c>
      <c r="E182" s="29">
        <v>8.6</v>
      </c>
      <c r="F182" s="29">
        <v>6.19</v>
      </c>
      <c r="G182" s="30" t="s">
        <v>39</v>
      </c>
      <c r="H182" s="27" t="s">
        <v>94</v>
      </c>
      <c r="I182" s="27" t="s">
        <v>49</v>
      </c>
      <c r="J182" s="27" t="s">
        <v>72</v>
      </c>
      <c r="K182" s="27" t="s">
        <v>73</v>
      </c>
      <c r="L182" s="31" t="s">
        <v>532</v>
      </c>
      <c r="M182" s="32">
        <v>0.38</v>
      </c>
      <c r="N182" s="27" t="s">
        <v>33</v>
      </c>
      <c r="O182" s="27" t="s">
        <v>53</v>
      </c>
      <c r="P182" s="27" t="s">
        <v>103</v>
      </c>
      <c r="Q182" s="27" t="s">
        <v>533</v>
      </c>
      <c r="R182" s="33">
        <v>60653</v>
      </c>
      <c r="S182" s="34">
        <v>42019</v>
      </c>
      <c r="T182" s="34">
        <v>42019</v>
      </c>
      <c r="U182" s="29">
        <v>-42.8536</v>
      </c>
      <c r="V182" s="26">
        <v>48</v>
      </c>
      <c r="W182" s="29">
        <v>447.89</v>
      </c>
      <c r="X182" s="26">
        <v>37729</v>
      </c>
      <c r="Y182" s="35">
        <v>2.79</v>
      </c>
      <c r="Z182" s="1" t="s">
        <v>3012</v>
      </c>
      <c r="AA182" s="36">
        <v>0</v>
      </c>
      <c r="AB182" s="54">
        <v>277.6918</v>
      </c>
      <c r="AC182" s="54">
        <v>3.545795833333333</v>
      </c>
      <c r="AD182" s="36">
        <v>484.55359999999996</v>
      </c>
    </row>
    <row r="183" spans="1:30" s="37" customFormat="1" ht="15.75" customHeight="1" x14ac:dyDescent="0.2">
      <c r="A183" s="26">
        <v>428</v>
      </c>
      <c r="B183" s="27" t="s">
        <v>511</v>
      </c>
      <c r="C183" s="27" t="s">
        <v>38</v>
      </c>
      <c r="D183" s="28">
        <v>0.02</v>
      </c>
      <c r="E183" s="29">
        <v>15.28</v>
      </c>
      <c r="F183" s="29">
        <v>1.99</v>
      </c>
      <c r="G183" s="30" t="s">
        <v>39</v>
      </c>
      <c r="H183" s="27" t="s">
        <v>94</v>
      </c>
      <c r="I183" s="27" t="s">
        <v>41</v>
      </c>
      <c r="J183" s="27" t="s">
        <v>42</v>
      </c>
      <c r="K183" s="27" t="s">
        <v>43</v>
      </c>
      <c r="L183" s="31" t="s">
        <v>512</v>
      </c>
      <c r="M183" s="32">
        <v>0.42</v>
      </c>
      <c r="N183" s="27" t="s">
        <v>33</v>
      </c>
      <c r="O183" s="27" t="s">
        <v>60</v>
      </c>
      <c r="P183" s="27" t="s">
        <v>296</v>
      </c>
      <c r="Q183" s="27" t="s">
        <v>513</v>
      </c>
      <c r="R183" s="33">
        <v>89701</v>
      </c>
      <c r="S183" s="34">
        <v>42019</v>
      </c>
      <c r="T183" s="34">
        <v>42020</v>
      </c>
      <c r="U183" s="29">
        <v>163.1574</v>
      </c>
      <c r="V183" s="26">
        <v>15</v>
      </c>
      <c r="W183" s="29">
        <v>236.46</v>
      </c>
      <c r="X183" s="26">
        <v>88479</v>
      </c>
      <c r="Y183" s="35">
        <v>15.26</v>
      </c>
      <c r="Z183" s="1" t="s">
        <v>3013</v>
      </c>
      <c r="AA183" s="36">
        <v>4.5839999999999996</v>
      </c>
      <c r="AB183" s="54">
        <v>137.14680000000001</v>
      </c>
      <c r="AC183" s="54">
        <v>6.6208800000000005</v>
      </c>
      <c r="AD183" s="36">
        <v>66.7286</v>
      </c>
    </row>
    <row r="184" spans="1:30" s="37" customFormat="1" ht="15.75" customHeight="1" x14ac:dyDescent="0.2">
      <c r="A184" s="26">
        <v>1405</v>
      </c>
      <c r="B184" s="27" t="s">
        <v>534</v>
      </c>
      <c r="C184" s="27" t="s">
        <v>3094</v>
      </c>
      <c r="D184" s="28">
        <v>0</v>
      </c>
      <c r="E184" s="29">
        <v>8.6</v>
      </c>
      <c r="F184" s="29">
        <v>6.19</v>
      </c>
      <c r="G184" s="30" t="s">
        <v>39</v>
      </c>
      <c r="H184" s="27" t="s">
        <v>94</v>
      </c>
      <c r="I184" s="27" t="s">
        <v>49</v>
      </c>
      <c r="J184" s="27" t="s">
        <v>72</v>
      </c>
      <c r="K184" s="27" t="s">
        <v>73</v>
      </c>
      <c r="L184" s="31" t="s">
        <v>532</v>
      </c>
      <c r="M184" s="32">
        <v>0.38</v>
      </c>
      <c r="N184" s="27" t="s">
        <v>33</v>
      </c>
      <c r="O184" s="27" t="s">
        <v>53</v>
      </c>
      <c r="P184" s="27" t="s">
        <v>289</v>
      </c>
      <c r="Q184" s="27" t="s">
        <v>535</v>
      </c>
      <c r="R184" s="33">
        <v>49017</v>
      </c>
      <c r="S184" s="34">
        <v>42019</v>
      </c>
      <c r="T184" s="34">
        <v>42019</v>
      </c>
      <c r="U184" s="29">
        <v>-33.211539999999999</v>
      </c>
      <c r="V184" s="26">
        <v>12</v>
      </c>
      <c r="W184" s="29">
        <v>111.97</v>
      </c>
      <c r="X184" s="26">
        <v>86144</v>
      </c>
      <c r="Y184" s="35">
        <v>85.99</v>
      </c>
      <c r="Z184" s="1" t="s">
        <v>3012</v>
      </c>
      <c r="AA184" s="36">
        <v>0</v>
      </c>
      <c r="AB184" s="54">
        <v>69.421400000000006</v>
      </c>
      <c r="AC184" s="54">
        <v>3.5457166666666664</v>
      </c>
      <c r="AD184" s="36">
        <v>138.99153999999999</v>
      </c>
    </row>
    <row r="185" spans="1:30" s="37" customFormat="1" ht="15.75" customHeight="1" x14ac:dyDescent="0.2">
      <c r="A185" s="26">
        <v>3035</v>
      </c>
      <c r="B185" s="27" t="s">
        <v>524</v>
      </c>
      <c r="C185" s="27" t="s">
        <v>48</v>
      </c>
      <c r="D185" s="28">
        <v>0.04</v>
      </c>
      <c r="E185" s="29">
        <v>6.35</v>
      </c>
      <c r="F185" s="29">
        <v>1.02</v>
      </c>
      <c r="G185" s="30" t="s">
        <v>39</v>
      </c>
      <c r="H185" s="27" t="s">
        <v>71</v>
      </c>
      <c r="I185" s="27" t="s">
        <v>49</v>
      </c>
      <c r="J185" s="27" t="s">
        <v>88</v>
      </c>
      <c r="K185" s="27" t="s">
        <v>51</v>
      </c>
      <c r="L185" s="31" t="s">
        <v>527</v>
      </c>
      <c r="M185" s="32">
        <v>0.39</v>
      </c>
      <c r="N185" s="27" t="s">
        <v>33</v>
      </c>
      <c r="O185" s="27" t="s">
        <v>53</v>
      </c>
      <c r="P185" s="27" t="s">
        <v>103</v>
      </c>
      <c r="Q185" s="27" t="s">
        <v>526</v>
      </c>
      <c r="R185" s="33">
        <v>60148</v>
      </c>
      <c r="S185" s="34">
        <v>42019</v>
      </c>
      <c r="T185" s="34">
        <v>42024</v>
      </c>
      <c r="U185" s="29">
        <v>52.170900000000003</v>
      </c>
      <c r="V185" s="26">
        <v>12</v>
      </c>
      <c r="W185" s="29">
        <v>75.61</v>
      </c>
      <c r="X185" s="26">
        <v>89128</v>
      </c>
      <c r="Y185" s="35">
        <v>4.83</v>
      </c>
      <c r="Z185" s="1" t="s">
        <v>3012</v>
      </c>
      <c r="AA185" s="36">
        <v>3.048</v>
      </c>
      <c r="AB185" s="54">
        <v>46.122099999999996</v>
      </c>
      <c r="AC185" s="54">
        <v>2.457325</v>
      </c>
      <c r="AD185" s="36">
        <v>19.371099999999991</v>
      </c>
    </row>
    <row r="186" spans="1:30" s="37" customFormat="1" ht="15.75" customHeight="1" x14ac:dyDescent="0.2">
      <c r="A186" s="26">
        <v>428</v>
      </c>
      <c r="B186" s="27" t="s">
        <v>511</v>
      </c>
      <c r="C186" s="27" t="s">
        <v>38</v>
      </c>
      <c r="D186" s="28">
        <v>0</v>
      </c>
      <c r="E186" s="29">
        <v>85.99</v>
      </c>
      <c r="F186" s="29">
        <v>3.3</v>
      </c>
      <c r="G186" s="30" t="s">
        <v>39</v>
      </c>
      <c r="H186" s="27" t="s">
        <v>94</v>
      </c>
      <c r="I186" s="27" t="s">
        <v>41</v>
      </c>
      <c r="J186" s="27" t="s">
        <v>135</v>
      </c>
      <c r="K186" s="27" t="s">
        <v>43</v>
      </c>
      <c r="L186" s="31" t="s">
        <v>514</v>
      </c>
      <c r="M186" s="32">
        <v>0.37</v>
      </c>
      <c r="N186" s="27" t="s">
        <v>33</v>
      </c>
      <c r="O186" s="27" t="s">
        <v>60</v>
      </c>
      <c r="P186" s="27" t="s">
        <v>296</v>
      </c>
      <c r="Q186" s="27" t="s">
        <v>513</v>
      </c>
      <c r="R186" s="33">
        <v>89701</v>
      </c>
      <c r="S186" s="34">
        <v>42019</v>
      </c>
      <c r="T186" s="34">
        <v>42020</v>
      </c>
      <c r="U186" s="29">
        <v>-302.22500000000002</v>
      </c>
      <c r="V186" s="26">
        <v>1</v>
      </c>
      <c r="W186" s="29">
        <v>73.819999999999993</v>
      </c>
      <c r="X186" s="26">
        <v>88479</v>
      </c>
      <c r="Y186" s="35">
        <v>3499.9799999999996</v>
      </c>
      <c r="Z186" s="1" t="s">
        <v>3013</v>
      </c>
      <c r="AA186" s="36">
        <v>0</v>
      </c>
      <c r="AB186" s="54">
        <v>46.506599999999999</v>
      </c>
      <c r="AC186" s="54">
        <v>27.313399999999998</v>
      </c>
      <c r="AD186" s="36">
        <v>372.745</v>
      </c>
    </row>
    <row r="187" spans="1:30" s="37" customFormat="1" ht="15.75" customHeight="1" x14ac:dyDescent="0.2">
      <c r="A187" s="26">
        <v>1212</v>
      </c>
      <c r="B187" s="27" t="s">
        <v>515</v>
      </c>
      <c r="C187" s="27" t="s">
        <v>38</v>
      </c>
      <c r="D187" s="28">
        <v>0.08</v>
      </c>
      <c r="E187" s="29">
        <v>4.91</v>
      </c>
      <c r="F187" s="29">
        <v>4.97</v>
      </c>
      <c r="G187" s="30" t="s">
        <v>39</v>
      </c>
      <c r="H187" s="27" t="s">
        <v>94</v>
      </c>
      <c r="I187" s="27" t="s">
        <v>49</v>
      </c>
      <c r="J187" s="27" t="s">
        <v>72</v>
      </c>
      <c r="K187" s="27" t="s">
        <v>73</v>
      </c>
      <c r="L187" s="31" t="s">
        <v>516</v>
      </c>
      <c r="M187" s="32">
        <v>0.38</v>
      </c>
      <c r="N187" s="27" t="s">
        <v>33</v>
      </c>
      <c r="O187" s="27" t="s">
        <v>53</v>
      </c>
      <c r="P187" s="27" t="s">
        <v>54</v>
      </c>
      <c r="Q187" s="27" t="s">
        <v>517</v>
      </c>
      <c r="R187" s="33">
        <v>46404</v>
      </c>
      <c r="S187" s="34">
        <v>42019</v>
      </c>
      <c r="T187" s="34">
        <v>42020</v>
      </c>
      <c r="U187" s="29">
        <v>-99.762500000000003</v>
      </c>
      <c r="V187" s="26">
        <v>12</v>
      </c>
      <c r="W187" s="29">
        <v>58.95</v>
      </c>
      <c r="X187" s="26">
        <v>88600</v>
      </c>
      <c r="Y187" s="35">
        <v>5.81</v>
      </c>
      <c r="Z187" s="1" t="s">
        <v>3012</v>
      </c>
      <c r="AA187" s="36">
        <v>4.7136000000000005</v>
      </c>
      <c r="AB187" s="54">
        <v>36.548999999999999</v>
      </c>
      <c r="AC187" s="54">
        <v>1.8667500000000001</v>
      </c>
      <c r="AD187" s="36">
        <v>149.02890000000002</v>
      </c>
    </row>
    <row r="188" spans="1:30" s="37" customFormat="1" ht="15.75" customHeight="1" x14ac:dyDescent="0.2">
      <c r="A188" s="26">
        <v>3035</v>
      </c>
      <c r="B188" s="27" t="s">
        <v>524</v>
      </c>
      <c r="C188" s="27" t="s">
        <v>48</v>
      </c>
      <c r="D188" s="28">
        <v>0.01</v>
      </c>
      <c r="E188" s="29">
        <v>4.9800000000000004</v>
      </c>
      <c r="F188" s="29">
        <v>4.75</v>
      </c>
      <c r="G188" s="30" t="s">
        <v>39</v>
      </c>
      <c r="H188" s="27" t="s">
        <v>71</v>
      </c>
      <c r="I188" s="27" t="s">
        <v>49</v>
      </c>
      <c r="J188" s="27" t="s">
        <v>88</v>
      </c>
      <c r="K188" s="27" t="s">
        <v>73</v>
      </c>
      <c r="L188" s="31" t="s">
        <v>525</v>
      </c>
      <c r="M188" s="32">
        <v>0.36</v>
      </c>
      <c r="N188" s="27" t="s">
        <v>33</v>
      </c>
      <c r="O188" s="27" t="s">
        <v>53</v>
      </c>
      <c r="P188" s="27" t="s">
        <v>103</v>
      </c>
      <c r="Q188" s="27" t="s">
        <v>526</v>
      </c>
      <c r="R188" s="33">
        <v>60148</v>
      </c>
      <c r="S188" s="34">
        <v>42019</v>
      </c>
      <c r="T188" s="34">
        <v>42024</v>
      </c>
      <c r="U188" s="29">
        <v>-75.900400000000005</v>
      </c>
      <c r="V188" s="26">
        <v>10</v>
      </c>
      <c r="W188" s="29">
        <v>52.93</v>
      </c>
      <c r="X188" s="26">
        <v>89128</v>
      </c>
      <c r="Y188" s="35">
        <v>8.01</v>
      </c>
      <c r="Z188" s="1" t="s">
        <v>3012</v>
      </c>
      <c r="AA188" s="36">
        <v>0.49800000000000005</v>
      </c>
      <c r="AB188" s="54">
        <v>33.8752</v>
      </c>
      <c r="AC188" s="54">
        <v>1.9054800000000001</v>
      </c>
      <c r="AD188" s="36">
        <v>123.58240000000001</v>
      </c>
    </row>
    <row r="189" spans="1:30" s="37" customFormat="1" ht="15.75" customHeight="1" x14ac:dyDescent="0.2">
      <c r="A189" s="26">
        <v>1632</v>
      </c>
      <c r="B189" s="27" t="s">
        <v>521</v>
      </c>
      <c r="C189" s="27" t="s">
        <v>38</v>
      </c>
      <c r="D189" s="28">
        <v>0.08</v>
      </c>
      <c r="E189" s="29">
        <v>8.09</v>
      </c>
      <c r="F189" s="29">
        <v>7.96</v>
      </c>
      <c r="G189" s="30" t="s">
        <v>87</v>
      </c>
      <c r="H189" s="27" t="s">
        <v>71</v>
      </c>
      <c r="I189" s="27" t="s">
        <v>29</v>
      </c>
      <c r="J189" s="27" t="s">
        <v>126</v>
      </c>
      <c r="K189" s="27" t="s">
        <v>73</v>
      </c>
      <c r="L189" s="31" t="s">
        <v>522</v>
      </c>
      <c r="M189" s="32">
        <v>0.49</v>
      </c>
      <c r="N189" s="27" t="s">
        <v>33</v>
      </c>
      <c r="O189" s="27" t="s">
        <v>34</v>
      </c>
      <c r="P189" s="27" t="s">
        <v>35</v>
      </c>
      <c r="Q189" s="27" t="s">
        <v>523</v>
      </c>
      <c r="R189" s="33">
        <v>39401</v>
      </c>
      <c r="S189" s="34">
        <v>42019</v>
      </c>
      <c r="T189" s="34">
        <v>42020</v>
      </c>
      <c r="U189" s="29">
        <v>15.984</v>
      </c>
      <c r="V189" s="26">
        <v>6</v>
      </c>
      <c r="W189" s="29">
        <v>48.25</v>
      </c>
      <c r="X189" s="26">
        <v>90530</v>
      </c>
      <c r="Y189" s="35">
        <v>4.9700000000000006</v>
      </c>
      <c r="Z189" s="1" t="s">
        <v>3011</v>
      </c>
      <c r="AA189" s="36">
        <v>3.8832</v>
      </c>
      <c r="AB189" s="54">
        <v>24.607500000000002</v>
      </c>
      <c r="AC189" s="54">
        <v>3.9404166666666662</v>
      </c>
      <c r="AD189" s="36">
        <v>20.422800000000002</v>
      </c>
    </row>
    <row r="190" spans="1:30" s="37" customFormat="1" ht="15.75" customHeight="1" x14ac:dyDescent="0.2">
      <c r="A190" s="26">
        <v>2791</v>
      </c>
      <c r="B190" s="27" t="s">
        <v>508</v>
      </c>
      <c r="C190" s="27" t="s">
        <v>26</v>
      </c>
      <c r="D190" s="28">
        <v>0.09</v>
      </c>
      <c r="E190" s="29">
        <v>2.88</v>
      </c>
      <c r="F190" s="29">
        <v>0.7</v>
      </c>
      <c r="G190" s="30" t="s">
        <v>39</v>
      </c>
      <c r="H190" s="27" t="s">
        <v>94</v>
      </c>
      <c r="I190" s="27" t="s">
        <v>49</v>
      </c>
      <c r="J190" s="27" t="s">
        <v>50</v>
      </c>
      <c r="K190" s="27" t="s">
        <v>51</v>
      </c>
      <c r="L190" s="31" t="s">
        <v>509</v>
      </c>
      <c r="M190" s="32">
        <v>0.56000000000000005</v>
      </c>
      <c r="N190" s="27" t="s">
        <v>33</v>
      </c>
      <c r="O190" s="27" t="s">
        <v>53</v>
      </c>
      <c r="P190" s="27" t="s">
        <v>289</v>
      </c>
      <c r="Q190" s="27" t="s">
        <v>510</v>
      </c>
      <c r="R190" s="33">
        <v>48071</v>
      </c>
      <c r="S190" s="34">
        <v>42019</v>
      </c>
      <c r="T190" s="34">
        <v>42019</v>
      </c>
      <c r="U190" s="29">
        <v>4.8499999999999996</v>
      </c>
      <c r="V190" s="26">
        <v>7</v>
      </c>
      <c r="W190" s="29">
        <v>19.29</v>
      </c>
      <c r="X190" s="26">
        <v>88758</v>
      </c>
      <c r="Y190" s="35">
        <v>6.31</v>
      </c>
      <c r="Z190" s="1" t="s">
        <v>3012</v>
      </c>
      <c r="AA190" s="36">
        <v>1.8144</v>
      </c>
      <c r="AB190" s="54">
        <v>8.4875999999999987</v>
      </c>
      <c r="AC190" s="54">
        <v>1.5432000000000001</v>
      </c>
      <c r="AD190" s="36">
        <v>11.925599999999999</v>
      </c>
    </row>
    <row r="191" spans="1:30" s="37" customFormat="1" ht="15.75" customHeight="1" x14ac:dyDescent="0.2">
      <c r="A191" s="26">
        <v>145</v>
      </c>
      <c r="B191" s="27" t="s">
        <v>528</v>
      </c>
      <c r="C191" s="27" t="s">
        <v>116</v>
      </c>
      <c r="D191" s="28">
        <v>0.06</v>
      </c>
      <c r="E191" s="29">
        <v>7.04</v>
      </c>
      <c r="F191" s="29">
        <v>2.17</v>
      </c>
      <c r="G191" s="30" t="s">
        <v>39</v>
      </c>
      <c r="H191" s="27" t="s">
        <v>3095</v>
      </c>
      <c r="I191" s="27" t="s">
        <v>49</v>
      </c>
      <c r="J191" s="27" t="s">
        <v>88</v>
      </c>
      <c r="K191" s="27" t="s">
        <v>51</v>
      </c>
      <c r="L191" s="31" t="s">
        <v>529</v>
      </c>
      <c r="M191" s="32">
        <v>0.38</v>
      </c>
      <c r="N191" s="27" t="s">
        <v>33</v>
      </c>
      <c r="O191" s="27" t="s">
        <v>111</v>
      </c>
      <c r="P191" s="27" t="s">
        <v>320</v>
      </c>
      <c r="Q191" s="27" t="s">
        <v>530</v>
      </c>
      <c r="R191" s="33">
        <v>15122</v>
      </c>
      <c r="S191" s="34">
        <v>42019</v>
      </c>
      <c r="T191" s="34">
        <v>42021</v>
      </c>
      <c r="U191" s="29">
        <v>2.4851999999999999</v>
      </c>
      <c r="V191" s="26">
        <v>2</v>
      </c>
      <c r="W191" s="29">
        <v>14.65</v>
      </c>
      <c r="X191" s="26">
        <v>91086</v>
      </c>
      <c r="Y191" s="35">
        <v>6.98</v>
      </c>
      <c r="Z191" s="1" t="s">
        <v>3014</v>
      </c>
      <c r="AA191" s="36">
        <v>0.8448</v>
      </c>
      <c r="AB191" s="54">
        <v>9.0830000000000002</v>
      </c>
      <c r="AC191" s="54">
        <v>2.7835000000000001</v>
      </c>
      <c r="AD191" s="36">
        <v>9.15</v>
      </c>
    </row>
    <row r="192" spans="1:30" s="37" customFormat="1" ht="15.75" customHeight="1" x14ac:dyDescent="0.2">
      <c r="A192" s="26">
        <v>1213</v>
      </c>
      <c r="B192" s="27" t="s">
        <v>519</v>
      </c>
      <c r="C192" s="27" t="s">
        <v>38</v>
      </c>
      <c r="D192" s="28">
        <v>0.03</v>
      </c>
      <c r="E192" s="29">
        <v>5.84</v>
      </c>
      <c r="F192" s="29">
        <v>1.2</v>
      </c>
      <c r="G192" s="30" t="s">
        <v>39</v>
      </c>
      <c r="H192" s="27" t="s">
        <v>94</v>
      </c>
      <c r="I192" s="27" t="s">
        <v>49</v>
      </c>
      <c r="J192" s="27" t="s">
        <v>50</v>
      </c>
      <c r="K192" s="27" t="s">
        <v>51</v>
      </c>
      <c r="L192" s="31" t="s">
        <v>69</v>
      </c>
      <c r="M192" s="32">
        <v>0.55000000000000004</v>
      </c>
      <c r="N192" s="27" t="s">
        <v>33</v>
      </c>
      <c r="O192" s="27" t="s">
        <v>53</v>
      </c>
      <c r="P192" s="27" t="s">
        <v>54</v>
      </c>
      <c r="Q192" s="27" t="s">
        <v>520</v>
      </c>
      <c r="R192" s="33">
        <v>46530</v>
      </c>
      <c r="S192" s="34">
        <v>42019</v>
      </c>
      <c r="T192" s="34">
        <v>42021</v>
      </c>
      <c r="U192" s="29">
        <v>-0.01</v>
      </c>
      <c r="V192" s="26">
        <v>2</v>
      </c>
      <c r="W192" s="29">
        <v>11.74</v>
      </c>
      <c r="X192" s="26">
        <v>88600</v>
      </c>
      <c r="Y192" s="35">
        <v>8.6</v>
      </c>
      <c r="Z192" s="1" t="s">
        <v>3012</v>
      </c>
      <c r="AA192" s="36">
        <v>0.35039999999999999</v>
      </c>
      <c r="AB192" s="54">
        <v>5.2829999999999995</v>
      </c>
      <c r="AC192" s="54">
        <v>3.2285000000000004</v>
      </c>
      <c r="AD192" s="36">
        <v>10.1996</v>
      </c>
    </row>
    <row r="193" spans="1:30" s="37" customFormat="1" ht="15.75" customHeight="1" x14ac:dyDescent="0.2">
      <c r="A193" s="26">
        <v>152</v>
      </c>
      <c r="B193" s="27" t="s">
        <v>505</v>
      </c>
      <c r="C193" s="27" t="s">
        <v>26</v>
      </c>
      <c r="D193" s="28">
        <v>0.09</v>
      </c>
      <c r="E193" s="29">
        <v>2.88</v>
      </c>
      <c r="F193" s="29">
        <v>0.7</v>
      </c>
      <c r="G193" s="30" t="s">
        <v>39</v>
      </c>
      <c r="H193" s="27" t="s">
        <v>40</v>
      </c>
      <c r="I193" s="27" t="s">
        <v>49</v>
      </c>
      <c r="J193" s="27" t="s">
        <v>50</v>
      </c>
      <c r="K193" s="27" t="s">
        <v>51</v>
      </c>
      <c r="L193" s="31" t="s">
        <v>506</v>
      </c>
      <c r="M193" s="32">
        <v>0.56000000000000005</v>
      </c>
      <c r="N193" s="27" t="s">
        <v>33</v>
      </c>
      <c r="O193" s="27" t="s">
        <v>34</v>
      </c>
      <c r="P193" s="27" t="s">
        <v>400</v>
      </c>
      <c r="Q193" s="27" t="s">
        <v>507</v>
      </c>
      <c r="R193" s="33">
        <v>37918</v>
      </c>
      <c r="S193" s="34">
        <v>42019</v>
      </c>
      <c r="T193" s="34">
        <v>42020</v>
      </c>
      <c r="U193" s="29">
        <v>-172.71799999999999</v>
      </c>
      <c r="V193" s="26">
        <v>2</v>
      </c>
      <c r="W193" s="29">
        <v>5.5</v>
      </c>
      <c r="X193" s="26">
        <v>89520</v>
      </c>
      <c r="Y193" s="35">
        <v>8.6</v>
      </c>
      <c r="Z193" s="1" t="s">
        <v>3011</v>
      </c>
      <c r="AA193" s="36">
        <v>0.51839999999999997</v>
      </c>
      <c r="AB193" s="54">
        <v>2.42</v>
      </c>
      <c r="AC193" s="54">
        <v>1.54</v>
      </c>
      <c r="AD193" s="36">
        <v>176.99959999999999</v>
      </c>
    </row>
    <row r="194" spans="1:30" s="37" customFormat="1" ht="15.75" customHeight="1" x14ac:dyDescent="0.2">
      <c r="A194" s="26">
        <v>667</v>
      </c>
      <c r="B194" s="27" t="s">
        <v>553</v>
      </c>
      <c r="C194" s="27" t="s">
        <v>48</v>
      </c>
      <c r="D194" s="28">
        <v>0.04</v>
      </c>
      <c r="E194" s="29">
        <v>22.72</v>
      </c>
      <c r="F194" s="29">
        <v>8.99</v>
      </c>
      <c r="G194" s="30" t="s">
        <v>39</v>
      </c>
      <c r="H194" s="27" t="s">
        <v>94</v>
      </c>
      <c r="I194" s="27" t="s">
        <v>29</v>
      </c>
      <c r="J194" s="27" t="s">
        <v>126</v>
      </c>
      <c r="K194" s="27" t="s">
        <v>43</v>
      </c>
      <c r="L194" s="31" t="s">
        <v>328</v>
      </c>
      <c r="M194" s="32">
        <v>0.44</v>
      </c>
      <c r="N194" s="27" t="s">
        <v>33</v>
      </c>
      <c r="O194" s="27" t="s">
        <v>53</v>
      </c>
      <c r="P194" s="27" t="s">
        <v>187</v>
      </c>
      <c r="Q194" s="27" t="s">
        <v>554</v>
      </c>
      <c r="R194" s="33">
        <v>75203</v>
      </c>
      <c r="S194" s="34">
        <v>42020</v>
      </c>
      <c r="T194" s="34">
        <v>42024</v>
      </c>
      <c r="U194" s="29">
        <v>70.028000000000006</v>
      </c>
      <c r="V194" s="26">
        <v>37</v>
      </c>
      <c r="W194" s="29">
        <v>832.14</v>
      </c>
      <c r="X194" s="26">
        <v>22147</v>
      </c>
      <c r="Y194" s="35">
        <v>28.39</v>
      </c>
      <c r="Z194" s="1" t="s">
        <v>3012</v>
      </c>
      <c r="AA194" s="36">
        <v>33.625599999999999</v>
      </c>
      <c r="AB194" s="54">
        <v>465.99840000000006</v>
      </c>
      <c r="AC194" s="54">
        <v>9.8957189189189183</v>
      </c>
      <c r="AD194" s="36">
        <v>719.49639999999999</v>
      </c>
    </row>
    <row r="195" spans="1:30" s="37" customFormat="1" ht="15.75" customHeight="1" x14ac:dyDescent="0.2">
      <c r="A195" s="26">
        <v>288</v>
      </c>
      <c r="B195" s="27" t="s">
        <v>536</v>
      </c>
      <c r="C195" s="27" t="s">
        <v>26</v>
      </c>
      <c r="D195" s="28">
        <v>0.08</v>
      </c>
      <c r="E195" s="29">
        <v>65.989999999999995</v>
      </c>
      <c r="F195" s="29">
        <v>4.99</v>
      </c>
      <c r="G195" s="30" t="s">
        <v>87</v>
      </c>
      <c r="H195" s="27" t="s">
        <v>3095</v>
      </c>
      <c r="I195" s="27" t="s">
        <v>41</v>
      </c>
      <c r="J195" s="27" t="s">
        <v>135</v>
      </c>
      <c r="K195" s="27" t="s">
        <v>73</v>
      </c>
      <c r="L195" s="31" t="s">
        <v>539</v>
      </c>
      <c r="M195" s="32">
        <v>0.57999999999999996</v>
      </c>
      <c r="N195" s="27" t="s">
        <v>33</v>
      </c>
      <c r="O195" s="27" t="s">
        <v>53</v>
      </c>
      <c r="P195" s="27" t="s">
        <v>537</v>
      </c>
      <c r="Q195" s="27" t="s">
        <v>538</v>
      </c>
      <c r="R195" s="33">
        <v>67212</v>
      </c>
      <c r="S195" s="34">
        <v>42020</v>
      </c>
      <c r="T195" s="34">
        <v>42022</v>
      </c>
      <c r="U195" s="29">
        <v>496.89</v>
      </c>
      <c r="V195" s="26">
        <v>14</v>
      </c>
      <c r="W195" s="29">
        <v>748.1</v>
      </c>
      <c r="X195" s="26">
        <v>89762</v>
      </c>
      <c r="Y195" s="35">
        <v>65.91</v>
      </c>
      <c r="Z195" s="1" t="s">
        <v>3012</v>
      </c>
      <c r="AA195" s="36">
        <v>73.908799999999985</v>
      </c>
      <c r="AB195" s="54">
        <v>314.20200000000006</v>
      </c>
      <c r="AC195" s="54">
        <v>30.992714285714285</v>
      </c>
      <c r="AD195" s="36">
        <v>172.31119999999999</v>
      </c>
    </row>
    <row r="196" spans="1:30" s="37" customFormat="1" ht="15.75" customHeight="1" x14ac:dyDescent="0.2">
      <c r="A196" s="26">
        <v>3385</v>
      </c>
      <c r="B196" s="27" t="s">
        <v>555</v>
      </c>
      <c r="C196" s="27" t="s">
        <v>48</v>
      </c>
      <c r="D196" s="28">
        <v>0.01</v>
      </c>
      <c r="E196" s="29">
        <v>125.99</v>
      </c>
      <c r="F196" s="29">
        <v>8.99</v>
      </c>
      <c r="G196" s="30" t="s">
        <v>39</v>
      </c>
      <c r="H196" s="27" t="s">
        <v>94</v>
      </c>
      <c r="I196" s="27" t="s">
        <v>41</v>
      </c>
      <c r="J196" s="27" t="s">
        <v>135</v>
      </c>
      <c r="K196" s="27" t="s">
        <v>73</v>
      </c>
      <c r="L196" s="31" t="s">
        <v>353</v>
      </c>
      <c r="M196" s="32">
        <v>0.59</v>
      </c>
      <c r="N196" s="27" t="s">
        <v>33</v>
      </c>
      <c r="O196" s="27" t="s">
        <v>111</v>
      </c>
      <c r="P196" s="27" t="s">
        <v>317</v>
      </c>
      <c r="Q196" s="27" t="s">
        <v>557</v>
      </c>
      <c r="R196" s="33">
        <v>44512</v>
      </c>
      <c r="S196" s="34">
        <v>42020</v>
      </c>
      <c r="T196" s="34">
        <v>42025</v>
      </c>
      <c r="U196" s="29">
        <v>426.46032000000002</v>
      </c>
      <c r="V196" s="26">
        <v>6</v>
      </c>
      <c r="W196" s="29">
        <v>680.65</v>
      </c>
      <c r="X196" s="26">
        <v>88745</v>
      </c>
      <c r="Y196" s="35">
        <v>2.0900000000000003</v>
      </c>
      <c r="Z196" s="1" t="s">
        <v>3014</v>
      </c>
      <c r="AA196" s="36">
        <v>7.5594000000000001</v>
      </c>
      <c r="AB196" s="54">
        <v>279.06650000000002</v>
      </c>
      <c r="AC196" s="54">
        <v>66.930583333333331</v>
      </c>
      <c r="AD196" s="36">
        <v>237.64027999999996</v>
      </c>
    </row>
    <row r="197" spans="1:30" s="37" customFormat="1" ht="15.75" customHeight="1" x14ac:dyDescent="0.2">
      <c r="A197" s="26">
        <v>3036</v>
      </c>
      <c r="B197" s="27" t="s">
        <v>564</v>
      </c>
      <c r="C197" s="27" t="s">
        <v>3094</v>
      </c>
      <c r="D197" s="28">
        <v>0.05</v>
      </c>
      <c r="E197" s="29">
        <v>35.44</v>
      </c>
      <c r="F197" s="29">
        <v>7.5</v>
      </c>
      <c r="G197" s="30" t="s">
        <v>39</v>
      </c>
      <c r="H197" s="27" t="s">
        <v>71</v>
      </c>
      <c r="I197" s="27" t="s">
        <v>49</v>
      </c>
      <c r="J197" s="27" t="s">
        <v>88</v>
      </c>
      <c r="K197" s="27" t="s">
        <v>73</v>
      </c>
      <c r="L197" s="31" t="s">
        <v>567</v>
      </c>
      <c r="M197" s="32">
        <v>0.38</v>
      </c>
      <c r="N197" s="27" t="s">
        <v>33</v>
      </c>
      <c r="O197" s="27" t="s">
        <v>53</v>
      </c>
      <c r="P197" s="27" t="s">
        <v>565</v>
      </c>
      <c r="Q197" s="27" t="s">
        <v>566</v>
      </c>
      <c r="R197" s="33">
        <v>58554</v>
      </c>
      <c r="S197" s="34">
        <v>42020</v>
      </c>
      <c r="T197" s="34">
        <v>42022</v>
      </c>
      <c r="U197" s="29">
        <v>165.88980000000001</v>
      </c>
      <c r="V197" s="26">
        <v>7</v>
      </c>
      <c r="W197" s="29">
        <v>240.42</v>
      </c>
      <c r="X197" s="26">
        <v>89129</v>
      </c>
      <c r="Y197" s="35">
        <v>179.23999999999998</v>
      </c>
      <c r="Z197" s="1" t="s">
        <v>3012</v>
      </c>
      <c r="AA197" s="36">
        <v>12.404</v>
      </c>
      <c r="AB197" s="54">
        <v>149.06039999999999</v>
      </c>
      <c r="AC197" s="54">
        <v>13.051371428571429</v>
      </c>
      <c r="AD197" s="36">
        <v>54.626199999999983</v>
      </c>
    </row>
    <row r="198" spans="1:30" s="37" customFormat="1" ht="15.75" customHeight="1" x14ac:dyDescent="0.2">
      <c r="A198" s="26">
        <v>2924</v>
      </c>
      <c r="B198" s="27" t="s">
        <v>544</v>
      </c>
      <c r="C198" s="27" t="s">
        <v>26</v>
      </c>
      <c r="D198" s="28">
        <v>0.02</v>
      </c>
      <c r="E198" s="29">
        <v>110.98</v>
      </c>
      <c r="F198" s="29">
        <v>13.99</v>
      </c>
      <c r="G198" s="30" t="s">
        <v>39</v>
      </c>
      <c r="H198" s="27" t="s">
        <v>40</v>
      </c>
      <c r="I198" s="27" t="s">
        <v>29</v>
      </c>
      <c r="J198" s="27" t="s">
        <v>126</v>
      </c>
      <c r="K198" s="27" t="s">
        <v>144</v>
      </c>
      <c r="L198" s="31" t="s">
        <v>545</v>
      </c>
      <c r="M198" s="32">
        <v>0.69</v>
      </c>
      <c r="N198" s="27" t="s">
        <v>33</v>
      </c>
      <c r="O198" s="27" t="s">
        <v>111</v>
      </c>
      <c r="P198" s="27" t="s">
        <v>418</v>
      </c>
      <c r="Q198" s="27" t="s">
        <v>546</v>
      </c>
      <c r="R198" s="33">
        <v>20707</v>
      </c>
      <c r="S198" s="34">
        <v>42020</v>
      </c>
      <c r="T198" s="34">
        <v>42022</v>
      </c>
      <c r="U198" s="29">
        <v>-106.3424</v>
      </c>
      <c r="V198" s="26">
        <v>2</v>
      </c>
      <c r="W198" s="29">
        <v>226.53</v>
      </c>
      <c r="X198" s="26">
        <v>86591</v>
      </c>
      <c r="Y198" s="35">
        <v>110.96000000000001</v>
      </c>
      <c r="Z198" s="1" t="s">
        <v>3014</v>
      </c>
      <c r="AA198" s="36">
        <v>4.4392000000000005</v>
      </c>
      <c r="AB198" s="54">
        <v>70.224300000000014</v>
      </c>
      <c r="AC198" s="54">
        <v>78.152850000000001</v>
      </c>
      <c r="AD198" s="36">
        <v>314.44319999999999</v>
      </c>
    </row>
    <row r="199" spans="1:30" s="37" customFormat="1" ht="15.75" customHeight="1" x14ac:dyDescent="0.2">
      <c r="A199" s="26">
        <v>665</v>
      </c>
      <c r="B199" s="27" t="s">
        <v>551</v>
      </c>
      <c r="C199" s="27" t="s">
        <v>48</v>
      </c>
      <c r="D199" s="28">
        <v>0.04</v>
      </c>
      <c r="E199" s="29">
        <v>22.72</v>
      </c>
      <c r="F199" s="29">
        <v>8.99</v>
      </c>
      <c r="G199" s="30" t="s">
        <v>39</v>
      </c>
      <c r="H199" s="27" t="s">
        <v>94</v>
      </c>
      <c r="I199" s="27" t="s">
        <v>29</v>
      </c>
      <c r="J199" s="27" t="s">
        <v>126</v>
      </c>
      <c r="K199" s="27" t="s">
        <v>43</v>
      </c>
      <c r="L199" s="31" t="s">
        <v>328</v>
      </c>
      <c r="M199" s="32">
        <v>0.44</v>
      </c>
      <c r="N199" s="27" t="s">
        <v>33</v>
      </c>
      <c r="O199" s="27" t="s">
        <v>34</v>
      </c>
      <c r="P199" s="27" t="s">
        <v>400</v>
      </c>
      <c r="Q199" s="27" t="s">
        <v>552</v>
      </c>
      <c r="R199" s="33">
        <v>37130</v>
      </c>
      <c r="S199" s="34">
        <v>42020</v>
      </c>
      <c r="T199" s="34">
        <v>42024</v>
      </c>
      <c r="U199" s="29">
        <v>-678.49599999999998</v>
      </c>
      <c r="V199" s="26">
        <v>9</v>
      </c>
      <c r="W199" s="29">
        <v>202.41</v>
      </c>
      <c r="X199" s="26">
        <v>88677</v>
      </c>
      <c r="Y199" s="35">
        <v>8</v>
      </c>
      <c r="Z199" s="1" t="s">
        <v>3011</v>
      </c>
      <c r="AA199" s="36">
        <v>8.1791999999999998</v>
      </c>
      <c r="AB199" s="54">
        <v>113.34960000000001</v>
      </c>
      <c r="AC199" s="54">
        <v>9.8956</v>
      </c>
      <c r="AD199" s="36">
        <v>863.7367999999999</v>
      </c>
    </row>
    <row r="200" spans="1:30" s="37" customFormat="1" ht="15.75" customHeight="1" x14ac:dyDescent="0.2">
      <c r="A200" s="26">
        <v>288</v>
      </c>
      <c r="B200" s="27" t="s">
        <v>536</v>
      </c>
      <c r="C200" s="27" t="s">
        <v>26</v>
      </c>
      <c r="D200" s="28">
        <v>0.09</v>
      </c>
      <c r="E200" s="29">
        <v>28.48</v>
      </c>
      <c r="F200" s="29">
        <v>1.99</v>
      </c>
      <c r="G200" s="30" t="s">
        <v>39</v>
      </c>
      <c r="H200" s="27" t="s">
        <v>3095</v>
      </c>
      <c r="I200" s="27" t="s">
        <v>41</v>
      </c>
      <c r="J200" s="27" t="s">
        <v>42</v>
      </c>
      <c r="K200" s="27" t="s">
        <v>43</v>
      </c>
      <c r="L200" s="31" t="s">
        <v>212</v>
      </c>
      <c r="M200" s="32">
        <v>0.4</v>
      </c>
      <c r="N200" s="27" t="s">
        <v>33</v>
      </c>
      <c r="O200" s="27" t="s">
        <v>53</v>
      </c>
      <c r="P200" s="27" t="s">
        <v>537</v>
      </c>
      <c r="Q200" s="27" t="s">
        <v>538</v>
      </c>
      <c r="R200" s="33">
        <v>67212</v>
      </c>
      <c r="S200" s="34">
        <v>42020</v>
      </c>
      <c r="T200" s="34">
        <v>42023</v>
      </c>
      <c r="U200" s="29">
        <v>132.68700000000001</v>
      </c>
      <c r="V200" s="26">
        <v>7</v>
      </c>
      <c r="W200" s="29">
        <v>192.3</v>
      </c>
      <c r="X200" s="26">
        <v>89762</v>
      </c>
      <c r="Y200" s="35">
        <v>7.34</v>
      </c>
      <c r="Z200" s="1" t="s">
        <v>3012</v>
      </c>
      <c r="AA200" s="36">
        <v>17.942399999999999</v>
      </c>
      <c r="AB200" s="54">
        <v>115.38</v>
      </c>
      <c r="AC200" s="54">
        <v>10.988571428571429</v>
      </c>
      <c r="AD200" s="36">
        <v>39.680599999999998</v>
      </c>
    </row>
    <row r="201" spans="1:30" s="37" customFormat="1" ht="15.75" customHeight="1" x14ac:dyDescent="0.2">
      <c r="A201" s="26">
        <v>1603</v>
      </c>
      <c r="B201" s="27" t="s">
        <v>540</v>
      </c>
      <c r="C201" s="27" t="s">
        <v>26</v>
      </c>
      <c r="D201" s="28">
        <v>0.05</v>
      </c>
      <c r="E201" s="29">
        <v>179.29</v>
      </c>
      <c r="F201" s="29">
        <v>29.21</v>
      </c>
      <c r="G201" s="30" t="s">
        <v>27</v>
      </c>
      <c r="H201" s="27" t="s">
        <v>3095</v>
      </c>
      <c r="I201" s="27" t="s">
        <v>29</v>
      </c>
      <c r="J201" s="27" t="s">
        <v>30</v>
      </c>
      <c r="K201" s="27" t="s">
        <v>31</v>
      </c>
      <c r="L201" s="31" t="s">
        <v>543</v>
      </c>
      <c r="M201" s="32">
        <v>0.76</v>
      </c>
      <c r="N201" s="27" t="s">
        <v>33</v>
      </c>
      <c r="O201" s="27" t="s">
        <v>111</v>
      </c>
      <c r="P201" s="27" t="s">
        <v>112</v>
      </c>
      <c r="Q201" s="27" t="s">
        <v>542</v>
      </c>
      <c r="R201" s="33">
        <v>11598</v>
      </c>
      <c r="S201" s="34">
        <v>42020</v>
      </c>
      <c r="T201" s="34">
        <v>42022</v>
      </c>
      <c r="U201" s="29">
        <v>-537.27977731999999</v>
      </c>
      <c r="V201" s="26">
        <v>1</v>
      </c>
      <c r="W201" s="29">
        <v>186.64</v>
      </c>
      <c r="X201" s="26">
        <v>89679</v>
      </c>
      <c r="Y201" s="35">
        <v>22.68</v>
      </c>
      <c r="Z201" s="1" t="s">
        <v>3014</v>
      </c>
      <c r="AA201" s="36">
        <v>8.9644999999999992</v>
      </c>
      <c r="AB201" s="54">
        <v>44.793599999999998</v>
      </c>
      <c r="AC201" s="54">
        <v>141.84639999999999</v>
      </c>
      <c r="AD201" s="36">
        <v>685.74527732000001</v>
      </c>
    </row>
    <row r="202" spans="1:30" s="37" customFormat="1" ht="15.75" customHeight="1" x14ac:dyDescent="0.2">
      <c r="A202" s="26">
        <v>3036</v>
      </c>
      <c r="B202" s="27" t="s">
        <v>564</v>
      </c>
      <c r="C202" s="27" t="s">
        <v>3094</v>
      </c>
      <c r="D202" s="28">
        <v>0.02</v>
      </c>
      <c r="E202" s="29">
        <v>12.98</v>
      </c>
      <c r="F202" s="29">
        <v>3.14</v>
      </c>
      <c r="G202" s="30" t="s">
        <v>39</v>
      </c>
      <c r="H202" s="27" t="s">
        <v>71</v>
      </c>
      <c r="I202" s="27" t="s">
        <v>49</v>
      </c>
      <c r="J202" s="27" t="s">
        <v>568</v>
      </c>
      <c r="K202" s="27" t="s">
        <v>43</v>
      </c>
      <c r="L202" s="31" t="s">
        <v>569</v>
      </c>
      <c r="M202" s="32">
        <v>0.6</v>
      </c>
      <c r="N202" s="27" t="s">
        <v>33</v>
      </c>
      <c r="O202" s="27" t="s">
        <v>53</v>
      </c>
      <c r="P202" s="27" t="s">
        <v>565</v>
      </c>
      <c r="Q202" s="27" t="s">
        <v>566</v>
      </c>
      <c r="R202" s="33">
        <v>58554</v>
      </c>
      <c r="S202" s="34">
        <v>42020</v>
      </c>
      <c r="T202" s="34">
        <v>42023</v>
      </c>
      <c r="U202" s="29">
        <v>75.010000000000005</v>
      </c>
      <c r="V202" s="26">
        <v>14</v>
      </c>
      <c r="W202" s="29">
        <v>184.4</v>
      </c>
      <c r="X202" s="26">
        <v>89129</v>
      </c>
      <c r="Y202" s="35">
        <v>22.68</v>
      </c>
      <c r="Z202" s="1" t="s">
        <v>3012</v>
      </c>
      <c r="AA202" s="36">
        <v>3.6343999999999999</v>
      </c>
      <c r="AB202" s="54">
        <v>73.760000000000005</v>
      </c>
      <c r="AC202" s="54">
        <v>7.902857142857143</v>
      </c>
      <c r="AD202" s="36">
        <v>102.6156</v>
      </c>
    </row>
    <row r="203" spans="1:30" s="37" customFormat="1" ht="15.75" customHeight="1" x14ac:dyDescent="0.2">
      <c r="A203" s="26">
        <v>1697</v>
      </c>
      <c r="B203" s="27" t="s">
        <v>558</v>
      </c>
      <c r="C203" s="27" t="s">
        <v>116</v>
      </c>
      <c r="D203" s="28">
        <v>0</v>
      </c>
      <c r="E203" s="29">
        <v>13.43</v>
      </c>
      <c r="F203" s="29">
        <v>5.5</v>
      </c>
      <c r="G203" s="30" t="s">
        <v>39</v>
      </c>
      <c r="H203" s="27" t="s">
        <v>71</v>
      </c>
      <c r="I203" s="27" t="s">
        <v>49</v>
      </c>
      <c r="J203" s="27" t="s">
        <v>78</v>
      </c>
      <c r="K203" s="27" t="s">
        <v>73</v>
      </c>
      <c r="L203" s="31" t="s">
        <v>559</v>
      </c>
      <c r="M203" s="32">
        <v>0.56999999999999995</v>
      </c>
      <c r="N203" s="27" t="s">
        <v>33</v>
      </c>
      <c r="O203" s="27" t="s">
        <v>34</v>
      </c>
      <c r="P203" s="27" t="s">
        <v>45</v>
      </c>
      <c r="Q203" s="27" t="s">
        <v>560</v>
      </c>
      <c r="R203" s="33">
        <v>71901</v>
      </c>
      <c r="S203" s="34">
        <v>42020</v>
      </c>
      <c r="T203" s="34">
        <v>42021</v>
      </c>
      <c r="U203" s="29">
        <v>-253.77799999999999</v>
      </c>
      <c r="V203" s="26">
        <v>9</v>
      </c>
      <c r="W203" s="29">
        <v>129.54</v>
      </c>
      <c r="X203" s="26">
        <v>86338</v>
      </c>
      <c r="Y203" s="35">
        <v>2.94</v>
      </c>
      <c r="Z203" s="1" t="s">
        <v>3011</v>
      </c>
      <c r="AA203" s="36">
        <v>0</v>
      </c>
      <c r="AB203" s="54">
        <v>55.702200000000005</v>
      </c>
      <c r="AC203" s="54">
        <v>8.2041999999999984</v>
      </c>
      <c r="AD203" s="36">
        <v>377.81799999999998</v>
      </c>
    </row>
    <row r="204" spans="1:30" s="37" customFormat="1" ht="15.75" customHeight="1" x14ac:dyDescent="0.2">
      <c r="A204" s="26">
        <v>202</v>
      </c>
      <c r="B204" s="27" t="s">
        <v>548</v>
      </c>
      <c r="C204" s="27" t="s">
        <v>38</v>
      </c>
      <c r="D204" s="28">
        <v>0.03</v>
      </c>
      <c r="E204" s="29">
        <v>7.37</v>
      </c>
      <c r="F204" s="29">
        <v>5.53</v>
      </c>
      <c r="G204" s="30" t="s">
        <v>39</v>
      </c>
      <c r="H204" s="27" t="s">
        <v>94</v>
      </c>
      <c r="I204" s="27" t="s">
        <v>41</v>
      </c>
      <c r="J204" s="27" t="s">
        <v>42</v>
      </c>
      <c r="K204" s="27" t="s">
        <v>43</v>
      </c>
      <c r="L204" s="31" t="s">
        <v>549</v>
      </c>
      <c r="M204" s="32">
        <v>0.69</v>
      </c>
      <c r="N204" s="27" t="s">
        <v>33</v>
      </c>
      <c r="O204" s="27" t="s">
        <v>53</v>
      </c>
      <c r="P204" s="27" t="s">
        <v>207</v>
      </c>
      <c r="Q204" s="27" t="s">
        <v>550</v>
      </c>
      <c r="R204" s="33">
        <v>74006</v>
      </c>
      <c r="S204" s="34">
        <v>42020</v>
      </c>
      <c r="T204" s="34">
        <v>42022</v>
      </c>
      <c r="U204" s="29">
        <v>-133.69999999999999</v>
      </c>
      <c r="V204" s="26">
        <v>11</v>
      </c>
      <c r="W204" s="29">
        <v>85.79</v>
      </c>
      <c r="X204" s="26">
        <v>88972</v>
      </c>
      <c r="Y204" s="35">
        <v>125.97999999999999</v>
      </c>
      <c r="Z204" s="1" t="s">
        <v>3012</v>
      </c>
      <c r="AA204" s="36">
        <v>2.4320999999999997</v>
      </c>
      <c r="AB204" s="54">
        <v>26.594900000000006</v>
      </c>
      <c r="AC204" s="54">
        <v>5.3813727272727272</v>
      </c>
      <c r="AD204" s="36">
        <v>211.52789999999999</v>
      </c>
    </row>
    <row r="205" spans="1:30" s="37" customFormat="1" ht="15.75" customHeight="1" x14ac:dyDescent="0.2">
      <c r="A205" s="26">
        <v>2924</v>
      </c>
      <c r="B205" s="27" t="s">
        <v>544</v>
      </c>
      <c r="C205" s="27" t="s">
        <v>26</v>
      </c>
      <c r="D205" s="28">
        <v>0.01</v>
      </c>
      <c r="E205" s="29">
        <v>8.01</v>
      </c>
      <c r="F205" s="29">
        <v>2.87</v>
      </c>
      <c r="G205" s="30" t="s">
        <v>39</v>
      </c>
      <c r="H205" s="27" t="s">
        <v>40</v>
      </c>
      <c r="I205" s="27" t="s">
        <v>49</v>
      </c>
      <c r="J205" s="27" t="s">
        <v>88</v>
      </c>
      <c r="K205" s="27" t="s">
        <v>51</v>
      </c>
      <c r="L205" s="31" t="s">
        <v>547</v>
      </c>
      <c r="M205" s="32">
        <v>0.4</v>
      </c>
      <c r="N205" s="27" t="s">
        <v>33</v>
      </c>
      <c r="O205" s="27" t="s">
        <v>111</v>
      </c>
      <c r="P205" s="27" t="s">
        <v>418</v>
      </c>
      <c r="Q205" s="27" t="s">
        <v>546</v>
      </c>
      <c r="R205" s="33">
        <v>20707</v>
      </c>
      <c r="S205" s="34">
        <v>42020</v>
      </c>
      <c r="T205" s="34">
        <v>42022</v>
      </c>
      <c r="U205" s="29">
        <v>44.976799999999997</v>
      </c>
      <c r="V205" s="26">
        <v>8</v>
      </c>
      <c r="W205" s="29">
        <v>68.650000000000006</v>
      </c>
      <c r="X205" s="26">
        <v>86591</v>
      </c>
      <c r="Y205" s="35">
        <v>13.43</v>
      </c>
      <c r="Z205" s="1" t="s">
        <v>3014</v>
      </c>
      <c r="AA205" s="36">
        <v>0.64080000000000004</v>
      </c>
      <c r="AB205" s="54">
        <v>41.190000000000005</v>
      </c>
      <c r="AC205" s="54">
        <v>3.4325000000000006</v>
      </c>
      <c r="AD205" s="36">
        <v>20.162400000000012</v>
      </c>
    </row>
    <row r="206" spans="1:30" s="37" customFormat="1" ht="15.75" customHeight="1" x14ac:dyDescent="0.2">
      <c r="A206" s="26">
        <v>3036</v>
      </c>
      <c r="B206" s="27" t="s">
        <v>564</v>
      </c>
      <c r="C206" s="27" t="s">
        <v>3094</v>
      </c>
      <c r="D206" s="28">
        <v>0.02</v>
      </c>
      <c r="E206" s="29">
        <v>12.99</v>
      </c>
      <c r="F206" s="29">
        <v>14.37</v>
      </c>
      <c r="G206" s="30" t="s">
        <v>39</v>
      </c>
      <c r="H206" s="27" t="s">
        <v>71</v>
      </c>
      <c r="I206" s="27" t="s">
        <v>29</v>
      </c>
      <c r="J206" s="27" t="s">
        <v>126</v>
      </c>
      <c r="K206" s="27" t="s">
        <v>65</v>
      </c>
      <c r="L206" s="31" t="s">
        <v>406</v>
      </c>
      <c r="M206" s="32">
        <v>0.73</v>
      </c>
      <c r="N206" s="27" t="s">
        <v>33</v>
      </c>
      <c r="O206" s="27" t="s">
        <v>53</v>
      </c>
      <c r="P206" s="27" t="s">
        <v>565</v>
      </c>
      <c r="Q206" s="27" t="s">
        <v>566</v>
      </c>
      <c r="R206" s="33">
        <v>58554</v>
      </c>
      <c r="S206" s="34">
        <v>42020</v>
      </c>
      <c r="T206" s="34">
        <v>42022</v>
      </c>
      <c r="U206" s="29">
        <v>-159.86000000000001</v>
      </c>
      <c r="V206" s="26">
        <v>5</v>
      </c>
      <c r="W206" s="29">
        <v>67.64</v>
      </c>
      <c r="X206" s="26">
        <v>89129</v>
      </c>
      <c r="Y206" s="35">
        <v>5.71</v>
      </c>
      <c r="Z206" s="1" t="s">
        <v>3012</v>
      </c>
      <c r="AA206" s="36">
        <v>1.2990000000000002</v>
      </c>
      <c r="AB206" s="54">
        <v>18.262800000000002</v>
      </c>
      <c r="AC206" s="54">
        <v>9.8754399999999993</v>
      </c>
      <c r="AD206" s="36">
        <v>211.83100000000002</v>
      </c>
    </row>
    <row r="207" spans="1:30" s="37" customFormat="1" ht="15.75" customHeight="1" x14ac:dyDescent="0.2">
      <c r="A207" s="26">
        <v>3133</v>
      </c>
      <c r="B207" s="27" t="s">
        <v>561</v>
      </c>
      <c r="C207" s="27" t="s">
        <v>116</v>
      </c>
      <c r="D207" s="28">
        <v>0.1</v>
      </c>
      <c r="E207" s="29">
        <v>5.81</v>
      </c>
      <c r="F207" s="29">
        <v>8.49</v>
      </c>
      <c r="G207" s="30" t="s">
        <v>39</v>
      </c>
      <c r="H207" s="27" t="s">
        <v>94</v>
      </c>
      <c r="I207" s="27" t="s">
        <v>49</v>
      </c>
      <c r="J207" s="27" t="s">
        <v>72</v>
      </c>
      <c r="K207" s="27" t="s">
        <v>73</v>
      </c>
      <c r="L207" s="31" t="s">
        <v>330</v>
      </c>
      <c r="M207" s="32">
        <v>0.39</v>
      </c>
      <c r="N207" s="27" t="s">
        <v>33</v>
      </c>
      <c r="O207" s="27" t="s">
        <v>53</v>
      </c>
      <c r="P207" s="27" t="s">
        <v>103</v>
      </c>
      <c r="Q207" s="27" t="s">
        <v>562</v>
      </c>
      <c r="R207" s="33">
        <v>60540</v>
      </c>
      <c r="S207" s="34">
        <v>42020</v>
      </c>
      <c r="T207" s="34">
        <v>42021</v>
      </c>
      <c r="U207" s="29">
        <v>-350.43950000000001</v>
      </c>
      <c r="V207" s="26">
        <v>12</v>
      </c>
      <c r="W207" s="29">
        <v>64.959999999999994</v>
      </c>
      <c r="X207" s="26">
        <v>86789</v>
      </c>
      <c r="Y207" s="35">
        <v>1.78</v>
      </c>
      <c r="Z207" s="1" t="s">
        <v>3012</v>
      </c>
      <c r="AA207" s="36">
        <v>6.9719999999999995</v>
      </c>
      <c r="AB207" s="54">
        <v>39.625599999999999</v>
      </c>
      <c r="AC207" s="54">
        <v>2.1112000000000002</v>
      </c>
      <c r="AD207" s="36">
        <v>399.9375</v>
      </c>
    </row>
    <row r="208" spans="1:30" s="37" customFormat="1" ht="15.75" customHeight="1" x14ac:dyDescent="0.2">
      <c r="A208" s="26">
        <v>3133</v>
      </c>
      <c r="B208" s="27" t="s">
        <v>561</v>
      </c>
      <c r="C208" s="27" t="s">
        <v>116</v>
      </c>
      <c r="D208" s="28">
        <v>0.03</v>
      </c>
      <c r="E208" s="29">
        <v>1.81</v>
      </c>
      <c r="F208" s="29">
        <v>0.75</v>
      </c>
      <c r="G208" s="30" t="s">
        <v>39</v>
      </c>
      <c r="H208" s="27" t="s">
        <v>94</v>
      </c>
      <c r="I208" s="27" t="s">
        <v>49</v>
      </c>
      <c r="J208" s="27" t="s">
        <v>176</v>
      </c>
      <c r="K208" s="27" t="s">
        <v>51</v>
      </c>
      <c r="L208" s="31" t="s">
        <v>563</v>
      </c>
      <c r="M208" s="32">
        <v>0.52</v>
      </c>
      <c r="N208" s="27" t="s">
        <v>33</v>
      </c>
      <c r="O208" s="27" t="s">
        <v>53</v>
      </c>
      <c r="P208" s="27" t="s">
        <v>103</v>
      </c>
      <c r="Q208" s="27" t="s">
        <v>562</v>
      </c>
      <c r="R208" s="33">
        <v>60540</v>
      </c>
      <c r="S208" s="34">
        <v>42020</v>
      </c>
      <c r="T208" s="34">
        <v>42021</v>
      </c>
      <c r="U208" s="29">
        <v>4.2027999999999999</v>
      </c>
      <c r="V208" s="26">
        <v>10</v>
      </c>
      <c r="W208" s="29">
        <v>19.14</v>
      </c>
      <c r="X208" s="26">
        <v>86789</v>
      </c>
      <c r="Y208" s="35">
        <v>12.97</v>
      </c>
      <c r="Z208" s="1" t="s">
        <v>3012</v>
      </c>
      <c r="AA208" s="36">
        <v>0.54300000000000004</v>
      </c>
      <c r="AB208" s="54">
        <v>9.1872000000000007</v>
      </c>
      <c r="AC208" s="54">
        <v>0.99528000000000016</v>
      </c>
      <c r="AD208" s="36">
        <v>13.644200000000001</v>
      </c>
    </row>
    <row r="209" spans="1:30" s="37" customFormat="1" ht="15.75" customHeight="1" x14ac:dyDescent="0.2">
      <c r="A209" s="26">
        <v>1603</v>
      </c>
      <c r="B209" s="27" t="s">
        <v>540</v>
      </c>
      <c r="C209" s="27" t="s">
        <v>26</v>
      </c>
      <c r="D209" s="28">
        <v>0.09</v>
      </c>
      <c r="E209" s="29">
        <v>2.1800000000000002</v>
      </c>
      <c r="F209" s="29">
        <v>0.78</v>
      </c>
      <c r="G209" s="30" t="s">
        <v>39</v>
      </c>
      <c r="H209" s="27" t="s">
        <v>3095</v>
      </c>
      <c r="I209" s="27" t="s">
        <v>49</v>
      </c>
      <c r="J209" s="27" t="s">
        <v>176</v>
      </c>
      <c r="K209" s="27" t="s">
        <v>51</v>
      </c>
      <c r="L209" s="31" t="s">
        <v>541</v>
      </c>
      <c r="M209" s="32">
        <v>0.52</v>
      </c>
      <c r="N209" s="27" t="s">
        <v>33</v>
      </c>
      <c r="O209" s="27" t="s">
        <v>111</v>
      </c>
      <c r="P209" s="27" t="s">
        <v>112</v>
      </c>
      <c r="Q209" s="27" t="s">
        <v>542</v>
      </c>
      <c r="R209" s="33">
        <v>11598</v>
      </c>
      <c r="S209" s="34">
        <v>42020</v>
      </c>
      <c r="T209" s="34">
        <v>42022</v>
      </c>
      <c r="U209" s="29">
        <v>2.4548000000000001</v>
      </c>
      <c r="V209" s="26">
        <v>9</v>
      </c>
      <c r="W209" s="29">
        <v>19.12</v>
      </c>
      <c r="X209" s="26">
        <v>89679</v>
      </c>
      <c r="Y209" s="35">
        <v>35.39</v>
      </c>
      <c r="Z209" s="1" t="s">
        <v>3014</v>
      </c>
      <c r="AA209" s="36">
        <v>1.7658</v>
      </c>
      <c r="AB209" s="54">
        <v>9.1776</v>
      </c>
      <c r="AC209" s="54">
        <v>1.1047111111111112</v>
      </c>
      <c r="AD209" s="36">
        <v>14.119400000000001</v>
      </c>
    </row>
    <row r="210" spans="1:30" s="37" customFormat="1" ht="15.75" customHeight="1" x14ac:dyDescent="0.2">
      <c r="A210" s="26">
        <v>3385</v>
      </c>
      <c r="B210" s="27" t="s">
        <v>555</v>
      </c>
      <c r="C210" s="27" t="s">
        <v>48</v>
      </c>
      <c r="D210" s="28">
        <v>0.04</v>
      </c>
      <c r="E210" s="29">
        <v>2.98</v>
      </c>
      <c r="F210" s="29">
        <v>2.0299999999999998</v>
      </c>
      <c r="G210" s="30" t="s">
        <v>87</v>
      </c>
      <c r="H210" s="27" t="s">
        <v>94</v>
      </c>
      <c r="I210" s="27" t="s">
        <v>49</v>
      </c>
      <c r="J210" s="27" t="s">
        <v>50</v>
      </c>
      <c r="K210" s="27" t="s">
        <v>51</v>
      </c>
      <c r="L210" s="31" t="s">
        <v>556</v>
      </c>
      <c r="M210" s="32">
        <v>0.56999999999999995</v>
      </c>
      <c r="N210" s="27" t="s">
        <v>33</v>
      </c>
      <c r="O210" s="27" t="s">
        <v>111</v>
      </c>
      <c r="P210" s="27" t="s">
        <v>317</v>
      </c>
      <c r="Q210" s="27" t="s">
        <v>557</v>
      </c>
      <c r="R210" s="33">
        <v>44512</v>
      </c>
      <c r="S210" s="34">
        <v>42020</v>
      </c>
      <c r="T210" s="34">
        <v>42020</v>
      </c>
      <c r="U210" s="29">
        <v>-22.01</v>
      </c>
      <c r="V210" s="26">
        <v>5</v>
      </c>
      <c r="W210" s="29">
        <v>15.7</v>
      </c>
      <c r="X210" s="26">
        <v>88745</v>
      </c>
      <c r="Y210" s="35">
        <v>12.96</v>
      </c>
      <c r="Z210" s="1" t="s">
        <v>3014</v>
      </c>
      <c r="AA210" s="36">
        <v>0.59599999999999997</v>
      </c>
      <c r="AB210" s="54">
        <v>6.7510000000000003</v>
      </c>
      <c r="AC210" s="54">
        <v>1.7897999999999996</v>
      </c>
      <c r="AD210" s="36">
        <v>35.084000000000003</v>
      </c>
    </row>
    <row r="211" spans="1:30" s="37" customFormat="1" ht="15.75" customHeight="1" x14ac:dyDescent="0.2">
      <c r="A211" s="26">
        <v>366</v>
      </c>
      <c r="B211" s="27" t="s">
        <v>582</v>
      </c>
      <c r="C211" s="27" t="s">
        <v>116</v>
      </c>
      <c r="D211" s="28">
        <v>0.05</v>
      </c>
      <c r="E211" s="29">
        <v>328.14</v>
      </c>
      <c r="F211" s="29">
        <v>91.05</v>
      </c>
      <c r="G211" s="30" t="s">
        <v>27</v>
      </c>
      <c r="H211" s="27" t="s">
        <v>3095</v>
      </c>
      <c r="I211" s="27" t="s">
        <v>49</v>
      </c>
      <c r="J211" s="27" t="s">
        <v>95</v>
      </c>
      <c r="K211" s="27" t="s">
        <v>58</v>
      </c>
      <c r="L211" s="31" t="s">
        <v>583</v>
      </c>
      <c r="M211" s="32">
        <v>0.56999999999999995</v>
      </c>
      <c r="N211" s="27" t="s">
        <v>33</v>
      </c>
      <c r="O211" s="27" t="s">
        <v>111</v>
      </c>
      <c r="P211" s="27" t="s">
        <v>584</v>
      </c>
      <c r="Q211" s="27" t="s">
        <v>585</v>
      </c>
      <c r="R211" s="33">
        <v>2910</v>
      </c>
      <c r="S211" s="34">
        <v>42021</v>
      </c>
      <c r="T211" s="34">
        <v>42023</v>
      </c>
      <c r="U211" s="29">
        <v>411.5172</v>
      </c>
      <c r="V211" s="26">
        <v>6</v>
      </c>
      <c r="W211" s="29">
        <v>1967.98</v>
      </c>
      <c r="X211" s="26">
        <v>87347</v>
      </c>
      <c r="Y211" s="35">
        <v>30.450000000000003</v>
      </c>
      <c r="Z211" s="1" t="s">
        <v>3014</v>
      </c>
      <c r="AA211" s="36">
        <v>98.442000000000007</v>
      </c>
      <c r="AB211" s="54">
        <v>846.23140000000012</v>
      </c>
      <c r="AC211" s="54">
        <v>186.95809999999997</v>
      </c>
      <c r="AD211" s="36">
        <v>1366.9708000000001</v>
      </c>
    </row>
    <row r="212" spans="1:30" s="37" customFormat="1" ht="15.75" customHeight="1" x14ac:dyDescent="0.2">
      <c r="A212" s="26">
        <v>744</v>
      </c>
      <c r="B212" s="27" t="s">
        <v>586</v>
      </c>
      <c r="C212" s="27" t="s">
        <v>116</v>
      </c>
      <c r="D212" s="28">
        <v>0.03</v>
      </c>
      <c r="E212" s="29">
        <v>119.99</v>
      </c>
      <c r="F212" s="29">
        <v>56.14</v>
      </c>
      <c r="G212" s="30" t="s">
        <v>27</v>
      </c>
      <c r="H212" s="27" t="s">
        <v>40</v>
      </c>
      <c r="I212" s="27" t="s">
        <v>41</v>
      </c>
      <c r="J212" s="27" t="s">
        <v>57</v>
      </c>
      <c r="K212" s="27" t="s">
        <v>31</v>
      </c>
      <c r="L212" s="31" t="s">
        <v>587</v>
      </c>
      <c r="M212" s="32">
        <v>0.39</v>
      </c>
      <c r="N212" s="27" t="s">
        <v>33</v>
      </c>
      <c r="O212" s="27" t="s">
        <v>60</v>
      </c>
      <c r="P212" s="27" t="s">
        <v>588</v>
      </c>
      <c r="Q212" s="27" t="s">
        <v>589</v>
      </c>
      <c r="R212" s="33">
        <v>85737</v>
      </c>
      <c r="S212" s="34">
        <v>42021</v>
      </c>
      <c r="T212" s="34">
        <v>42023</v>
      </c>
      <c r="U212" s="29">
        <v>1400.1</v>
      </c>
      <c r="V212" s="26">
        <v>13</v>
      </c>
      <c r="W212" s="29">
        <v>1545.58</v>
      </c>
      <c r="X212" s="26">
        <v>87726</v>
      </c>
      <c r="Y212" s="35">
        <v>1.67</v>
      </c>
      <c r="Z212" s="1" t="s">
        <v>3013</v>
      </c>
      <c r="AA212" s="36">
        <v>46.796099999999996</v>
      </c>
      <c r="AB212" s="54">
        <v>942.80379999999991</v>
      </c>
      <c r="AC212" s="54">
        <v>46.367399999999996</v>
      </c>
      <c r="AD212" s="36">
        <v>42.543899999999894</v>
      </c>
    </row>
    <row r="213" spans="1:30" s="37" customFormat="1" ht="15.75" customHeight="1" x14ac:dyDescent="0.2">
      <c r="A213" s="26">
        <v>2628</v>
      </c>
      <c r="B213" s="27" t="s">
        <v>610</v>
      </c>
      <c r="C213" s="27" t="s">
        <v>116</v>
      </c>
      <c r="D213" s="28">
        <v>0.02</v>
      </c>
      <c r="E213" s="29">
        <v>30.53</v>
      </c>
      <c r="F213" s="29">
        <v>19.989999999999998</v>
      </c>
      <c r="G213" s="30" t="s">
        <v>87</v>
      </c>
      <c r="H213" s="27" t="s">
        <v>94</v>
      </c>
      <c r="I213" s="27" t="s">
        <v>49</v>
      </c>
      <c r="J213" s="27" t="s">
        <v>152</v>
      </c>
      <c r="K213" s="27" t="s">
        <v>73</v>
      </c>
      <c r="L213" s="31" t="s">
        <v>571</v>
      </c>
      <c r="M213" s="32">
        <v>0.39</v>
      </c>
      <c r="N213" s="27" t="s">
        <v>33</v>
      </c>
      <c r="O213" s="27" t="s">
        <v>53</v>
      </c>
      <c r="P213" s="27" t="s">
        <v>207</v>
      </c>
      <c r="Q213" s="27" t="s">
        <v>611</v>
      </c>
      <c r="R213" s="33">
        <v>73160</v>
      </c>
      <c r="S213" s="34">
        <v>42021</v>
      </c>
      <c r="T213" s="34">
        <v>42023</v>
      </c>
      <c r="U213" s="29">
        <v>-54.63</v>
      </c>
      <c r="V213" s="26">
        <v>14</v>
      </c>
      <c r="W213" s="29">
        <v>448.47</v>
      </c>
      <c r="X213" s="26">
        <v>85916</v>
      </c>
      <c r="Y213" s="35">
        <v>4.84</v>
      </c>
      <c r="Z213" s="1" t="s">
        <v>3012</v>
      </c>
      <c r="AA213" s="36">
        <v>8.5484000000000009</v>
      </c>
      <c r="AB213" s="54">
        <v>273.56670000000003</v>
      </c>
      <c r="AC213" s="54">
        <v>12.493092857142857</v>
      </c>
      <c r="AD213" s="36">
        <v>474.5616</v>
      </c>
    </row>
    <row r="214" spans="1:30" s="37" customFormat="1" ht="15.75" customHeight="1" x14ac:dyDescent="0.2">
      <c r="A214" s="26">
        <v>745</v>
      </c>
      <c r="B214" s="27" t="s">
        <v>590</v>
      </c>
      <c r="C214" s="27" t="s">
        <v>116</v>
      </c>
      <c r="D214" s="28">
        <v>0.05</v>
      </c>
      <c r="E214" s="29">
        <v>115.79</v>
      </c>
      <c r="F214" s="29">
        <v>1.99</v>
      </c>
      <c r="G214" s="30" t="s">
        <v>39</v>
      </c>
      <c r="H214" s="27" t="s">
        <v>40</v>
      </c>
      <c r="I214" s="27" t="s">
        <v>41</v>
      </c>
      <c r="J214" s="27" t="s">
        <v>42</v>
      </c>
      <c r="K214" s="27" t="s">
        <v>43</v>
      </c>
      <c r="L214" s="31" t="s">
        <v>591</v>
      </c>
      <c r="M214" s="32">
        <v>0.49</v>
      </c>
      <c r="N214" s="27" t="s">
        <v>33</v>
      </c>
      <c r="O214" s="27" t="s">
        <v>60</v>
      </c>
      <c r="P214" s="27" t="s">
        <v>588</v>
      </c>
      <c r="Q214" s="27" t="s">
        <v>592</v>
      </c>
      <c r="R214" s="33">
        <v>85345</v>
      </c>
      <c r="S214" s="34">
        <v>42021</v>
      </c>
      <c r="T214" s="34">
        <v>42023</v>
      </c>
      <c r="U214" s="29">
        <v>67.599999999999994</v>
      </c>
      <c r="V214" s="26">
        <v>3</v>
      </c>
      <c r="W214" s="29">
        <v>353.1</v>
      </c>
      <c r="X214" s="26">
        <v>87726</v>
      </c>
      <c r="Y214" s="35">
        <v>1.81</v>
      </c>
      <c r="Z214" s="1" t="s">
        <v>3013</v>
      </c>
      <c r="AA214" s="36">
        <v>17.368500000000001</v>
      </c>
      <c r="AB214" s="54">
        <v>180.08100000000002</v>
      </c>
      <c r="AC214" s="54">
        <v>57.673000000000002</v>
      </c>
      <c r="AD214" s="36">
        <v>266.14150000000006</v>
      </c>
    </row>
    <row r="215" spans="1:30" s="37" customFormat="1" ht="15.75" customHeight="1" x14ac:dyDescent="0.2">
      <c r="A215" s="26">
        <v>2618</v>
      </c>
      <c r="B215" s="27" t="s">
        <v>607</v>
      </c>
      <c r="C215" s="27" t="s">
        <v>116</v>
      </c>
      <c r="D215" s="28">
        <v>0</v>
      </c>
      <c r="E215" s="29">
        <v>125.99</v>
      </c>
      <c r="F215" s="29">
        <v>2.5</v>
      </c>
      <c r="G215" s="30" t="s">
        <v>39</v>
      </c>
      <c r="H215" s="27" t="s">
        <v>94</v>
      </c>
      <c r="I215" s="27" t="s">
        <v>41</v>
      </c>
      <c r="J215" s="27" t="s">
        <v>135</v>
      </c>
      <c r="K215" s="27" t="s">
        <v>73</v>
      </c>
      <c r="L215" s="31" t="s">
        <v>609</v>
      </c>
      <c r="M215" s="32">
        <v>0.59</v>
      </c>
      <c r="N215" s="27" t="s">
        <v>33</v>
      </c>
      <c r="O215" s="27" t="s">
        <v>111</v>
      </c>
      <c r="P215" s="27" t="s">
        <v>112</v>
      </c>
      <c r="Q215" s="27" t="s">
        <v>113</v>
      </c>
      <c r="R215" s="33">
        <v>10004</v>
      </c>
      <c r="S215" s="34">
        <v>42021</v>
      </c>
      <c r="T215" s="34">
        <v>42023</v>
      </c>
      <c r="U215" s="29">
        <v>-815.9008</v>
      </c>
      <c r="V215" s="26">
        <v>3</v>
      </c>
      <c r="W215" s="29">
        <v>337.34</v>
      </c>
      <c r="X215" s="26">
        <v>46884</v>
      </c>
      <c r="Y215" s="35">
        <v>328.09</v>
      </c>
      <c r="Z215" s="1" t="s">
        <v>3014</v>
      </c>
      <c r="AA215" s="36">
        <v>0</v>
      </c>
      <c r="AB215" s="54">
        <v>138.30940000000001</v>
      </c>
      <c r="AC215" s="54">
        <v>66.343533333333326</v>
      </c>
      <c r="AD215" s="36">
        <v>1150.7408</v>
      </c>
    </row>
    <row r="216" spans="1:30" s="37" customFormat="1" ht="15.75" customHeight="1" x14ac:dyDescent="0.2">
      <c r="A216" s="26">
        <v>2059</v>
      </c>
      <c r="B216" s="27" t="s">
        <v>616</v>
      </c>
      <c r="C216" s="27" t="s">
        <v>3094</v>
      </c>
      <c r="D216" s="28">
        <v>0.09</v>
      </c>
      <c r="E216" s="29">
        <v>28.48</v>
      </c>
      <c r="F216" s="29">
        <v>1.99</v>
      </c>
      <c r="G216" s="30" t="s">
        <v>39</v>
      </c>
      <c r="H216" s="27" t="s">
        <v>94</v>
      </c>
      <c r="I216" s="27" t="s">
        <v>41</v>
      </c>
      <c r="J216" s="27" t="s">
        <v>42</v>
      </c>
      <c r="K216" s="27" t="s">
        <v>43</v>
      </c>
      <c r="L216" s="31" t="s">
        <v>212</v>
      </c>
      <c r="M216" s="32">
        <v>0.4</v>
      </c>
      <c r="N216" s="27" t="s">
        <v>33</v>
      </c>
      <c r="O216" s="27" t="s">
        <v>34</v>
      </c>
      <c r="P216" s="27" t="s">
        <v>97</v>
      </c>
      <c r="Q216" s="27" t="s">
        <v>617</v>
      </c>
      <c r="R216" s="33">
        <v>27260</v>
      </c>
      <c r="S216" s="34">
        <v>42021</v>
      </c>
      <c r="T216" s="34">
        <v>42022</v>
      </c>
      <c r="U216" s="29">
        <v>-1250.7460000000001</v>
      </c>
      <c r="V216" s="26">
        <v>13</v>
      </c>
      <c r="W216" s="29">
        <v>336.92</v>
      </c>
      <c r="X216" s="26">
        <v>88039</v>
      </c>
      <c r="Y216" s="35">
        <v>119.96</v>
      </c>
      <c r="Z216" s="1" t="s">
        <v>3011</v>
      </c>
      <c r="AA216" s="36">
        <v>33.321600000000004</v>
      </c>
      <c r="AB216" s="54">
        <v>202.15200000000002</v>
      </c>
      <c r="AC216" s="54">
        <v>10.366769230769231</v>
      </c>
      <c r="AD216" s="36">
        <v>1552.3544000000002</v>
      </c>
    </row>
    <row r="217" spans="1:30" s="37" customFormat="1" ht="15.75" customHeight="1" x14ac:dyDescent="0.2">
      <c r="A217" s="26">
        <v>592</v>
      </c>
      <c r="B217" s="27" t="s">
        <v>570</v>
      </c>
      <c r="C217" s="27" t="s">
        <v>26</v>
      </c>
      <c r="D217" s="28">
        <v>0.08</v>
      </c>
      <c r="E217" s="29">
        <v>30.53</v>
      </c>
      <c r="F217" s="29">
        <v>19.989999999999998</v>
      </c>
      <c r="G217" s="30" t="s">
        <v>39</v>
      </c>
      <c r="H217" s="27" t="s">
        <v>3095</v>
      </c>
      <c r="I217" s="27" t="s">
        <v>49</v>
      </c>
      <c r="J217" s="27" t="s">
        <v>152</v>
      </c>
      <c r="K217" s="27" t="s">
        <v>73</v>
      </c>
      <c r="L217" s="31" t="s">
        <v>571</v>
      </c>
      <c r="M217" s="32">
        <v>0.39</v>
      </c>
      <c r="N217" s="27" t="s">
        <v>33</v>
      </c>
      <c r="O217" s="27" t="s">
        <v>53</v>
      </c>
      <c r="P217" s="27" t="s">
        <v>103</v>
      </c>
      <c r="Q217" s="27" t="s">
        <v>572</v>
      </c>
      <c r="R217" s="33">
        <v>60091</v>
      </c>
      <c r="S217" s="34">
        <v>42021</v>
      </c>
      <c r="T217" s="34">
        <v>42021</v>
      </c>
      <c r="U217" s="29">
        <v>-239.8656</v>
      </c>
      <c r="V217" s="26">
        <v>10</v>
      </c>
      <c r="W217" s="29">
        <v>285.87</v>
      </c>
      <c r="X217" s="26">
        <v>86307</v>
      </c>
      <c r="Y217" s="35">
        <v>115.74000000000001</v>
      </c>
      <c r="Z217" s="1" t="s">
        <v>3012</v>
      </c>
      <c r="AA217" s="36">
        <v>24.423999999999999</v>
      </c>
      <c r="AB217" s="54">
        <v>174.38069999999999</v>
      </c>
      <c r="AC217" s="54">
        <v>11.14893</v>
      </c>
      <c r="AD217" s="36">
        <v>481.32159999999999</v>
      </c>
    </row>
    <row r="218" spans="1:30" s="37" customFormat="1" ht="15.75" customHeight="1" x14ac:dyDescent="0.2">
      <c r="A218" s="26">
        <v>2725</v>
      </c>
      <c r="B218" s="27" t="s">
        <v>618</v>
      </c>
      <c r="C218" s="27" t="s">
        <v>3094</v>
      </c>
      <c r="D218" s="28">
        <v>0.05</v>
      </c>
      <c r="E218" s="29">
        <v>28.15</v>
      </c>
      <c r="F218" s="29">
        <v>6.17</v>
      </c>
      <c r="G218" s="30" t="s">
        <v>39</v>
      </c>
      <c r="H218" s="27" t="s">
        <v>71</v>
      </c>
      <c r="I218" s="27" t="s">
        <v>49</v>
      </c>
      <c r="J218" s="27" t="s">
        <v>50</v>
      </c>
      <c r="K218" s="27" t="s">
        <v>43</v>
      </c>
      <c r="L218" s="31" t="s">
        <v>619</v>
      </c>
      <c r="M218" s="32">
        <v>0.55000000000000004</v>
      </c>
      <c r="N218" s="27" t="s">
        <v>33</v>
      </c>
      <c r="O218" s="27" t="s">
        <v>34</v>
      </c>
      <c r="P218" s="27" t="s">
        <v>400</v>
      </c>
      <c r="Q218" s="27" t="s">
        <v>620</v>
      </c>
      <c r="R218" s="33">
        <v>37042</v>
      </c>
      <c r="S218" s="34">
        <v>42021</v>
      </c>
      <c r="T218" s="34">
        <v>42022</v>
      </c>
      <c r="U218" s="29">
        <v>-66.248000000000005</v>
      </c>
      <c r="V218" s="26">
        <v>10</v>
      </c>
      <c r="W218" s="29">
        <v>282.38</v>
      </c>
      <c r="X218" s="26">
        <v>88958</v>
      </c>
      <c r="Y218" s="35">
        <v>14.76</v>
      </c>
      <c r="Z218" s="1" t="s">
        <v>3011</v>
      </c>
      <c r="AA218" s="36">
        <v>14.074999999999999</v>
      </c>
      <c r="AB218" s="54">
        <v>127.07099999999998</v>
      </c>
      <c r="AC218" s="54">
        <v>15.530900000000001</v>
      </c>
      <c r="AD218" s="36">
        <v>328.38299999999998</v>
      </c>
    </row>
    <row r="219" spans="1:30" s="37" customFormat="1" ht="15.75" customHeight="1" x14ac:dyDescent="0.2">
      <c r="A219" s="26">
        <v>2618</v>
      </c>
      <c r="B219" s="27" t="s">
        <v>607</v>
      </c>
      <c r="C219" s="27" t="s">
        <v>116</v>
      </c>
      <c r="D219" s="28">
        <v>0.1</v>
      </c>
      <c r="E219" s="29">
        <v>11.55</v>
      </c>
      <c r="F219" s="29">
        <v>2.36</v>
      </c>
      <c r="G219" s="30" t="s">
        <v>39</v>
      </c>
      <c r="H219" s="27" t="s">
        <v>94</v>
      </c>
      <c r="I219" s="27" t="s">
        <v>49</v>
      </c>
      <c r="J219" s="27" t="s">
        <v>50</v>
      </c>
      <c r="K219" s="27" t="s">
        <v>51</v>
      </c>
      <c r="L219" s="31" t="s">
        <v>380</v>
      </c>
      <c r="M219" s="32">
        <v>0.55000000000000004</v>
      </c>
      <c r="N219" s="27" t="s">
        <v>33</v>
      </c>
      <c r="O219" s="27" t="s">
        <v>111</v>
      </c>
      <c r="P219" s="27" t="s">
        <v>112</v>
      </c>
      <c r="Q219" s="27" t="s">
        <v>113</v>
      </c>
      <c r="R219" s="33">
        <v>10004</v>
      </c>
      <c r="S219" s="34">
        <v>42021</v>
      </c>
      <c r="T219" s="34">
        <v>42022</v>
      </c>
      <c r="U219" s="29">
        <v>15.808</v>
      </c>
      <c r="V219" s="26">
        <v>25</v>
      </c>
      <c r="W219" s="29">
        <v>280.43</v>
      </c>
      <c r="X219" s="26">
        <v>46884</v>
      </c>
      <c r="Y219" s="35">
        <v>4.1500000000000004</v>
      </c>
      <c r="Z219" s="1" t="s">
        <v>3014</v>
      </c>
      <c r="AA219" s="36">
        <v>28.875</v>
      </c>
      <c r="AB219" s="54">
        <v>126.19349999999999</v>
      </c>
      <c r="AC219" s="54">
        <v>6.1694600000000008</v>
      </c>
      <c r="AD219" s="36">
        <v>233.387</v>
      </c>
    </row>
    <row r="220" spans="1:30" s="37" customFormat="1" ht="15.75" customHeight="1" x14ac:dyDescent="0.2">
      <c r="A220" s="26">
        <v>1873</v>
      </c>
      <c r="B220" s="27" t="s">
        <v>603</v>
      </c>
      <c r="C220" s="27" t="s">
        <v>116</v>
      </c>
      <c r="D220" s="28">
        <v>0.06</v>
      </c>
      <c r="E220" s="29">
        <v>22.84</v>
      </c>
      <c r="F220" s="29">
        <v>8.18</v>
      </c>
      <c r="G220" s="30" t="s">
        <v>39</v>
      </c>
      <c r="H220" s="27" t="s">
        <v>94</v>
      </c>
      <c r="I220" s="27" t="s">
        <v>49</v>
      </c>
      <c r="J220" s="27" t="s">
        <v>88</v>
      </c>
      <c r="K220" s="27" t="s">
        <v>73</v>
      </c>
      <c r="L220" s="31" t="s">
        <v>605</v>
      </c>
      <c r="M220" s="32">
        <v>0.39</v>
      </c>
      <c r="N220" s="27" t="s">
        <v>33</v>
      </c>
      <c r="O220" s="27" t="s">
        <v>34</v>
      </c>
      <c r="P220" s="27" t="s">
        <v>123</v>
      </c>
      <c r="Q220" s="27" t="s">
        <v>604</v>
      </c>
      <c r="R220" s="33">
        <v>33403</v>
      </c>
      <c r="S220" s="34">
        <v>42021</v>
      </c>
      <c r="T220" s="34">
        <v>42021</v>
      </c>
      <c r="U220" s="29">
        <v>-357.92399999999998</v>
      </c>
      <c r="V220" s="26">
        <v>7</v>
      </c>
      <c r="W220" s="29">
        <v>152.49</v>
      </c>
      <c r="X220" s="26">
        <v>90099</v>
      </c>
      <c r="Y220" s="35">
        <v>5.63</v>
      </c>
      <c r="Z220" s="1" t="s">
        <v>3011</v>
      </c>
      <c r="AA220" s="36">
        <v>9.5927999999999987</v>
      </c>
      <c r="AB220" s="54">
        <v>93.018900000000002</v>
      </c>
      <c r="AC220" s="54">
        <v>8.4958714285714301</v>
      </c>
      <c r="AD220" s="36">
        <v>492.64119999999997</v>
      </c>
    </row>
    <row r="221" spans="1:30" s="37" customFormat="1" ht="15.75" customHeight="1" x14ac:dyDescent="0.2">
      <c r="A221" s="26">
        <v>2618</v>
      </c>
      <c r="B221" s="27" t="s">
        <v>607</v>
      </c>
      <c r="C221" s="27" t="s">
        <v>116</v>
      </c>
      <c r="D221" s="28">
        <v>0.1</v>
      </c>
      <c r="E221" s="29">
        <v>7.64</v>
      </c>
      <c r="F221" s="29">
        <v>1.39</v>
      </c>
      <c r="G221" s="30" t="s">
        <v>39</v>
      </c>
      <c r="H221" s="27" t="s">
        <v>94</v>
      </c>
      <c r="I221" s="27" t="s">
        <v>49</v>
      </c>
      <c r="J221" s="27" t="s">
        <v>345</v>
      </c>
      <c r="K221" s="27" t="s">
        <v>73</v>
      </c>
      <c r="L221" s="31" t="s">
        <v>608</v>
      </c>
      <c r="M221" s="32">
        <v>0.36</v>
      </c>
      <c r="N221" s="27" t="s">
        <v>33</v>
      </c>
      <c r="O221" s="27" t="s">
        <v>111</v>
      </c>
      <c r="P221" s="27" t="s">
        <v>112</v>
      </c>
      <c r="Q221" s="27" t="s">
        <v>113</v>
      </c>
      <c r="R221" s="33">
        <v>10004</v>
      </c>
      <c r="S221" s="34">
        <v>42021</v>
      </c>
      <c r="T221" s="34">
        <v>42023</v>
      </c>
      <c r="U221" s="29">
        <v>16.12</v>
      </c>
      <c r="V221" s="26">
        <v>18</v>
      </c>
      <c r="W221" s="29">
        <v>130.11000000000001</v>
      </c>
      <c r="X221" s="26">
        <v>46884</v>
      </c>
      <c r="Y221" s="35">
        <v>16.420000000000002</v>
      </c>
      <c r="Z221" s="1" t="s">
        <v>3014</v>
      </c>
      <c r="AA221" s="36">
        <v>13.752000000000001</v>
      </c>
      <c r="AB221" s="54">
        <v>83.270400000000009</v>
      </c>
      <c r="AC221" s="54">
        <v>2.6022000000000003</v>
      </c>
      <c r="AD221" s="36">
        <v>98.848000000000013</v>
      </c>
    </row>
    <row r="222" spans="1:30" s="37" customFormat="1" ht="15.75" customHeight="1" x14ac:dyDescent="0.2">
      <c r="A222" s="26">
        <v>1719</v>
      </c>
      <c r="B222" s="27" t="s">
        <v>600</v>
      </c>
      <c r="C222" s="27" t="s">
        <v>116</v>
      </c>
      <c r="D222" s="28">
        <v>0.06</v>
      </c>
      <c r="E222" s="29">
        <v>16.48</v>
      </c>
      <c r="F222" s="29">
        <v>1.99</v>
      </c>
      <c r="G222" s="30" t="s">
        <v>39</v>
      </c>
      <c r="H222" s="27" t="s">
        <v>94</v>
      </c>
      <c r="I222" s="27" t="s">
        <v>41</v>
      </c>
      <c r="J222" s="27" t="s">
        <v>42</v>
      </c>
      <c r="K222" s="27" t="s">
        <v>43</v>
      </c>
      <c r="L222" s="31" t="s">
        <v>601</v>
      </c>
      <c r="M222" s="32">
        <v>0.42</v>
      </c>
      <c r="N222" s="27" t="s">
        <v>33</v>
      </c>
      <c r="O222" s="27" t="s">
        <v>34</v>
      </c>
      <c r="P222" s="27" t="s">
        <v>164</v>
      </c>
      <c r="Q222" s="27" t="s">
        <v>602</v>
      </c>
      <c r="R222" s="33">
        <v>35473</v>
      </c>
      <c r="S222" s="34">
        <v>42021</v>
      </c>
      <c r="T222" s="34">
        <v>42023</v>
      </c>
      <c r="U222" s="29">
        <v>-144.59200000000001</v>
      </c>
      <c r="V222" s="26">
        <v>8</v>
      </c>
      <c r="W222" s="29">
        <v>128.13</v>
      </c>
      <c r="X222" s="26">
        <v>90786</v>
      </c>
      <c r="Y222" s="35">
        <v>90.45</v>
      </c>
      <c r="Z222" s="1" t="s">
        <v>3011</v>
      </c>
      <c r="AA222" s="36">
        <v>7.9104000000000001</v>
      </c>
      <c r="AB222" s="54">
        <v>74.315400000000011</v>
      </c>
      <c r="AC222" s="54">
        <v>6.7268249999999998</v>
      </c>
      <c r="AD222" s="36">
        <v>262.82159999999999</v>
      </c>
    </row>
    <row r="223" spans="1:30" s="37" customFormat="1" ht="15.75" customHeight="1" x14ac:dyDescent="0.2">
      <c r="A223" s="26">
        <v>1873</v>
      </c>
      <c r="B223" s="27" t="s">
        <v>603</v>
      </c>
      <c r="C223" s="27" t="s">
        <v>116</v>
      </c>
      <c r="D223" s="28">
        <v>0.03</v>
      </c>
      <c r="E223" s="29">
        <v>90.48</v>
      </c>
      <c r="F223" s="29">
        <v>19.989999999999998</v>
      </c>
      <c r="G223" s="30" t="s">
        <v>39</v>
      </c>
      <c r="H223" s="27" t="s">
        <v>94</v>
      </c>
      <c r="I223" s="27" t="s">
        <v>49</v>
      </c>
      <c r="J223" s="27" t="s">
        <v>345</v>
      </c>
      <c r="K223" s="27" t="s">
        <v>73</v>
      </c>
      <c r="L223" s="31" t="s">
        <v>502</v>
      </c>
      <c r="M223" s="32">
        <v>0.4</v>
      </c>
      <c r="N223" s="27" t="s">
        <v>33</v>
      </c>
      <c r="O223" s="27" t="s">
        <v>34</v>
      </c>
      <c r="P223" s="27" t="s">
        <v>123</v>
      </c>
      <c r="Q223" s="27" t="s">
        <v>604</v>
      </c>
      <c r="R223" s="33">
        <v>33403</v>
      </c>
      <c r="S223" s="34">
        <v>42021</v>
      </c>
      <c r="T223" s="34">
        <v>42023</v>
      </c>
      <c r="U223" s="29">
        <v>15.353999999999999</v>
      </c>
      <c r="V223" s="26">
        <v>1</v>
      </c>
      <c r="W223" s="29">
        <v>99.69</v>
      </c>
      <c r="X223" s="26">
        <v>90099</v>
      </c>
      <c r="Y223" s="35">
        <v>22.78</v>
      </c>
      <c r="Z223" s="1" t="s">
        <v>3011</v>
      </c>
      <c r="AA223" s="36">
        <v>2.7143999999999999</v>
      </c>
      <c r="AB223" s="54">
        <v>59.813999999999993</v>
      </c>
      <c r="AC223" s="54">
        <v>39.876000000000005</v>
      </c>
      <c r="AD223" s="36">
        <v>61.631600000000006</v>
      </c>
    </row>
    <row r="224" spans="1:30" s="37" customFormat="1" ht="15.75" customHeight="1" x14ac:dyDescent="0.2">
      <c r="A224" s="26">
        <v>526</v>
      </c>
      <c r="B224" s="27" t="s">
        <v>612</v>
      </c>
      <c r="C224" s="27" t="s">
        <v>3094</v>
      </c>
      <c r="D224" s="28">
        <v>0.06</v>
      </c>
      <c r="E224" s="29">
        <v>5.78</v>
      </c>
      <c r="F224" s="29">
        <v>5.67</v>
      </c>
      <c r="G224" s="30" t="s">
        <v>39</v>
      </c>
      <c r="H224" s="27" t="s">
        <v>71</v>
      </c>
      <c r="I224" s="27" t="s">
        <v>49</v>
      </c>
      <c r="J224" s="27" t="s">
        <v>88</v>
      </c>
      <c r="K224" s="27" t="s">
        <v>73</v>
      </c>
      <c r="L224" s="31" t="s">
        <v>615</v>
      </c>
      <c r="M224" s="32">
        <v>0.36</v>
      </c>
      <c r="N224" s="27" t="s">
        <v>33</v>
      </c>
      <c r="O224" s="27" t="s">
        <v>60</v>
      </c>
      <c r="P224" s="27" t="s">
        <v>588</v>
      </c>
      <c r="Q224" s="27" t="s">
        <v>614</v>
      </c>
      <c r="R224" s="33">
        <v>85204</v>
      </c>
      <c r="S224" s="34">
        <v>42021</v>
      </c>
      <c r="T224" s="34">
        <v>42022</v>
      </c>
      <c r="U224" s="29">
        <v>-108.19</v>
      </c>
      <c r="V224" s="26">
        <v>15</v>
      </c>
      <c r="W224" s="29">
        <v>87.27</v>
      </c>
      <c r="X224" s="26">
        <v>90027</v>
      </c>
      <c r="Y224" s="35">
        <v>1.69</v>
      </c>
      <c r="Z224" s="1" t="s">
        <v>3013</v>
      </c>
      <c r="AA224" s="36">
        <v>5.202</v>
      </c>
      <c r="AB224" s="54">
        <v>55.852800000000002</v>
      </c>
      <c r="AC224" s="54">
        <v>2.0944799999999999</v>
      </c>
      <c r="AD224" s="36">
        <v>184.58799999999999</v>
      </c>
    </row>
    <row r="225" spans="1:30" s="37" customFormat="1" ht="15.75" customHeight="1" x14ac:dyDescent="0.2">
      <c r="A225" s="26">
        <v>1708</v>
      </c>
      <c r="B225" s="27" t="s">
        <v>597</v>
      </c>
      <c r="C225" s="27" t="s">
        <v>116</v>
      </c>
      <c r="D225" s="28">
        <v>0.05</v>
      </c>
      <c r="E225" s="29">
        <v>5.68</v>
      </c>
      <c r="F225" s="29">
        <v>1.39</v>
      </c>
      <c r="G225" s="30" t="s">
        <v>39</v>
      </c>
      <c r="H225" s="27" t="s">
        <v>3095</v>
      </c>
      <c r="I225" s="27" t="s">
        <v>49</v>
      </c>
      <c r="J225" s="27" t="s">
        <v>345</v>
      </c>
      <c r="K225" s="27" t="s">
        <v>73</v>
      </c>
      <c r="L225" s="31" t="s">
        <v>598</v>
      </c>
      <c r="M225" s="32">
        <v>0.38</v>
      </c>
      <c r="N225" s="27" t="s">
        <v>33</v>
      </c>
      <c r="O225" s="27" t="s">
        <v>111</v>
      </c>
      <c r="P225" s="27" t="s">
        <v>317</v>
      </c>
      <c r="Q225" s="27" t="s">
        <v>599</v>
      </c>
      <c r="R225" s="33">
        <v>44118</v>
      </c>
      <c r="S225" s="34">
        <v>42021</v>
      </c>
      <c r="T225" s="34">
        <v>42022</v>
      </c>
      <c r="U225" s="29">
        <v>38.281199999999998</v>
      </c>
      <c r="V225" s="26">
        <v>10</v>
      </c>
      <c r="W225" s="29">
        <v>55.48</v>
      </c>
      <c r="X225" s="26">
        <v>88781</v>
      </c>
      <c r="Y225" s="35">
        <v>7.54</v>
      </c>
      <c r="Z225" s="1" t="s">
        <v>3014</v>
      </c>
      <c r="AA225" s="36">
        <v>2.84</v>
      </c>
      <c r="AB225" s="54">
        <v>34.397599999999997</v>
      </c>
      <c r="AC225" s="54">
        <v>2.1082399999999999</v>
      </c>
      <c r="AD225" s="36">
        <v>12.968799999999995</v>
      </c>
    </row>
    <row r="226" spans="1:30" s="37" customFormat="1" ht="15.75" customHeight="1" x14ac:dyDescent="0.2">
      <c r="A226" s="26">
        <v>1702</v>
      </c>
      <c r="B226" s="27" t="s">
        <v>593</v>
      </c>
      <c r="C226" s="27" t="s">
        <v>116</v>
      </c>
      <c r="D226" s="28">
        <v>0.05</v>
      </c>
      <c r="E226" s="29">
        <v>14.81</v>
      </c>
      <c r="F226" s="29">
        <v>13.32</v>
      </c>
      <c r="G226" s="30" t="s">
        <v>39</v>
      </c>
      <c r="H226" s="27" t="s">
        <v>71</v>
      </c>
      <c r="I226" s="27" t="s">
        <v>49</v>
      </c>
      <c r="J226" s="27" t="s">
        <v>95</v>
      </c>
      <c r="K226" s="27" t="s">
        <v>73</v>
      </c>
      <c r="L226" s="31" t="s">
        <v>594</v>
      </c>
      <c r="M226" s="32">
        <v>0.43</v>
      </c>
      <c r="N226" s="27" t="s">
        <v>33</v>
      </c>
      <c r="O226" s="27" t="s">
        <v>34</v>
      </c>
      <c r="P226" s="27" t="s">
        <v>35</v>
      </c>
      <c r="Q226" s="27" t="s">
        <v>595</v>
      </c>
      <c r="R226" s="33">
        <v>39301</v>
      </c>
      <c r="S226" s="34">
        <v>42021</v>
      </c>
      <c r="T226" s="34">
        <v>42024</v>
      </c>
      <c r="U226" s="29">
        <v>-220.05199999999999</v>
      </c>
      <c r="V226" s="26">
        <v>3</v>
      </c>
      <c r="W226" s="29">
        <v>45.28</v>
      </c>
      <c r="X226" s="26">
        <v>90473</v>
      </c>
      <c r="Y226" s="35">
        <v>125.99</v>
      </c>
      <c r="Z226" s="1" t="s">
        <v>3011</v>
      </c>
      <c r="AA226" s="36">
        <v>2.2215000000000003</v>
      </c>
      <c r="AB226" s="54">
        <v>25.809600000000003</v>
      </c>
      <c r="AC226" s="54">
        <v>6.4901333333333335</v>
      </c>
      <c r="AD226" s="36">
        <v>249.79050000000001</v>
      </c>
    </row>
    <row r="227" spans="1:30" s="37" customFormat="1" ht="15.75" customHeight="1" x14ac:dyDescent="0.2">
      <c r="A227" s="26">
        <v>1531</v>
      </c>
      <c r="B227" s="27" t="s">
        <v>576</v>
      </c>
      <c r="C227" s="27" t="s">
        <v>26</v>
      </c>
      <c r="D227" s="28">
        <v>7.0000000000000007E-2</v>
      </c>
      <c r="E227" s="29">
        <v>4.91</v>
      </c>
      <c r="F227" s="29">
        <v>0.5</v>
      </c>
      <c r="G227" s="30" t="s">
        <v>39</v>
      </c>
      <c r="H227" s="27" t="s">
        <v>40</v>
      </c>
      <c r="I227" s="27" t="s">
        <v>49</v>
      </c>
      <c r="J227" s="27" t="s">
        <v>152</v>
      </c>
      <c r="K227" s="27" t="s">
        <v>73</v>
      </c>
      <c r="L227" s="31" t="s">
        <v>577</v>
      </c>
      <c r="M227" s="32">
        <v>0.36</v>
      </c>
      <c r="N227" s="27" t="s">
        <v>33</v>
      </c>
      <c r="O227" s="27" t="s">
        <v>34</v>
      </c>
      <c r="P227" s="27" t="s">
        <v>123</v>
      </c>
      <c r="Q227" s="27" t="s">
        <v>578</v>
      </c>
      <c r="R227" s="33">
        <v>32137</v>
      </c>
      <c r="S227" s="34">
        <v>42021</v>
      </c>
      <c r="T227" s="34">
        <v>42022</v>
      </c>
      <c r="U227" s="29">
        <v>-157.696</v>
      </c>
      <c r="V227" s="26">
        <v>6</v>
      </c>
      <c r="W227" s="29">
        <v>28.22</v>
      </c>
      <c r="X227" s="26">
        <v>88852</v>
      </c>
      <c r="Y227" s="35">
        <v>11.450000000000001</v>
      </c>
      <c r="Z227" s="1" t="s">
        <v>3011</v>
      </c>
      <c r="AA227" s="36">
        <v>2.0622000000000003</v>
      </c>
      <c r="AB227" s="54">
        <v>18.0608</v>
      </c>
      <c r="AC227" s="54">
        <v>1.6931999999999998</v>
      </c>
      <c r="AD227" s="36">
        <v>183.35380000000001</v>
      </c>
    </row>
    <row r="228" spans="1:30" s="37" customFormat="1" ht="15.75" customHeight="1" x14ac:dyDescent="0.2">
      <c r="A228" s="26">
        <v>2579</v>
      </c>
      <c r="B228" s="27" t="s">
        <v>162</v>
      </c>
      <c r="C228" s="27" t="s">
        <v>116</v>
      </c>
      <c r="D228" s="28">
        <v>7.0000000000000007E-2</v>
      </c>
      <c r="E228" s="29">
        <v>1.76</v>
      </c>
      <c r="F228" s="29">
        <v>4.8600000000000003</v>
      </c>
      <c r="G228" s="30" t="s">
        <v>39</v>
      </c>
      <c r="H228" s="27" t="s">
        <v>71</v>
      </c>
      <c r="I228" s="27" t="s">
        <v>29</v>
      </c>
      <c r="J228" s="27" t="s">
        <v>126</v>
      </c>
      <c r="K228" s="27" t="s">
        <v>73</v>
      </c>
      <c r="L228" s="31" t="s">
        <v>606</v>
      </c>
      <c r="M228" s="32">
        <v>0.41</v>
      </c>
      <c r="N228" s="27" t="s">
        <v>33</v>
      </c>
      <c r="O228" s="27" t="s">
        <v>34</v>
      </c>
      <c r="P228" s="27" t="s">
        <v>164</v>
      </c>
      <c r="Q228" s="27" t="s">
        <v>165</v>
      </c>
      <c r="R228" s="33">
        <v>36869</v>
      </c>
      <c r="S228" s="34">
        <v>42021</v>
      </c>
      <c r="T228" s="34">
        <v>42021</v>
      </c>
      <c r="U228" s="29">
        <v>0.58799999999999997</v>
      </c>
      <c r="V228" s="26">
        <v>15</v>
      </c>
      <c r="W228" s="29">
        <v>26.01</v>
      </c>
      <c r="X228" s="26">
        <v>88297</v>
      </c>
      <c r="Y228" s="35">
        <v>30.51</v>
      </c>
      <c r="Z228" s="1" t="s">
        <v>3011</v>
      </c>
      <c r="AA228" s="36">
        <v>1.8480000000000003</v>
      </c>
      <c r="AB228" s="54">
        <v>15.345900000000004</v>
      </c>
      <c r="AC228" s="54">
        <v>0.71094000000000002</v>
      </c>
      <c r="AD228" s="36">
        <v>18.713999999999999</v>
      </c>
    </row>
    <row r="229" spans="1:30" s="37" customFormat="1" ht="15.75" customHeight="1" x14ac:dyDescent="0.2">
      <c r="A229" s="26">
        <v>526</v>
      </c>
      <c r="B229" s="27" t="s">
        <v>612</v>
      </c>
      <c r="C229" s="27" t="s">
        <v>3094</v>
      </c>
      <c r="D229" s="28">
        <v>0</v>
      </c>
      <c r="E229" s="29">
        <v>1.88</v>
      </c>
      <c r="F229" s="29">
        <v>1.49</v>
      </c>
      <c r="G229" s="30" t="s">
        <v>39</v>
      </c>
      <c r="H229" s="27" t="s">
        <v>71</v>
      </c>
      <c r="I229" s="27" t="s">
        <v>49</v>
      </c>
      <c r="J229" s="27" t="s">
        <v>72</v>
      </c>
      <c r="K229" s="27" t="s">
        <v>73</v>
      </c>
      <c r="L229" s="31" t="s">
        <v>613</v>
      </c>
      <c r="M229" s="32">
        <v>0.37</v>
      </c>
      <c r="N229" s="27" t="s">
        <v>33</v>
      </c>
      <c r="O229" s="27" t="s">
        <v>60</v>
      </c>
      <c r="P229" s="27" t="s">
        <v>588</v>
      </c>
      <c r="Q229" s="27" t="s">
        <v>614</v>
      </c>
      <c r="R229" s="33">
        <v>85204</v>
      </c>
      <c r="S229" s="34">
        <v>42021</v>
      </c>
      <c r="T229" s="34">
        <v>42022</v>
      </c>
      <c r="U229" s="29">
        <v>-15.5595</v>
      </c>
      <c r="V229" s="26">
        <v>13</v>
      </c>
      <c r="W229" s="29">
        <v>25.39</v>
      </c>
      <c r="X229" s="26">
        <v>90027</v>
      </c>
      <c r="Y229" s="35">
        <v>1.88</v>
      </c>
      <c r="Z229" s="1" t="s">
        <v>3013</v>
      </c>
      <c r="AA229" s="36">
        <v>0</v>
      </c>
      <c r="AB229" s="54">
        <v>15.995700000000001</v>
      </c>
      <c r="AC229" s="54">
        <v>0.72263846153846156</v>
      </c>
      <c r="AD229" s="36">
        <v>39.459499999999998</v>
      </c>
    </row>
    <row r="230" spans="1:30" s="37" customFormat="1" ht="15.75" customHeight="1" x14ac:dyDescent="0.2">
      <c r="A230" s="26">
        <v>593</v>
      </c>
      <c r="B230" s="27" t="s">
        <v>573</v>
      </c>
      <c r="C230" s="27" t="s">
        <v>26</v>
      </c>
      <c r="D230" s="28">
        <v>0.01</v>
      </c>
      <c r="E230" s="29">
        <v>1.68</v>
      </c>
      <c r="F230" s="29">
        <v>1.57</v>
      </c>
      <c r="G230" s="30" t="s">
        <v>39</v>
      </c>
      <c r="H230" s="27" t="s">
        <v>3095</v>
      </c>
      <c r="I230" s="27" t="s">
        <v>49</v>
      </c>
      <c r="J230" s="27" t="s">
        <v>50</v>
      </c>
      <c r="K230" s="27" t="s">
        <v>51</v>
      </c>
      <c r="L230" s="31" t="s">
        <v>574</v>
      </c>
      <c r="M230" s="32">
        <v>0.59</v>
      </c>
      <c r="N230" s="27" t="s">
        <v>33</v>
      </c>
      <c r="O230" s="27" t="s">
        <v>53</v>
      </c>
      <c r="P230" s="27" t="s">
        <v>103</v>
      </c>
      <c r="Q230" s="27" t="s">
        <v>575</v>
      </c>
      <c r="R230" s="33">
        <v>60517</v>
      </c>
      <c r="S230" s="34">
        <v>42021</v>
      </c>
      <c r="T230" s="34">
        <v>42023</v>
      </c>
      <c r="U230" s="29">
        <v>-53.444000000000003</v>
      </c>
      <c r="V230" s="26">
        <v>12</v>
      </c>
      <c r="W230" s="29">
        <v>20.37</v>
      </c>
      <c r="X230" s="26">
        <v>86307</v>
      </c>
      <c r="Y230" s="35">
        <v>5.7200000000000006</v>
      </c>
      <c r="Z230" s="1" t="s">
        <v>3012</v>
      </c>
      <c r="AA230" s="36">
        <v>0.2016</v>
      </c>
      <c r="AB230" s="54">
        <v>8.351700000000001</v>
      </c>
      <c r="AC230" s="54">
        <v>1.001525</v>
      </c>
      <c r="AD230" s="36">
        <v>72.042400000000001</v>
      </c>
    </row>
    <row r="231" spans="1:30" s="37" customFormat="1" ht="15.75" customHeight="1" x14ac:dyDescent="0.2">
      <c r="A231" s="26">
        <v>210</v>
      </c>
      <c r="B231" s="27" t="s">
        <v>579</v>
      </c>
      <c r="C231" s="27" t="s">
        <v>48</v>
      </c>
      <c r="D231" s="28">
        <v>0.05</v>
      </c>
      <c r="E231" s="29">
        <v>1.86</v>
      </c>
      <c r="F231" s="29">
        <v>2.58</v>
      </c>
      <c r="G231" s="30" t="s">
        <v>39</v>
      </c>
      <c r="H231" s="27" t="s">
        <v>71</v>
      </c>
      <c r="I231" s="27" t="s">
        <v>49</v>
      </c>
      <c r="J231" s="27" t="s">
        <v>176</v>
      </c>
      <c r="K231" s="27" t="s">
        <v>51</v>
      </c>
      <c r="L231" s="31" t="s">
        <v>580</v>
      </c>
      <c r="M231" s="32">
        <v>0.82</v>
      </c>
      <c r="N231" s="27" t="s">
        <v>33</v>
      </c>
      <c r="O231" s="27" t="s">
        <v>111</v>
      </c>
      <c r="P231" s="27" t="s">
        <v>112</v>
      </c>
      <c r="Q231" s="27" t="s">
        <v>581</v>
      </c>
      <c r="R231" s="33">
        <v>12180</v>
      </c>
      <c r="S231" s="34">
        <v>42021</v>
      </c>
      <c r="T231" s="34">
        <v>42025</v>
      </c>
      <c r="U231" s="29">
        <v>-66.62</v>
      </c>
      <c r="V231" s="26">
        <v>9</v>
      </c>
      <c r="W231" s="29">
        <v>17.61</v>
      </c>
      <c r="X231" s="26">
        <v>85965</v>
      </c>
      <c r="Y231" s="35">
        <v>28.39</v>
      </c>
      <c r="Z231" s="1" t="s">
        <v>3014</v>
      </c>
      <c r="AA231" s="36">
        <v>0.83700000000000008</v>
      </c>
      <c r="AB231" s="54">
        <v>3.1698000000000008</v>
      </c>
      <c r="AC231" s="54">
        <v>1.6044666666666665</v>
      </c>
      <c r="AD231" s="36">
        <v>80.813000000000002</v>
      </c>
    </row>
    <row r="232" spans="1:30" s="37" customFormat="1" ht="15.75" customHeight="1" x14ac:dyDescent="0.2">
      <c r="A232" s="26">
        <v>1702</v>
      </c>
      <c r="B232" s="27" t="s">
        <v>593</v>
      </c>
      <c r="C232" s="27" t="s">
        <v>116</v>
      </c>
      <c r="D232" s="28">
        <v>0.05</v>
      </c>
      <c r="E232" s="29">
        <v>4.2</v>
      </c>
      <c r="F232" s="29">
        <v>2.2599999999999998</v>
      </c>
      <c r="G232" s="30" t="s">
        <v>87</v>
      </c>
      <c r="H232" s="27" t="s">
        <v>71</v>
      </c>
      <c r="I232" s="27" t="s">
        <v>49</v>
      </c>
      <c r="J232" s="27" t="s">
        <v>88</v>
      </c>
      <c r="K232" s="27" t="s">
        <v>51</v>
      </c>
      <c r="L232" s="31" t="s">
        <v>596</v>
      </c>
      <c r="M232" s="32">
        <v>0.36</v>
      </c>
      <c r="N232" s="27" t="s">
        <v>33</v>
      </c>
      <c r="O232" s="27" t="s">
        <v>34</v>
      </c>
      <c r="P232" s="27" t="s">
        <v>35</v>
      </c>
      <c r="Q232" s="27" t="s">
        <v>595</v>
      </c>
      <c r="R232" s="33">
        <v>39301</v>
      </c>
      <c r="S232" s="34">
        <v>42021</v>
      </c>
      <c r="T232" s="34">
        <v>42023</v>
      </c>
      <c r="U232" s="29">
        <v>20.393370000000001</v>
      </c>
      <c r="V232" s="26">
        <v>3</v>
      </c>
      <c r="W232" s="29">
        <v>13.57</v>
      </c>
      <c r="X232" s="26">
        <v>90473</v>
      </c>
      <c r="Y232" s="35">
        <v>28.099999999999998</v>
      </c>
      <c r="Z232" s="1" t="s">
        <v>3011</v>
      </c>
      <c r="AA232" s="36">
        <v>0.63000000000000012</v>
      </c>
      <c r="AB232" s="54">
        <v>8.684800000000001</v>
      </c>
      <c r="AC232" s="54">
        <v>1.6284000000000001</v>
      </c>
      <c r="AD232" s="36">
        <v>-9.7133700000000012</v>
      </c>
    </row>
    <row r="233" spans="1:30" s="37" customFormat="1" ht="15.75" customHeight="1" x14ac:dyDescent="0.2">
      <c r="A233" s="26">
        <v>1972</v>
      </c>
      <c r="B233" s="27" t="s">
        <v>626</v>
      </c>
      <c r="C233" s="27" t="s">
        <v>116</v>
      </c>
      <c r="D233" s="28">
        <v>0.05</v>
      </c>
      <c r="E233" s="29">
        <v>350.99</v>
      </c>
      <c r="F233" s="29">
        <v>39</v>
      </c>
      <c r="G233" s="30" t="s">
        <v>27</v>
      </c>
      <c r="H233" s="27" t="s">
        <v>94</v>
      </c>
      <c r="I233" s="27" t="s">
        <v>29</v>
      </c>
      <c r="J233" s="27" t="s">
        <v>109</v>
      </c>
      <c r="K233" s="27" t="s">
        <v>58</v>
      </c>
      <c r="L233" s="31" t="s">
        <v>438</v>
      </c>
      <c r="M233" s="32">
        <v>0.55000000000000004</v>
      </c>
      <c r="N233" s="27" t="s">
        <v>33</v>
      </c>
      <c r="O233" s="27" t="s">
        <v>111</v>
      </c>
      <c r="P233" s="27" t="s">
        <v>320</v>
      </c>
      <c r="Q233" s="27" t="s">
        <v>627</v>
      </c>
      <c r="R233" s="33">
        <v>19090</v>
      </c>
      <c r="S233" s="34">
        <v>42022</v>
      </c>
      <c r="T233" s="34">
        <v>42024</v>
      </c>
      <c r="U233" s="29">
        <v>1469.7275999999999</v>
      </c>
      <c r="V233" s="26">
        <v>6</v>
      </c>
      <c r="W233" s="29">
        <v>2130.04</v>
      </c>
      <c r="X233" s="26">
        <v>91550</v>
      </c>
      <c r="Y233" s="35">
        <v>58.050000000000004</v>
      </c>
      <c r="Z233" s="1" t="s">
        <v>3014</v>
      </c>
      <c r="AA233" s="36">
        <v>105.29700000000001</v>
      </c>
      <c r="AB233" s="54">
        <v>958.51799999999992</v>
      </c>
      <c r="AC233" s="54">
        <v>195.25366666666667</v>
      </c>
      <c r="AD233" s="36">
        <v>516.0154</v>
      </c>
    </row>
    <row r="234" spans="1:30" s="37" customFormat="1" ht="15.75" customHeight="1" x14ac:dyDescent="0.2">
      <c r="A234" s="26">
        <v>2443</v>
      </c>
      <c r="B234" s="27" t="s">
        <v>621</v>
      </c>
      <c r="C234" s="27" t="s">
        <v>38</v>
      </c>
      <c r="D234" s="28">
        <v>0.05</v>
      </c>
      <c r="E234" s="29">
        <v>58.1</v>
      </c>
      <c r="F234" s="29">
        <v>1.49</v>
      </c>
      <c r="G234" s="30" t="s">
        <v>39</v>
      </c>
      <c r="H234" s="27" t="s">
        <v>94</v>
      </c>
      <c r="I234" s="27" t="s">
        <v>49</v>
      </c>
      <c r="J234" s="27" t="s">
        <v>72</v>
      </c>
      <c r="K234" s="27" t="s">
        <v>73</v>
      </c>
      <c r="L234" s="31" t="s">
        <v>622</v>
      </c>
      <c r="M234" s="32">
        <v>0.38</v>
      </c>
      <c r="N234" s="27" t="s">
        <v>33</v>
      </c>
      <c r="O234" s="27" t="s">
        <v>34</v>
      </c>
      <c r="P234" s="27" t="s">
        <v>123</v>
      </c>
      <c r="Q234" s="27" t="s">
        <v>128</v>
      </c>
      <c r="R234" s="33">
        <v>33142</v>
      </c>
      <c r="S234" s="34">
        <v>42022</v>
      </c>
      <c r="T234" s="34">
        <v>42022</v>
      </c>
      <c r="U234" s="29">
        <v>1633.9860000000001</v>
      </c>
      <c r="V234" s="26">
        <v>13</v>
      </c>
      <c r="W234" s="29">
        <v>739.06</v>
      </c>
      <c r="X234" s="26">
        <v>89299</v>
      </c>
      <c r="Y234" s="35">
        <v>11.56</v>
      </c>
      <c r="Z234" s="1" t="s">
        <v>3011</v>
      </c>
      <c r="AA234" s="36">
        <v>37.765000000000001</v>
      </c>
      <c r="AB234" s="54">
        <v>458.21719999999999</v>
      </c>
      <c r="AC234" s="54">
        <v>21.603292307692307</v>
      </c>
      <c r="AD234" s="36">
        <v>-934.18100000000027</v>
      </c>
    </row>
    <row r="235" spans="1:30" s="37" customFormat="1" ht="15.75" customHeight="1" x14ac:dyDescent="0.2">
      <c r="A235" s="26">
        <v>1972</v>
      </c>
      <c r="B235" s="27" t="s">
        <v>626</v>
      </c>
      <c r="C235" s="27" t="s">
        <v>116</v>
      </c>
      <c r="D235" s="28">
        <v>0.04</v>
      </c>
      <c r="E235" s="29">
        <v>15.99</v>
      </c>
      <c r="F235" s="29">
        <v>9.4</v>
      </c>
      <c r="G235" s="30" t="s">
        <v>87</v>
      </c>
      <c r="H235" s="27" t="s">
        <v>94</v>
      </c>
      <c r="I235" s="27" t="s">
        <v>41</v>
      </c>
      <c r="J235" s="27" t="s">
        <v>57</v>
      </c>
      <c r="K235" s="27" t="s">
        <v>73</v>
      </c>
      <c r="L235" s="31" t="s">
        <v>628</v>
      </c>
      <c r="M235" s="32">
        <v>0.49</v>
      </c>
      <c r="N235" s="27" t="s">
        <v>33</v>
      </c>
      <c r="O235" s="27" t="s">
        <v>111</v>
      </c>
      <c r="P235" s="27" t="s">
        <v>320</v>
      </c>
      <c r="Q235" s="27" t="s">
        <v>627</v>
      </c>
      <c r="R235" s="33">
        <v>19090</v>
      </c>
      <c r="S235" s="34">
        <v>42022</v>
      </c>
      <c r="T235" s="34">
        <v>42024</v>
      </c>
      <c r="U235" s="29">
        <v>-83.553060000000002</v>
      </c>
      <c r="V235" s="26">
        <v>5</v>
      </c>
      <c r="W235" s="29">
        <v>82.8</v>
      </c>
      <c r="X235" s="26">
        <v>91550</v>
      </c>
      <c r="Y235" s="35">
        <v>350.94</v>
      </c>
      <c r="Z235" s="1" t="s">
        <v>3014</v>
      </c>
      <c r="AA235" s="36">
        <v>3.1980000000000004</v>
      </c>
      <c r="AB235" s="54">
        <v>42.228000000000002</v>
      </c>
      <c r="AC235" s="54">
        <v>8.1143999999999998</v>
      </c>
      <c r="AD235" s="36">
        <v>153.75506000000001</v>
      </c>
    </row>
    <row r="236" spans="1:30" s="37" customFormat="1" ht="15.75" customHeight="1" x14ac:dyDescent="0.2">
      <c r="A236" s="26">
        <v>1971</v>
      </c>
      <c r="B236" s="27" t="s">
        <v>623</v>
      </c>
      <c r="C236" s="27" t="s">
        <v>116</v>
      </c>
      <c r="D236" s="28">
        <v>0.02</v>
      </c>
      <c r="E236" s="29">
        <v>11.58</v>
      </c>
      <c r="F236" s="29">
        <v>5.72</v>
      </c>
      <c r="G236" s="30" t="s">
        <v>39</v>
      </c>
      <c r="H236" s="27" t="s">
        <v>94</v>
      </c>
      <c r="I236" s="27" t="s">
        <v>49</v>
      </c>
      <c r="J236" s="27" t="s">
        <v>345</v>
      </c>
      <c r="K236" s="27" t="s">
        <v>73</v>
      </c>
      <c r="L236" s="31" t="s">
        <v>624</v>
      </c>
      <c r="M236" s="32">
        <v>0.35</v>
      </c>
      <c r="N236" s="27" t="s">
        <v>33</v>
      </c>
      <c r="O236" s="27" t="s">
        <v>34</v>
      </c>
      <c r="P236" s="27" t="s">
        <v>35</v>
      </c>
      <c r="Q236" s="27" t="s">
        <v>625</v>
      </c>
      <c r="R236" s="33">
        <v>38801</v>
      </c>
      <c r="S236" s="34">
        <v>42022</v>
      </c>
      <c r="T236" s="34">
        <v>42023</v>
      </c>
      <c r="U236" s="29">
        <v>-259.75599999999997</v>
      </c>
      <c r="V236" s="26">
        <v>3</v>
      </c>
      <c r="W236" s="29">
        <v>35.479999999999997</v>
      </c>
      <c r="X236" s="26">
        <v>91550</v>
      </c>
      <c r="Y236" s="35">
        <v>15.950000000000001</v>
      </c>
      <c r="Z236" s="1" t="s">
        <v>3011</v>
      </c>
      <c r="AA236" s="36">
        <v>0.69479999999999997</v>
      </c>
      <c r="AB236" s="54">
        <v>23.061999999999998</v>
      </c>
      <c r="AC236" s="54">
        <v>4.1393333333333331</v>
      </c>
      <c r="AD236" s="36">
        <v>288.82119999999998</v>
      </c>
    </row>
    <row r="237" spans="1:30" s="37" customFormat="1" ht="15.75" customHeight="1" x14ac:dyDescent="0.2">
      <c r="A237" s="26">
        <v>3095</v>
      </c>
      <c r="B237" s="27" t="s">
        <v>635</v>
      </c>
      <c r="C237" s="27" t="s">
        <v>26</v>
      </c>
      <c r="D237" s="28">
        <v>0.09</v>
      </c>
      <c r="E237" s="29">
        <v>207.48</v>
      </c>
      <c r="F237" s="29">
        <v>0.99</v>
      </c>
      <c r="G237" s="30" t="s">
        <v>39</v>
      </c>
      <c r="H237" s="27" t="s">
        <v>40</v>
      </c>
      <c r="I237" s="27" t="s">
        <v>49</v>
      </c>
      <c r="J237" s="27" t="s">
        <v>95</v>
      </c>
      <c r="K237" s="27" t="s">
        <v>73</v>
      </c>
      <c r="L237" s="31" t="s">
        <v>636</v>
      </c>
      <c r="M237" s="32">
        <v>0.55000000000000004</v>
      </c>
      <c r="N237" s="27" t="s">
        <v>33</v>
      </c>
      <c r="O237" s="27" t="s">
        <v>111</v>
      </c>
      <c r="P237" s="27" t="s">
        <v>317</v>
      </c>
      <c r="Q237" s="27" t="s">
        <v>637</v>
      </c>
      <c r="R237" s="33">
        <v>45011</v>
      </c>
      <c r="S237" s="34">
        <v>42023</v>
      </c>
      <c r="T237" s="34">
        <v>42025</v>
      </c>
      <c r="U237" s="29">
        <v>683.9556</v>
      </c>
      <c r="V237" s="26">
        <v>5</v>
      </c>
      <c r="W237" s="29">
        <v>991.24</v>
      </c>
      <c r="X237" s="26">
        <v>86220</v>
      </c>
      <c r="Y237" s="35">
        <v>18.869999999999997</v>
      </c>
      <c r="Z237" s="1" t="s">
        <v>3014</v>
      </c>
      <c r="AA237" s="36">
        <v>93.365999999999985</v>
      </c>
      <c r="AB237" s="54">
        <v>446.05799999999994</v>
      </c>
      <c r="AC237" s="54">
        <v>109.0364</v>
      </c>
      <c r="AD237" s="36">
        <v>212.92840000000001</v>
      </c>
    </row>
    <row r="238" spans="1:30" s="37" customFormat="1" ht="15.75" customHeight="1" x14ac:dyDescent="0.2">
      <c r="A238" s="26">
        <v>659</v>
      </c>
      <c r="B238" s="27" t="s">
        <v>632</v>
      </c>
      <c r="C238" s="27" t="s">
        <v>26</v>
      </c>
      <c r="D238" s="28">
        <v>0</v>
      </c>
      <c r="E238" s="29">
        <v>119.99</v>
      </c>
      <c r="F238" s="29">
        <v>56.14</v>
      </c>
      <c r="G238" s="30" t="s">
        <v>27</v>
      </c>
      <c r="H238" s="27" t="s">
        <v>40</v>
      </c>
      <c r="I238" s="27" t="s">
        <v>41</v>
      </c>
      <c r="J238" s="27" t="s">
        <v>57</v>
      </c>
      <c r="K238" s="27" t="s">
        <v>31</v>
      </c>
      <c r="L238" s="31" t="s">
        <v>587</v>
      </c>
      <c r="M238" s="32">
        <v>0.39</v>
      </c>
      <c r="N238" s="27" t="s">
        <v>33</v>
      </c>
      <c r="O238" s="27" t="s">
        <v>111</v>
      </c>
      <c r="P238" s="27" t="s">
        <v>633</v>
      </c>
      <c r="Q238" s="27" t="s">
        <v>634</v>
      </c>
      <c r="R238" s="33">
        <v>5403</v>
      </c>
      <c r="S238" s="34">
        <v>42023</v>
      </c>
      <c r="T238" s="34">
        <v>42024</v>
      </c>
      <c r="U238" s="29">
        <v>-126.05777999999999</v>
      </c>
      <c r="V238" s="26">
        <v>5</v>
      </c>
      <c r="W238" s="29">
        <v>615.54</v>
      </c>
      <c r="X238" s="26">
        <v>91212</v>
      </c>
      <c r="Y238" s="35">
        <v>119.99</v>
      </c>
      <c r="Z238" s="1" t="s">
        <v>3014</v>
      </c>
      <c r="AA238" s="36">
        <v>0</v>
      </c>
      <c r="AB238" s="54">
        <v>375.47939999999994</v>
      </c>
      <c r="AC238" s="54">
        <v>48.012119999999996</v>
      </c>
      <c r="AD238" s="36">
        <v>685.45777999999996</v>
      </c>
    </row>
    <row r="239" spans="1:30" s="37" customFormat="1" ht="15.75" customHeight="1" x14ac:dyDescent="0.2">
      <c r="A239" s="26">
        <v>259</v>
      </c>
      <c r="B239" s="27" t="s">
        <v>638</v>
      </c>
      <c r="C239" s="27" t="s">
        <v>48</v>
      </c>
      <c r="D239" s="28">
        <v>0.09</v>
      </c>
      <c r="E239" s="29">
        <v>2.88</v>
      </c>
      <c r="F239" s="29">
        <v>0.7</v>
      </c>
      <c r="G239" s="30" t="s">
        <v>39</v>
      </c>
      <c r="H239" s="27" t="s">
        <v>40</v>
      </c>
      <c r="I239" s="27" t="s">
        <v>49</v>
      </c>
      <c r="J239" s="27" t="s">
        <v>50</v>
      </c>
      <c r="K239" s="27" t="s">
        <v>51</v>
      </c>
      <c r="L239" s="31" t="s">
        <v>639</v>
      </c>
      <c r="M239" s="32">
        <v>0.56000000000000005</v>
      </c>
      <c r="N239" s="27" t="s">
        <v>33</v>
      </c>
      <c r="O239" s="27" t="s">
        <v>60</v>
      </c>
      <c r="P239" s="27" t="s">
        <v>640</v>
      </c>
      <c r="Q239" s="27" t="s">
        <v>641</v>
      </c>
      <c r="R239" s="33">
        <v>87505</v>
      </c>
      <c r="S239" s="34">
        <v>42023</v>
      </c>
      <c r="T239" s="34">
        <v>42023</v>
      </c>
      <c r="U239" s="29">
        <v>5.7531999999999996</v>
      </c>
      <c r="V239" s="26">
        <v>10</v>
      </c>
      <c r="W239" s="29">
        <v>26.38</v>
      </c>
      <c r="X239" s="26">
        <v>85857</v>
      </c>
      <c r="Y239" s="35">
        <v>207.39</v>
      </c>
      <c r="Z239" s="1" t="s">
        <v>3013</v>
      </c>
      <c r="AA239" s="36">
        <v>2.5919999999999996</v>
      </c>
      <c r="AB239" s="54">
        <v>11.607199999999999</v>
      </c>
      <c r="AC239" s="54">
        <v>1.4772800000000001</v>
      </c>
      <c r="AD239" s="36">
        <v>17.334800000000001</v>
      </c>
    </row>
    <row r="240" spans="1:30" s="37" customFormat="1" ht="15.75" customHeight="1" x14ac:dyDescent="0.2">
      <c r="A240" s="26">
        <v>657</v>
      </c>
      <c r="B240" s="27" t="s">
        <v>629</v>
      </c>
      <c r="C240" s="27" t="s">
        <v>26</v>
      </c>
      <c r="D240" s="28">
        <v>0.1</v>
      </c>
      <c r="E240" s="29">
        <v>18.97</v>
      </c>
      <c r="F240" s="29">
        <v>9.0299999999999994</v>
      </c>
      <c r="G240" s="30" t="s">
        <v>39</v>
      </c>
      <c r="H240" s="27" t="s">
        <v>40</v>
      </c>
      <c r="I240" s="27" t="s">
        <v>49</v>
      </c>
      <c r="J240" s="27" t="s">
        <v>88</v>
      </c>
      <c r="K240" s="27" t="s">
        <v>73</v>
      </c>
      <c r="L240" s="31" t="s">
        <v>630</v>
      </c>
      <c r="M240" s="32">
        <v>0.37</v>
      </c>
      <c r="N240" s="27" t="s">
        <v>33</v>
      </c>
      <c r="O240" s="27" t="s">
        <v>111</v>
      </c>
      <c r="P240" s="27" t="s">
        <v>403</v>
      </c>
      <c r="Q240" s="27" t="s">
        <v>631</v>
      </c>
      <c r="R240" s="33">
        <v>1540</v>
      </c>
      <c r="S240" s="34">
        <v>42023</v>
      </c>
      <c r="T240" s="34">
        <v>42025</v>
      </c>
      <c r="U240" s="29">
        <v>-24.204799999999999</v>
      </c>
      <c r="V240" s="26">
        <v>1</v>
      </c>
      <c r="W240" s="29">
        <v>19.73</v>
      </c>
      <c r="X240" s="26">
        <v>91212</v>
      </c>
      <c r="Y240" s="35">
        <v>2.79</v>
      </c>
      <c r="Z240" s="1" t="s">
        <v>3014</v>
      </c>
      <c r="AA240" s="36">
        <v>1.897</v>
      </c>
      <c r="AB240" s="54">
        <v>12.4299</v>
      </c>
      <c r="AC240" s="54">
        <v>7.3001000000000005</v>
      </c>
      <c r="AD240" s="36">
        <v>33.007800000000003</v>
      </c>
    </row>
    <row r="241" spans="1:30" s="37" customFormat="1" ht="15.75" customHeight="1" x14ac:dyDescent="0.2">
      <c r="A241" s="26">
        <v>524</v>
      </c>
      <c r="B241" s="27" t="s">
        <v>651</v>
      </c>
      <c r="C241" s="27" t="s">
        <v>3094</v>
      </c>
      <c r="D241" s="28">
        <v>0.03</v>
      </c>
      <c r="E241" s="29">
        <v>1270.99</v>
      </c>
      <c r="F241" s="29">
        <v>19.989999999999998</v>
      </c>
      <c r="G241" s="30" t="s">
        <v>39</v>
      </c>
      <c r="H241" s="27" t="s">
        <v>40</v>
      </c>
      <c r="I241" s="27" t="s">
        <v>49</v>
      </c>
      <c r="J241" s="27" t="s">
        <v>72</v>
      </c>
      <c r="K241" s="27" t="s">
        <v>73</v>
      </c>
      <c r="L241" s="31" t="s">
        <v>652</v>
      </c>
      <c r="M241" s="32">
        <v>0.35</v>
      </c>
      <c r="N241" s="27" t="s">
        <v>33</v>
      </c>
      <c r="O241" s="27" t="s">
        <v>34</v>
      </c>
      <c r="P241" s="27" t="s">
        <v>400</v>
      </c>
      <c r="Q241" s="27" t="s">
        <v>653</v>
      </c>
      <c r="R241" s="33">
        <v>37922</v>
      </c>
      <c r="S241" s="34">
        <v>42024</v>
      </c>
      <c r="T241" s="34">
        <v>42026</v>
      </c>
      <c r="U241" s="29">
        <v>363.55200000000002</v>
      </c>
      <c r="V241" s="26">
        <v>2</v>
      </c>
      <c r="W241" s="29">
        <v>2589.0100000000002</v>
      </c>
      <c r="X241" s="26">
        <v>91127</v>
      </c>
      <c r="Y241" s="35">
        <v>60.199999999999996</v>
      </c>
      <c r="Z241" s="1" t="s">
        <v>3011</v>
      </c>
      <c r="AA241" s="36">
        <v>76.259399999999999</v>
      </c>
      <c r="AB241" s="54">
        <v>1682.8565000000001</v>
      </c>
      <c r="AC241" s="54">
        <v>453.07675</v>
      </c>
      <c r="AD241" s="36">
        <v>2129.2085999999999</v>
      </c>
    </row>
    <row r="242" spans="1:30" s="37" customFormat="1" ht="15.75" customHeight="1" x14ac:dyDescent="0.2">
      <c r="A242" s="26">
        <v>524</v>
      </c>
      <c r="B242" s="27" t="s">
        <v>651</v>
      </c>
      <c r="C242" s="27" t="s">
        <v>3094</v>
      </c>
      <c r="D242" s="28">
        <v>7.0000000000000007E-2</v>
      </c>
      <c r="E242" s="29">
        <v>2036.48</v>
      </c>
      <c r="F242" s="29">
        <v>14.7</v>
      </c>
      <c r="G242" s="30" t="s">
        <v>27</v>
      </c>
      <c r="H242" s="27" t="s">
        <v>40</v>
      </c>
      <c r="I242" s="27" t="s">
        <v>41</v>
      </c>
      <c r="J242" s="27" t="s">
        <v>57</v>
      </c>
      <c r="K242" s="27" t="s">
        <v>58</v>
      </c>
      <c r="L242" s="31" t="s">
        <v>59</v>
      </c>
      <c r="M242" s="32">
        <v>0.55000000000000004</v>
      </c>
      <c r="N242" s="27" t="s">
        <v>33</v>
      </c>
      <c r="O242" s="27" t="s">
        <v>34</v>
      </c>
      <c r="P242" s="27" t="s">
        <v>400</v>
      </c>
      <c r="Q242" s="27" t="s">
        <v>653</v>
      </c>
      <c r="R242" s="33">
        <v>37922</v>
      </c>
      <c r="S242" s="34">
        <v>42024</v>
      </c>
      <c r="T242" s="34">
        <v>42026</v>
      </c>
      <c r="U242" s="29">
        <v>-11.536</v>
      </c>
      <c r="V242" s="26">
        <v>1</v>
      </c>
      <c r="W242" s="29">
        <v>1893.93</v>
      </c>
      <c r="X242" s="26">
        <v>91127</v>
      </c>
      <c r="Y242" s="35">
        <v>125.89999999999999</v>
      </c>
      <c r="Z242" s="1" t="s">
        <v>3011</v>
      </c>
      <c r="AA242" s="36">
        <v>142.55360000000002</v>
      </c>
      <c r="AB242" s="54">
        <v>852.2684999999999</v>
      </c>
      <c r="AC242" s="54">
        <v>1041.6615000000002</v>
      </c>
      <c r="AD242" s="36">
        <v>1748.2124000000001</v>
      </c>
    </row>
    <row r="243" spans="1:30" s="37" customFormat="1" ht="15.75" customHeight="1" x14ac:dyDescent="0.2">
      <c r="A243" s="26">
        <v>32</v>
      </c>
      <c r="B243" s="27" t="s">
        <v>644</v>
      </c>
      <c r="C243" s="27" t="s">
        <v>116</v>
      </c>
      <c r="D243" s="28">
        <v>0.09</v>
      </c>
      <c r="E243" s="29">
        <v>125.99</v>
      </c>
      <c r="F243" s="29">
        <v>7.69</v>
      </c>
      <c r="G243" s="30" t="s">
        <v>87</v>
      </c>
      <c r="H243" s="27" t="s">
        <v>94</v>
      </c>
      <c r="I243" s="27" t="s">
        <v>41</v>
      </c>
      <c r="J243" s="27" t="s">
        <v>135</v>
      </c>
      <c r="K243" s="27" t="s">
        <v>73</v>
      </c>
      <c r="L243" s="31" t="s">
        <v>645</v>
      </c>
      <c r="M243" s="32">
        <v>0.59</v>
      </c>
      <c r="N243" s="27" t="s">
        <v>33</v>
      </c>
      <c r="O243" s="27" t="s">
        <v>60</v>
      </c>
      <c r="P243" s="27" t="s">
        <v>139</v>
      </c>
      <c r="Q243" s="27" t="s">
        <v>646</v>
      </c>
      <c r="R243" s="33">
        <v>97526</v>
      </c>
      <c r="S243" s="34">
        <v>42024</v>
      </c>
      <c r="T243" s="34">
        <v>42026</v>
      </c>
      <c r="U243" s="29">
        <v>209.99700000000001</v>
      </c>
      <c r="V243" s="26">
        <v>8</v>
      </c>
      <c r="W243" s="29">
        <v>783.55</v>
      </c>
      <c r="X243" s="26">
        <v>89202</v>
      </c>
      <c r="Y243" s="35">
        <v>6.4600000000000009</v>
      </c>
      <c r="Z243" s="1" t="s">
        <v>3013</v>
      </c>
      <c r="AA243" s="36">
        <v>90.712799999999987</v>
      </c>
      <c r="AB243" s="54">
        <v>321.25549999999998</v>
      </c>
      <c r="AC243" s="54">
        <v>57.786812499999996</v>
      </c>
      <c r="AD243" s="36">
        <v>475.15019999999993</v>
      </c>
    </row>
    <row r="244" spans="1:30" s="37" customFormat="1" ht="15.75" customHeight="1" x14ac:dyDescent="0.2">
      <c r="A244" s="26">
        <v>3155</v>
      </c>
      <c r="B244" s="27" t="s">
        <v>642</v>
      </c>
      <c r="C244" s="27" t="s">
        <v>26</v>
      </c>
      <c r="D244" s="28">
        <v>0.02</v>
      </c>
      <c r="E244" s="29">
        <v>60.22</v>
      </c>
      <c r="F244" s="29">
        <v>3.5</v>
      </c>
      <c r="G244" s="30" t="s">
        <v>39</v>
      </c>
      <c r="H244" s="27" t="s">
        <v>94</v>
      </c>
      <c r="I244" s="27" t="s">
        <v>49</v>
      </c>
      <c r="J244" s="27" t="s">
        <v>95</v>
      </c>
      <c r="K244" s="27" t="s">
        <v>73</v>
      </c>
      <c r="L244" s="31" t="s">
        <v>643</v>
      </c>
      <c r="M244" s="32">
        <v>0.56999999999999995</v>
      </c>
      <c r="N244" s="27" t="s">
        <v>33</v>
      </c>
      <c r="O244" s="27" t="s">
        <v>34</v>
      </c>
      <c r="P244" s="27" t="s">
        <v>123</v>
      </c>
      <c r="Q244" s="27" t="s">
        <v>332</v>
      </c>
      <c r="R244" s="33">
        <v>32771</v>
      </c>
      <c r="S244" s="34">
        <v>42024</v>
      </c>
      <c r="T244" s="34">
        <v>42025</v>
      </c>
      <c r="U244" s="29">
        <v>-193.91399999999999</v>
      </c>
      <c r="V244" s="26">
        <v>9</v>
      </c>
      <c r="W244" s="29">
        <v>541.76</v>
      </c>
      <c r="X244" s="26">
        <v>86898</v>
      </c>
      <c r="Y244" s="35">
        <v>17.11</v>
      </c>
      <c r="Z244" s="1" t="s">
        <v>3011</v>
      </c>
      <c r="AA244" s="36">
        <v>10.839599999999999</v>
      </c>
      <c r="AB244" s="54">
        <v>232.95680000000002</v>
      </c>
      <c r="AC244" s="54">
        <v>34.311466666666668</v>
      </c>
      <c r="AD244" s="36">
        <v>721.33439999999996</v>
      </c>
    </row>
    <row r="245" spans="1:30" s="37" customFormat="1" ht="15.75" customHeight="1" x14ac:dyDescent="0.2">
      <c r="A245" s="26">
        <v>493</v>
      </c>
      <c r="B245" s="27" t="s">
        <v>647</v>
      </c>
      <c r="C245" s="27" t="s">
        <v>3094</v>
      </c>
      <c r="D245" s="28">
        <v>0.04</v>
      </c>
      <c r="E245" s="29">
        <v>17.149999999999999</v>
      </c>
      <c r="F245" s="29">
        <v>4.96</v>
      </c>
      <c r="G245" s="30" t="s">
        <v>39</v>
      </c>
      <c r="H245" s="27" t="s">
        <v>40</v>
      </c>
      <c r="I245" s="27" t="s">
        <v>49</v>
      </c>
      <c r="J245" s="27" t="s">
        <v>78</v>
      </c>
      <c r="K245" s="27" t="s">
        <v>73</v>
      </c>
      <c r="L245" s="31" t="s">
        <v>650</v>
      </c>
      <c r="M245" s="32">
        <v>0.57999999999999996</v>
      </c>
      <c r="N245" s="27" t="s">
        <v>33</v>
      </c>
      <c r="O245" s="27" t="s">
        <v>60</v>
      </c>
      <c r="P245" s="27" t="s">
        <v>67</v>
      </c>
      <c r="Q245" s="27" t="s">
        <v>649</v>
      </c>
      <c r="R245" s="33">
        <v>98158</v>
      </c>
      <c r="S245" s="34">
        <v>42024</v>
      </c>
      <c r="T245" s="34">
        <v>42025</v>
      </c>
      <c r="U245" s="29">
        <v>6.11</v>
      </c>
      <c r="V245" s="26">
        <v>5</v>
      </c>
      <c r="W245" s="29">
        <v>87.16</v>
      </c>
      <c r="X245" s="26">
        <v>88906</v>
      </c>
      <c r="Y245" s="35">
        <v>1270.96</v>
      </c>
      <c r="Z245" s="1" t="s">
        <v>3013</v>
      </c>
      <c r="AA245" s="36">
        <v>3.4299999999999997</v>
      </c>
      <c r="AB245" s="54">
        <v>36.607199999999999</v>
      </c>
      <c r="AC245" s="54">
        <v>10.110559999999998</v>
      </c>
      <c r="AD245" s="36">
        <v>72.66</v>
      </c>
    </row>
    <row r="246" spans="1:30" s="37" customFormat="1" ht="15.75" customHeight="1" x14ac:dyDescent="0.2">
      <c r="A246" s="26">
        <v>493</v>
      </c>
      <c r="B246" s="27" t="s">
        <v>647</v>
      </c>
      <c r="C246" s="27" t="s">
        <v>3094</v>
      </c>
      <c r="D246" s="28">
        <v>0.02</v>
      </c>
      <c r="E246" s="29">
        <v>6.48</v>
      </c>
      <c r="F246" s="29">
        <v>6.6</v>
      </c>
      <c r="G246" s="30" t="s">
        <v>39</v>
      </c>
      <c r="H246" s="27" t="s">
        <v>40</v>
      </c>
      <c r="I246" s="27" t="s">
        <v>49</v>
      </c>
      <c r="J246" s="27" t="s">
        <v>88</v>
      </c>
      <c r="K246" s="27" t="s">
        <v>73</v>
      </c>
      <c r="L246" s="31" t="s">
        <v>648</v>
      </c>
      <c r="M246" s="32">
        <v>0.37</v>
      </c>
      <c r="N246" s="27" t="s">
        <v>33</v>
      </c>
      <c r="O246" s="27" t="s">
        <v>60</v>
      </c>
      <c r="P246" s="27" t="s">
        <v>67</v>
      </c>
      <c r="Q246" s="27" t="s">
        <v>649</v>
      </c>
      <c r="R246" s="33">
        <v>98158</v>
      </c>
      <c r="S246" s="34">
        <v>42024</v>
      </c>
      <c r="T246" s="34">
        <v>42026</v>
      </c>
      <c r="U246" s="29">
        <v>-92.05</v>
      </c>
      <c r="V246" s="26">
        <v>10</v>
      </c>
      <c r="W246" s="29">
        <v>66.709999999999994</v>
      </c>
      <c r="X246" s="26">
        <v>88906</v>
      </c>
      <c r="Y246" s="35">
        <v>2036.41</v>
      </c>
      <c r="Z246" s="1" t="s">
        <v>3013</v>
      </c>
      <c r="AA246" s="36">
        <v>1.2960000000000003</v>
      </c>
      <c r="AB246" s="54">
        <v>42.027299999999997</v>
      </c>
      <c r="AC246" s="54">
        <v>2.4682699999999995</v>
      </c>
      <c r="AD246" s="36">
        <v>150.86399999999998</v>
      </c>
    </row>
    <row r="247" spans="1:30" s="37" customFormat="1" ht="15.75" customHeight="1" x14ac:dyDescent="0.2">
      <c r="A247" s="26">
        <v>549</v>
      </c>
      <c r="B247" s="27" t="s">
        <v>654</v>
      </c>
      <c r="C247" s="27" t="s">
        <v>3094</v>
      </c>
      <c r="D247" s="28">
        <v>0.02</v>
      </c>
      <c r="E247" s="29">
        <v>7.1</v>
      </c>
      <c r="F247" s="29">
        <v>6.05</v>
      </c>
      <c r="G247" s="30" t="s">
        <v>39</v>
      </c>
      <c r="H247" s="27" t="s">
        <v>94</v>
      </c>
      <c r="I247" s="27" t="s">
        <v>49</v>
      </c>
      <c r="J247" s="27" t="s">
        <v>72</v>
      </c>
      <c r="K247" s="27" t="s">
        <v>73</v>
      </c>
      <c r="L247" s="31" t="s">
        <v>251</v>
      </c>
      <c r="M247" s="32">
        <v>0.39</v>
      </c>
      <c r="N247" s="27" t="s">
        <v>33</v>
      </c>
      <c r="O247" s="27" t="s">
        <v>60</v>
      </c>
      <c r="P247" s="27" t="s">
        <v>640</v>
      </c>
      <c r="Q247" s="27" t="s">
        <v>195</v>
      </c>
      <c r="R247" s="33">
        <v>88201</v>
      </c>
      <c r="S247" s="34">
        <v>42024</v>
      </c>
      <c r="T247" s="34">
        <v>42024</v>
      </c>
      <c r="U247" s="29">
        <v>-66.378</v>
      </c>
      <c r="V247" s="26">
        <v>9</v>
      </c>
      <c r="W247" s="29">
        <v>66.319999999999993</v>
      </c>
      <c r="X247" s="26">
        <v>90908</v>
      </c>
      <c r="Y247" s="35">
        <v>7.08</v>
      </c>
      <c r="Z247" s="1" t="s">
        <v>3013</v>
      </c>
      <c r="AA247" s="36">
        <v>1.2779999999999998</v>
      </c>
      <c r="AB247" s="54">
        <v>40.455199999999998</v>
      </c>
      <c r="AC247" s="54">
        <v>2.8738666666666663</v>
      </c>
      <c r="AD247" s="36">
        <v>125.37</v>
      </c>
    </row>
    <row r="248" spans="1:30" s="37" customFormat="1" ht="15.75" customHeight="1" x14ac:dyDescent="0.2">
      <c r="A248" s="26">
        <v>2464</v>
      </c>
      <c r="B248" s="27" t="s">
        <v>655</v>
      </c>
      <c r="C248" s="27" t="s">
        <v>3094</v>
      </c>
      <c r="D248" s="28">
        <v>0.04</v>
      </c>
      <c r="E248" s="29">
        <v>3.08</v>
      </c>
      <c r="F248" s="29">
        <v>0.99</v>
      </c>
      <c r="G248" s="30" t="s">
        <v>39</v>
      </c>
      <c r="H248" s="27" t="s">
        <v>40</v>
      </c>
      <c r="I248" s="27" t="s">
        <v>49</v>
      </c>
      <c r="J248" s="27" t="s">
        <v>152</v>
      </c>
      <c r="K248" s="27" t="s">
        <v>73</v>
      </c>
      <c r="L248" s="31" t="s">
        <v>658</v>
      </c>
      <c r="M248" s="32">
        <v>0.37</v>
      </c>
      <c r="N248" s="27" t="s">
        <v>33</v>
      </c>
      <c r="O248" s="27" t="s">
        <v>34</v>
      </c>
      <c r="P248" s="27" t="s">
        <v>168</v>
      </c>
      <c r="Q248" s="27" t="s">
        <v>657</v>
      </c>
      <c r="R248" s="33">
        <v>71111</v>
      </c>
      <c r="S248" s="34">
        <v>42024</v>
      </c>
      <c r="T248" s="34">
        <v>42025</v>
      </c>
      <c r="U248" s="29">
        <v>424.29</v>
      </c>
      <c r="V248" s="26">
        <v>14</v>
      </c>
      <c r="W248" s="29">
        <v>42.53</v>
      </c>
      <c r="X248" s="26">
        <v>88714</v>
      </c>
      <c r="Y248" s="35">
        <v>6.23</v>
      </c>
      <c r="Z248" s="1" t="s">
        <v>3011</v>
      </c>
      <c r="AA248" s="36">
        <v>1.7248000000000001</v>
      </c>
      <c r="AB248" s="54">
        <v>26.793900000000001</v>
      </c>
      <c r="AC248" s="54">
        <v>1.1240071428571428</v>
      </c>
      <c r="AD248" s="36">
        <v>-384.47480000000007</v>
      </c>
    </row>
    <row r="249" spans="1:30" s="37" customFormat="1" ht="15.75" customHeight="1" x14ac:dyDescent="0.2">
      <c r="A249" s="26">
        <v>2464</v>
      </c>
      <c r="B249" s="27" t="s">
        <v>655</v>
      </c>
      <c r="C249" s="27" t="s">
        <v>3094</v>
      </c>
      <c r="D249" s="28">
        <v>0.05</v>
      </c>
      <c r="E249" s="29">
        <v>6.28</v>
      </c>
      <c r="F249" s="29">
        <v>5.36</v>
      </c>
      <c r="G249" s="30" t="s">
        <v>39</v>
      </c>
      <c r="H249" s="27" t="s">
        <v>40</v>
      </c>
      <c r="I249" s="27" t="s">
        <v>49</v>
      </c>
      <c r="J249" s="27" t="s">
        <v>72</v>
      </c>
      <c r="K249" s="27" t="s">
        <v>73</v>
      </c>
      <c r="L249" s="31" t="s">
        <v>656</v>
      </c>
      <c r="M249" s="32">
        <v>0.4</v>
      </c>
      <c r="N249" s="27" t="s">
        <v>33</v>
      </c>
      <c r="O249" s="27" t="s">
        <v>34</v>
      </c>
      <c r="P249" s="27" t="s">
        <v>168</v>
      </c>
      <c r="Q249" s="27" t="s">
        <v>657</v>
      </c>
      <c r="R249" s="33">
        <v>71111</v>
      </c>
      <c r="S249" s="34">
        <v>42024</v>
      </c>
      <c r="T249" s="34">
        <v>42027</v>
      </c>
      <c r="U249" s="29">
        <v>1.278</v>
      </c>
      <c r="V249" s="26">
        <v>6</v>
      </c>
      <c r="W249" s="29">
        <v>38.04</v>
      </c>
      <c r="X249" s="26">
        <v>88714</v>
      </c>
      <c r="Y249" s="35">
        <v>3.04</v>
      </c>
      <c r="Z249" s="1" t="s">
        <v>3011</v>
      </c>
      <c r="AA249" s="36">
        <v>1.8840000000000003</v>
      </c>
      <c r="AB249" s="54">
        <v>22.823999999999998</v>
      </c>
      <c r="AC249" s="54">
        <v>2.536</v>
      </c>
      <c r="AD249" s="36">
        <v>29.518000000000001</v>
      </c>
    </row>
    <row r="250" spans="1:30" s="37" customFormat="1" ht="15.75" customHeight="1" x14ac:dyDescent="0.2">
      <c r="A250" s="26">
        <v>1989</v>
      </c>
      <c r="B250" s="27" t="s">
        <v>693</v>
      </c>
      <c r="C250" s="27" t="s">
        <v>3094</v>
      </c>
      <c r="D250" s="28">
        <v>0.04</v>
      </c>
      <c r="E250" s="29">
        <v>355.98</v>
      </c>
      <c r="F250" s="29">
        <v>58.92</v>
      </c>
      <c r="G250" s="30" t="s">
        <v>27</v>
      </c>
      <c r="H250" s="27" t="s">
        <v>71</v>
      </c>
      <c r="I250" s="27" t="s">
        <v>29</v>
      </c>
      <c r="J250" s="27" t="s">
        <v>109</v>
      </c>
      <c r="K250" s="27" t="s">
        <v>58</v>
      </c>
      <c r="L250" s="31" t="s">
        <v>694</v>
      </c>
      <c r="M250" s="32">
        <v>0.64</v>
      </c>
      <c r="N250" s="27" t="s">
        <v>33</v>
      </c>
      <c r="O250" s="27" t="s">
        <v>60</v>
      </c>
      <c r="P250" s="27" t="s">
        <v>146</v>
      </c>
      <c r="Q250" s="27" t="s">
        <v>695</v>
      </c>
      <c r="R250" s="33">
        <v>84117</v>
      </c>
      <c r="S250" s="34">
        <v>42025</v>
      </c>
      <c r="T250" s="34">
        <v>42026</v>
      </c>
      <c r="U250" s="29">
        <v>882.93</v>
      </c>
      <c r="V250" s="26">
        <v>8</v>
      </c>
      <c r="W250" s="29">
        <v>2748.21</v>
      </c>
      <c r="X250" s="26">
        <v>90000</v>
      </c>
      <c r="Y250" s="35">
        <v>9.74</v>
      </c>
      <c r="Z250" s="1" t="s">
        <v>3013</v>
      </c>
      <c r="AA250" s="36">
        <v>113.9136</v>
      </c>
      <c r="AB250" s="54">
        <v>989.35559999999998</v>
      </c>
      <c r="AC250" s="54">
        <v>219.85680000000002</v>
      </c>
      <c r="AD250" s="36">
        <v>1692.4464</v>
      </c>
    </row>
    <row r="251" spans="1:30" s="37" customFormat="1" ht="15.75" customHeight="1" x14ac:dyDescent="0.2">
      <c r="A251" s="26">
        <v>1928</v>
      </c>
      <c r="B251" s="27" t="s">
        <v>690</v>
      </c>
      <c r="C251" s="27" t="s">
        <v>3094</v>
      </c>
      <c r="D251" s="28">
        <v>0.1</v>
      </c>
      <c r="E251" s="29">
        <v>1889.99</v>
      </c>
      <c r="F251" s="29">
        <v>19.989999999999998</v>
      </c>
      <c r="G251" s="30" t="s">
        <v>39</v>
      </c>
      <c r="H251" s="27" t="s">
        <v>71</v>
      </c>
      <c r="I251" s="27" t="s">
        <v>49</v>
      </c>
      <c r="J251" s="27" t="s">
        <v>72</v>
      </c>
      <c r="K251" s="27" t="s">
        <v>73</v>
      </c>
      <c r="L251" s="31" t="s">
        <v>691</v>
      </c>
      <c r="M251" s="32">
        <v>0.36</v>
      </c>
      <c r="N251" s="27" t="s">
        <v>33</v>
      </c>
      <c r="O251" s="27" t="s">
        <v>34</v>
      </c>
      <c r="P251" s="27" t="s">
        <v>271</v>
      </c>
      <c r="Q251" s="27" t="s">
        <v>692</v>
      </c>
      <c r="R251" s="33">
        <v>29651</v>
      </c>
      <c r="S251" s="34">
        <v>42025</v>
      </c>
      <c r="T251" s="34">
        <v>42025</v>
      </c>
      <c r="U251" s="29">
        <v>-42.545999999999999</v>
      </c>
      <c r="V251" s="26">
        <v>1</v>
      </c>
      <c r="W251" s="29">
        <v>1786.04</v>
      </c>
      <c r="X251" s="26">
        <v>88580</v>
      </c>
      <c r="Y251" s="35">
        <v>205.95000000000002</v>
      </c>
      <c r="Z251" s="1" t="s">
        <v>3011</v>
      </c>
      <c r="AA251" s="36">
        <v>188.99900000000002</v>
      </c>
      <c r="AB251" s="54">
        <v>1143.0655999999999</v>
      </c>
      <c r="AC251" s="54">
        <v>642.97439999999995</v>
      </c>
      <c r="AD251" s="36">
        <v>1619.597</v>
      </c>
    </row>
    <row r="252" spans="1:30" s="37" customFormat="1" ht="15.75" customHeight="1" x14ac:dyDescent="0.2">
      <c r="A252" s="26">
        <v>2882</v>
      </c>
      <c r="B252" s="27" t="s">
        <v>671</v>
      </c>
      <c r="C252" s="27" t="s">
        <v>48</v>
      </c>
      <c r="D252" s="28">
        <v>0.02</v>
      </c>
      <c r="E252" s="29">
        <v>43.98</v>
      </c>
      <c r="F252" s="29">
        <v>1.99</v>
      </c>
      <c r="G252" s="30" t="s">
        <v>39</v>
      </c>
      <c r="H252" s="27" t="s">
        <v>40</v>
      </c>
      <c r="I252" s="27" t="s">
        <v>41</v>
      </c>
      <c r="J252" s="27" t="s">
        <v>42</v>
      </c>
      <c r="K252" s="27" t="s">
        <v>43</v>
      </c>
      <c r="L252" s="31" t="s">
        <v>672</v>
      </c>
      <c r="M252" s="32">
        <v>0.44</v>
      </c>
      <c r="N252" s="27" t="s">
        <v>33</v>
      </c>
      <c r="O252" s="27" t="s">
        <v>34</v>
      </c>
      <c r="P252" s="27" t="s">
        <v>97</v>
      </c>
      <c r="Q252" s="27" t="s">
        <v>673</v>
      </c>
      <c r="R252" s="33">
        <v>28206</v>
      </c>
      <c r="S252" s="34">
        <v>42025</v>
      </c>
      <c r="T252" s="34">
        <v>42029</v>
      </c>
      <c r="U252" s="29">
        <v>333.76049999999998</v>
      </c>
      <c r="V252" s="26">
        <v>40</v>
      </c>
      <c r="W252" s="29">
        <v>1724.01</v>
      </c>
      <c r="X252" s="26">
        <v>50917</v>
      </c>
      <c r="Y252" s="35">
        <v>31.71</v>
      </c>
      <c r="Z252" s="1" t="s">
        <v>3011</v>
      </c>
      <c r="AA252" s="36">
        <v>35.183999999999997</v>
      </c>
      <c r="AB252" s="54">
        <v>965.44560000000013</v>
      </c>
      <c r="AC252" s="54">
        <v>18.964110000000002</v>
      </c>
      <c r="AD252" s="36">
        <v>1353.0754999999999</v>
      </c>
    </row>
    <row r="253" spans="1:30" s="37" customFormat="1" ht="15.75" customHeight="1" x14ac:dyDescent="0.2">
      <c r="A253" s="26">
        <v>1402</v>
      </c>
      <c r="B253" s="27" t="s">
        <v>531</v>
      </c>
      <c r="C253" s="27" t="s">
        <v>116</v>
      </c>
      <c r="D253" s="28">
        <v>0.04</v>
      </c>
      <c r="E253" s="29">
        <v>30.73</v>
      </c>
      <c r="F253" s="29">
        <v>4</v>
      </c>
      <c r="G253" s="30" t="s">
        <v>39</v>
      </c>
      <c r="H253" s="27" t="s">
        <v>71</v>
      </c>
      <c r="I253" s="27" t="s">
        <v>41</v>
      </c>
      <c r="J253" s="27" t="s">
        <v>42</v>
      </c>
      <c r="K253" s="27" t="s">
        <v>73</v>
      </c>
      <c r="L253" s="31" t="s">
        <v>674</v>
      </c>
      <c r="M253" s="32">
        <v>0.75</v>
      </c>
      <c r="N253" s="27" t="s">
        <v>33</v>
      </c>
      <c r="O253" s="27" t="s">
        <v>53</v>
      </c>
      <c r="P253" s="27" t="s">
        <v>103</v>
      </c>
      <c r="Q253" s="27" t="s">
        <v>533</v>
      </c>
      <c r="R253" s="33">
        <v>60653</v>
      </c>
      <c r="S253" s="34">
        <v>42025</v>
      </c>
      <c r="T253" s="34">
        <v>42026</v>
      </c>
      <c r="U253" s="29">
        <v>-20.79</v>
      </c>
      <c r="V253" s="26">
        <v>48</v>
      </c>
      <c r="W253" s="29">
        <v>1420.84</v>
      </c>
      <c r="X253" s="26">
        <v>43079</v>
      </c>
      <c r="Y253" s="35">
        <v>100.94</v>
      </c>
      <c r="Z253" s="1" t="s">
        <v>3012</v>
      </c>
      <c r="AA253" s="36">
        <v>59.001600000000003</v>
      </c>
      <c r="AB253" s="54">
        <v>355.21</v>
      </c>
      <c r="AC253" s="54">
        <v>22.200624999999999</v>
      </c>
      <c r="AD253" s="36">
        <v>1378.6283999999998</v>
      </c>
    </row>
    <row r="254" spans="1:30" s="37" customFormat="1" ht="15.75" customHeight="1" x14ac:dyDescent="0.2">
      <c r="A254" s="26">
        <v>2855</v>
      </c>
      <c r="B254" s="27" t="s">
        <v>678</v>
      </c>
      <c r="C254" s="27" t="s">
        <v>116</v>
      </c>
      <c r="D254" s="28">
        <v>0.03</v>
      </c>
      <c r="E254" s="29">
        <v>105.34</v>
      </c>
      <c r="F254" s="29">
        <v>24.49</v>
      </c>
      <c r="G254" s="30" t="s">
        <v>39</v>
      </c>
      <c r="H254" s="27" t="s">
        <v>94</v>
      </c>
      <c r="I254" s="27" t="s">
        <v>29</v>
      </c>
      <c r="J254" s="27" t="s">
        <v>126</v>
      </c>
      <c r="K254" s="27" t="s">
        <v>65</v>
      </c>
      <c r="L254" s="31" t="s">
        <v>681</v>
      </c>
      <c r="M254" s="32">
        <v>0.61</v>
      </c>
      <c r="N254" s="27" t="s">
        <v>33</v>
      </c>
      <c r="O254" s="27" t="s">
        <v>60</v>
      </c>
      <c r="P254" s="27" t="s">
        <v>67</v>
      </c>
      <c r="Q254" s="27" t="s">
        <v>680</v>
      </c>
      <c r="R254" s="33">
        <v>98198</v>
      </c>
      <c r="S254" s="34">
        <v>42025</v>
      </c>
      <c r="T254" s="34">
        <v>42026</v>
      </c>
      <c r="U254" s="29">
        <v>618.13080000000002</v>
      </c>
      <c r="V254" s="26">
        <v>10</v>
      </c>
      <c r="W254" s="29">
        <v>1038.1400000000001</v>
      </c>
      <c r="X254" s="26">
        <v>87316</v>
      </c>
      <c r="Y254" s="35">
        <v>43.959999999999994</v>
      </c>
      <c r="Z254" s="1" t="s">
        <v>3013</v>
      </c>
      <c r="AA254" s="36">
        <v>31.602</v>
      </c>
      <c r="AB254" s="54">
        <v>404.87460000000004</v>
      </c>
      <c r="AC254" s="54">
        <v>63.326540000000001</v>
      </c>
      <c r="AD254" s="36">
        <v>363.91720000000009</v>
      </c>
    </row>
    <row r="255" spans="1:30" s="37" customFormat="1" ht="15.75" customHeight="1" x14ac:dyDescent="0.2">
      <c r="A255" s="26">
        <v>1788</v>
      </c>
      <c r="B255" s="27" t="s">
        <v>662</v>
      </c>
      <c r="C255" s="27" t="s">
        <v>26</v>
      </c>
      <c r="D255" s="28">
        <v>0.04</v>
      </c>
      <c r="E255" s="29">
        <v>205.99</v>
      </c>
      <c r="F255" s="29">
        <v>8.99</v>
      </c>
      <c r="G255" s="30" t="s">
        <v>39</v>
      </c>
      <c r="H255" s="27" t="s">
        <v>40</v>
      </c>
      <c r="I255" s="27" t="s">
        <v>41</v>
      </c>
      <c r="J255" s="27" t="s">
        <v>135</v>
      </c>
      <c r="K255" s="27" t="s">
        <v>73</v>
      </c>
      <c r="L255" s="31" t="s">
        <v>663</v>
      </c>
      <c r="M255" s="32">
        <v>0.56000000000000005</v>
      </c>
      <c r="N255" s="27" t="s">
        <v>33</v>
      </c>
      <c r="O255" s="27" t="s">
        <v>34</v>
      </c>
      <c r="P255" s="27" t="s">
        <v>75</v>
      </c>
      <c r="Q255" s="27" t="s">
        <v>664</v>
      </c>
      <c r="R255" s="33">
        <v>30188</v>
      </c>
      <c r="S255" s="34">
        <v>42025</v>
      </c>
      <c r="T255" s="34">
        <v>42026</v>
      </c>
      <c r="U255" s="29">
        <v>960.98400000000004</v>
      </c>
      <c r="V255" s="26">
        <v>6</v>
      </c>
      <c r="W255" s="29">
        <v>1008.53</v>
      </c>
      <c r="X255" s="26">
        <v>88256</v>
      </c>
      <c r="Y255" s="35">
        <v>30.69</v>
      </c>
      <c r="Z255" s="1" t="s">
        <v>3011</v>
      </c>
      <c r="AA255" s="36">
        <v>49.437600000000003</v>
      </c>
      <c r="AB255" s="54">
        <v>443.75319999999994</v>
      </c>
      <c r="AC255" s="54">
        <v>94.129466666666673</v>
      </c>
      <c r="AD255" s="36">
        <v>-10.881600000000049</v>
      </c>
    </row>
    <row r="256" spans="1:30" s="37" customFormat="1" ht="15.75" customHeight="1" x14ac:dyDescent="0.2">
      <c r="A256" s="26">
        <v>2423</v>
      </c>
      <c r="B256" s="27" t="s">
        <v>668</v>
      </c>
      <c r="C256" s="27" t="s">
        <v>48</v>
      </c>
      <c r="D256" s="28">
        <v>0.04</v>
      </c>
      <c r="E256" s="29">
        <v>100.98</v>
      </c>
      <c r="F256" s="29">
        <v>7.18</v>
      </c>
      <c r="G256" s="30" t="s">
        <v>39</v>
      </c>
      <c r="H256" s="27" t="s">
        <v>71</v>
      </c>
      <c r="I256" s="27" t="s">
        <v>41</v>
      </c>
      <c r="J256" s="27" t="s">
        <v>42</v>
      </c>
      <c r="K256" s="27" t="s">
        <v>73</v>
      </c>
      <c r="L256" s="31" t="s">
        <v>669</v>
      </c>
      <c r="M256" s="32">
        <v>0.4</v>
      </c>
      <c r="N256" s="27" t="s">
        <v>33</v>
      </c>
      <c r="O256" s="27" t="s">
        <v>53</v>
      </c>
      <c r="P256" s="27" t="s">
        <v>187</v>
      </c>
      <c r="Q256" s="27" t="s">
        <v>670</v>
      </c>
      <c r="R256" s="33">
        <v>76053</v>
      </c>
      <c r="S256" s="34">
        <v>42025</v>
      </c>
      <c r="T256" s="34">
        <v>42030</v>
      </c>
      <c r="U256" s="29">
        <v>269.94</v>
      </c>
      <c r="V256" s="26">
        <v>4</v>
      </c>
      <c r="W256" s="29">
        <v>414.91</v>
      </c>
      <c r="X256" s="26">
        <v>89054</v>
      </c>
      <c r="Y256" s="35">
        <v>30.69</v>
      </c>
      <c r="Z256" s="1" t="s">
        <v>3012</v>
      </c>
      <c r="AA256" s="36">
        <v>16.1568</v>
      </c>
      <c r="AB256" s="54">
        <v>248.946</v>
      </c>
      <c r="AC256" s="54">
        <v>41.491000000000007</v>
      </c>
      <c r="AD256" s="36">
        <v>121.63320000000004</v>
      </c>
    </row>
    <row r="257" spans="1:30" s="37" customFormat="1" ht="15.75" customHeight="1" x14ac:dyDescent="0.2">
      <c r="A257" s="26">
        <v>2796</v>
      </c>
      <c r="B257" s="27" t="s">
        <v>675</v>
      </c>
      <c r="C257" s="27" t="s">
        <v>116</v>
      </c>
      <c r="D257" s="28">
        <v>0.02</v>
      </c>
      <c r="E257" s="29">
        <v>30.44</v>
      </c>
      <c r="F257" s="29">
        <v>1.49</v>
      </c>
      <c r="G257" s="30" t="s">
        <v>39</v>
      </c>
      <c r="H257" s="27" t="s">
        <v>94</v>
      </c>
      <c r="I257" s="27" t="s">
        <v>49</v>
      </c>
      <c r="J257" s="27" t="s">
        <v>72</v>
      </c>
      <c r="K257" s="27" t="s">
        <v>73</v>
      </c>
      <c r="L257" s="31" t="s">
        <v>676</v>
      </c>
      <c r="M257" s="32">
        <v>0.37</v>
      </c>
      <c r="N257" s="27" t="s">
        <v>33</v>
      </c>
      <c r="O257" s="27" t="s">
        <v>53</v>
      </c>
      <c r="P257" s="27" t="s">
        <v>213</v>
      </c>
      <c r="Q257" s="27" t="s">
        <v>677</v>
      </c>
      <c r="R257" s="33">
        <v>51106</v>
      </c>
      <c r="S257" s="34">
        <v>42025</v>
      </c>
      <c r="T257" s="34">
        <v>42027</v>
      </c>
      <c r="U257" s="29">
        <v>266.76089999999999</v>
      </c>
      <c r="V257" s="26">
        <v>12</v>
      </c>
      <c r="W257" s="29">
        <v>386.61</v>
      </c>
      <c r="X257" s="26">
        <v>87553</v>
      </c>
      <c r="Y257" s="35">
        <v>30.42</v>
      </c>
      <c r="Z257" s="1" t="s">
        <v>3012</v>
      </c>
      <c r="AA257" s="36">
        <v>7.3056000000000001</v>
      </c>
      <c r="AB257" s="54">
        <v>243.5643</v>
      </c>
      <c r="AC257" s="54">
        <v>11.920475</v>
      </c>
      <c r="AD257" s="36">
        <v>111.05349999999999</v>
      </c>
    </row>
    <row r="258" spans="1:30" s="37" customFormat="1" ht="15.75" customHeight="1" x14ac:dyDescent="0.2">
      <c r="A258" s="26">
        <v>3229</v>
      </c>
      <c r="B258" s="27" t="s">
        <v>697</v>
      </c>
      <c r="C258" s="27" t="s">
        <v>3094</v>
      </c>
      <c r="D258" s="28">
        <v>0.01</v>
      </c>
      <c r="E258" s="29">
        <v>24.95</v>
      </c>
      <c r="F258" s="29">
        <v>2.99</v>
      </c>
      <c r="G258" s="30" t="s">
        <v>39</v>
      </c>
      <c r="H258" s="27" t="s">
        <v>3095</v>
      </c>
      <c r="I258" s="27" t="s">
        <v>49</v>
      </c>
      <c r="J258" s="27" t="s">
        <v>72</v>
      </c>
      <c r="K258" s="27" t="s">
        <v>73</v>
      </c>
      <c r="L258" s="31" t="s">
        <v>698</v>
      </c>
      <c r="M258" s="32">
        <v>0.39</v>
      </c>
      <c r="N258" s="27" t="s">
        <v>33</v>
      </c>
      <c r="O258" s="27" t="s">
        <v>53</v>
      </c>
      <c r="P258" s="27" t="s">
        <v>357</v>
      </c>
      <c r="Q258" s="27" t="s">
        <v>699</v>
      </c>
      <c r="R258" s="33">
        <v>54880</v>
      </c>
      <c r="S258" s="34">
        <v>42025</v>
      </c>
      <c r="T258" s="34">
        <v>42026</v>
      </c>
      <c r="U258" s="29">
        <v>261.38580000000002</v>
      </c>
      <c r="V258" s="26">
        <v>15</v>
      </c>
      <c r="W258" s="29">
        <v>378.82</v>
      </c>
      <c r="X258" s="26">
        <v>87435</v>
      </c>
      <c r="Y258" s="35">
        <v>4.8900000000000006</v>
      </c>
      <c r="Z258" s="1" t="s">
        <v>3012</v>
      </c>
      <c r="AA258" s="36">
        <v>3.7425000000000002</v>
      </c>
      <c r="AB258" s="54">
        <v>231.08019999999999</v>
      </c>
      <c r="AC258" s="54">
        <v>9.8493200000000005</v>
      </c>
      <c r="AD258" s="36">
        <v>110.70169999999996</v>
      </c>
    </row>
    <row r="259" spans="1:30" s="37" customFormat="1" ht="15.75" customHeight="1" x14ac:dyDescent="0.2">
      <c r="A259" s="26">
        <v>1405</v>
      </c>
      <c r="B259" s="27" t="s">
        <v>534</v>
      </c>
      <c r="C259" s="27" t="s">
        <v>116</v>
      </c>
      <c r="D259" s="28">
        <v>0.04</v>
      </c>
      <c r="E259" s="29">
        <v>30.73</v>
      </c>
      <c r="F259" s="29">
        <v>4</v>
      </c>
      <c r="G259" s="30" t="s">
        <v>39</v>
      </c>
      <c r="H259" s="27" t="s">
        <v>71</v>
      </c>
      <c r="I259" s="27" t="s">
        <v>41</v>
      </c>
      <c r="J259" s="27" t="s">
        <v>42</v>
      </c>
      <c r="K259" s="27" t="s">
        <v>73</v>
      </c>
      <c r="L259" s="31" t="s">
        <v>674</v>
      </c>
      <c r="M259" s="32">
        <v>0.75</v>
      </c>
      <c r="N259" s="27" t="s">
        <v>33</v>
      </c>
      <c r="O259" s="27" t="s">
        <v>53</v>
      </c>
      <c r="P259" s="27" t="s">
        <v>289</v>
      </c>
      <c r="Q259" s="27" t="s">
        <v>535</v>
      </c>
      <c r="R259" s="33">
        <v>49017</v>
      </c>
      <c r="S259" s="34">
        <v>42025</v>
      </c>
      <c r="T259" s="34">
        <v>42026</v>
      </c>
      <c r="U259" s="29">
        <v>-20.79</v>
      </c>
      <c r="V259" s="26">
        <v>12</v>
      </c>
      <c r="W259" s="29">
        <v>355.21</v>
      </c>
      <c r="X259" s="26">
        <v>86145</v>
      </c>
      <c r="Y259" s="35">
        <v>7.76</v>
      </c>
      <c r="Z259" s="1" t="s">
        <v>3012</v>
      </c>
      <c r="AA259" s="36">
        <v>14.750400000000001</v>
      </c>
      <c r="AB259" s="54">
        <v>88.802499999999995</v>
      </c>
      <c r="AC259" s="54">
        <v>22.200624999999999</v>
      </c>
      <c r="AD259" s="36">
        <v>357.24959999999999</v>
      </c>
    </row>
    <row r="260" spans="1:30" s="37" customFormat="1" ht="15.75" customHeight="1" x14ac:dyDescent="0.2">
      <c r="A260" s="26">
        <v>263</v>
      </c>
      <c r="B260" s="27" t="s">
        <v>665</v>
      </c>
      <c r="C260" s="27" t="s">
        <v>38</v>
      </c>
      <c r="D260" s="28">
        <v>0.05</v>
      </c>
      <c r="E260" s="29">
        <v>31.76</v>
      </c>
      <c r="F260" s="29">
        <v>45.51</v>
      </c>
      <c r="G260" s="30" t="s">
        <v>27</v>
      </c>
      <c r="H260" s="27" t="s">
        <v>3095</v>
      </c>
      <c r="I260" s="27" t="s">
        <v>29</v>
      </c>
      <c r="J260" s="27" t="s">
        <v>30</v>
      </c>
      <c r="K260" s="27" t="s">
        <v>31</v>
      </c>
      <c r="L260" s="31" t="s">
        <v>666</v>
      </c>
      <c r="M260" s="32">
        <v>0.65</v>
      </c>
      <c r="N260" s="27" t="s">
        <v>33</v>
      </c>
      <c r="O260" s="27" t="s">
        <v>111</v>
      </c>
      <c r="P260" s="27" t="s">
        <v>317</v>
      </c>
      <c r="Q260" s="27" t="s">
        <v>667</v>
      </c>
      <c r="R260" s="33">
        <v>44106</v>
      </c>
      <c r="S260" s="34">
        <v>42025</v>
      </c>
      <c r="T260" s="34">
        <v>42027</v>
      </c>
      <c r="U260" s="29">
        <v>-2177.9860960000001</v>
      </c>
      <c r="V260" s="26">
        <v>9</v>
      </c>
      <c r="W260" s="29">
        <v>304.33999999999997</v>
      </c>
      <c r="X260" s="26">
        <v>86297</v>
      </c>
      <c r="Y260" s="35">
        <v>105.31</v>
      </c>
      <c r="Z260" s="1" t="s">
        <v>3014</v>
      </c>
      <c r="AA260" s="36">
        <v>14.292000000000002</v>
      </c>
      <c r="AB260" s="54">
        <v>106.51899999999999</v>
      </c>
      <c r="AC260" s="54">
        <v>21.98011111111111</v>
      </c>
      <c r="AD260" s="36">
        <v>2422.5240960000001</v>
      </c>
    </row>
    <row r="261" spans="1:30" s="37" customFormat="1" ht="15.75" customHeight="1" x14ac:dyDescent="0.2">
      <c r="A261" s="26">
        <v>3230</v>
      </c>
      <c r="B261" s="27" t="s">
        <v>700</v>
      </c>
      <c r="C261" s="27" t="s">
        <v>3094</v>
      </c>
      <c r="D261" s="28">
        <v>0</v>
      </c>
      <c r="E261" s="29">
        <v>15.98</v>
      </c>
      <c r="F261" s="29">
        <v>8.99</v>
      </c>
      <c r="G261" s="30" t="s">
        <v>39</v>
      </c>
      <c r="H261" s="27" t="s">
        <v>3095</v>
      </c>
      <c r="I261" s="27" t="s">
        <v>41</v>
      </c>
      <c r="J261" s="27" t="s">
        <v>42</v>
      </c>
      <c r="K261" s="27" t="s">
        <v>43</v>
      </c>
      <c r="L261" s="31" t="s">
        <v>701</v>
      </c>
      <c r="M261" s="32">
        <v>0.64</v>
      </c>
      <c r="N261" s="27" t="s">
        <v>33</v>
      </c>
      <c r="O261" s="27" t="s">
        <v>53</v>
      </c>
      <c r="P261" s="27" t="s">
        <v>357</v>
      </c>
      <c r="Q261" s="27" t="s">
        <v>702</v>
      </c>
      <c r="R261" s="33">
        <v>53186</v>
      </c>
      <c r="S261" s="34">
        <v>42025</v>
      </c>
      <c r="T261" s="34">
        <v>42027</v>
      </c>
      <c r="U261" s="29">
        <v>-135.46</v>
      </c>
      <c r="V261" s="26">
        <v>9</v>
      </c>
      <c r="W261" s="29">
        <v>152.18</v>
      </c>
      <c r="X261" s="26">
        <v>87435</v>
      </c>
      <c r="Y261" s="35">
        <v>15.47</v>
      </c>
      <c r="Z261" s="1" t="s">
        <v>3012</v>
      </c>
      <c r="AA261" s="36">
        <v>0</v>
      </c>
      <c r="AB261" s="54">
        <v>54.784799999999997</v>
      </c>
      <c r="AC261" s="54">
        <v>10.82168888888889</v>
      </c>
      <c r="AD261" s="36">
        <v>278.65000000000003</v>
      </c>
    </row>
    <row r="262" spans="1:30" s="37" customFormat="1" ht="15.75" customHeight="1" x14ac:dyDescent="0.2">
      <c r="A262" s="26">
        <v>584</v>
      </c>
      <c r="B262" s="27" t="s">
        <v>682</v>
      </c>
      <c r="C262" s="27" t="s">
        <v>3094</v>
      </c>
      <c r="D262" s="28">
        <v>0.04</v>
      </c>
      <c r="E262" s="29">
        <v>15.51</v>
      </c>
      <c r="F262" s="29">
        <v>17.78</v>
      </c>
      <c r="G262" s="30" t="s">
        <v>39</v>
      </c>
      <c r="H262" s="27" t="s">
        <v>94</v>
      </c>
      <c r="I262" s="27" t="s">
        <v>49</v>
      </c>
      <c r="J262" s="27" t="s">
        <v>78</v>
      </c>
      <c r="K262" s="27" t="s">
        <v>73</v>
      </c>
      <c r="L262" s="31" t="s">
        <v>258</v>
      </c>
      <c r="M262" s="32">
        <v>0.59</v>
      </c>
      <c r="N262" s="27" t="s">
        <v>33</v>
      </c>
      <c r="O262" s="27" t="s">
        <v>111</v>
      </c>
      <c r="P262" s="27" t="s">
        <v>403</v>
      </c>
      <c r="Q262" s="27" t="s">
        <v>683</v>
      </c>
      <c r="R262" s="33">
        <v>1801</v>
      </c>
      <c r="S262" s="34">
        <v>42025</v>
      </c>
      <c r="T262" s="34">
        <v>42027</v>
      </c>
      <c r="U262" s="29">
        <v>-266.22000000000003</v>
      </c>
      <c r="V262" s="26">
        <v>7</v>
      </c>
      <c r="W262" s="29">
        <v>116.93</v>
      </c>
      <c r="X262" s="26">
        <v>88646</v>
      </c>
      <c r="Y262" s="35">
        <v>14.27</v>
      </c>
      <c r="Z262" s="1" t="s">
        <v>3014</v>
      </c>
      <c r="AA262" s="36">
        <v>4.3427999999999995</v>
      </c>
      <c r="AB262" s="54">
        <v>47.941300000000005</v>
      </c>
      <c r="AC262" s="54">
        <v>9.8555285714285699</v>
      </c>
      <c r="AD262" s="36">
        <v>361.02719999999999</v>
      </c>
    </row>
    <row r="263" spans="1:30" s="37" customFormat="1" ht="15.75" customHeight="1" x14ac:dyDescent="0.2">
      <c r="A263" s="26">
        <v>1727</v>
      </c>
      <c r="B263" s="27" t="s">
        <v>687</v>
      </c>
      <c r="C263" s="27" t="s">
        <v>3094</v>
      </c>
      <c r="D263" s="28">
        <v>0.1</v>
      </c>
      <c r="E263" s="29">
        <v>14.98</v>
      </c>
      <c r="F263" s="29">
        <v>7.69</v>
      </c>
      <c r="G263" s="30" t="s">
        <v>87</v>
      </c>
      <c r="H263" s="27" t="s">
        <v>3095</v>
      </c>
      <c r="I263" s="27" t="s">
        <v>49</v>
      </c>
      <c r="J263" s="27" t="s">
        <v>78</v>
      </c>
      <c r="K263" s="27" t="s">
        <v>73</v>
      </c>
      <c r="L263" s="31" t="s">
        <v>688</v>
      </c>
      <c r="M263" s="32">
        <v>0.56999999999999995</v>
      </c>
      <c r="N263" s="27" t="s">
        <v>33</v>
      </c>
      <c r="O263" s="27" t="s">
        <v>111</v>
      </c>
      <c r="P263" s="27" t="s">
        <v>317</v>
      </c>
      <c r="Q263" s="27" t="s">
        <v>689</v>
      </c>
      <c r="R263" s="33">
        <v>44240</v>
      </c>
      <c r="S263" s="34">
        <v>42025</v>
      </c>
      <c r="T263" s="34">
        <v>42027</v>
      </c>
      <c r="U263" s="29">
        <v>-76.900000000000006</v>
      </c>
      <c r="V263" s="26">
        <v>8</v>
      </c>
      <c r="W263" s="29">
        <v>114.81</v>
      </c>
      <c r="X263" s="26">
        <v>87194</v>
      </c>
      <c r="Y263" s="35">
        <v>14.88</v>
      </c>
      <c r="Z263" s="1" t="s">
        <v>3014</v>
      </c>
      <c r="AA263" s="36">
        <v>11.984000000000002</v>
      </c>
      <c r="AB263" s="54">
        <v>49.368300000000005</v>
      </c>
      <c r="AC263" s="54">
        <v>8.1802124999999997</v>
      </c>
      <c r="AD263" s="36">
        <v>172.036</v>
      </c>
    </row>
    <row r="264" spans="1:30" s="37" customFormat="1" ht="15.75" customHeight="1" x14ac:dyDescent="0.2">
      <c r="A264" s="26">
        <v>1989</v>
      </c>
      <c r="B264" s="27" t="s">
        <v>693</v>
      </c>
      <c r="C264" s="27" t="s">
        <v>3094</v>
      </c>
      <c r="D264" s="28">
        <v>0.09</v>
      </c>
      <c r="E264" s="29">
        <v>19.98</v>
      </c>
      <c r="F264" s="29">
        <v>8.68</v>
      </c>
      <c r="G264" s="30" t="s">
        <v>39</v>
      </c>
      <c r="H264" s="27" t="s">
        <v>71</v>
      </c>
      <c r="I264" s="27" t="s">
        <v>49</v>
      </c>
      <c r="J264" s="27" t="s">
        <v>88</v>
      </c>
      <c r="K264" s="27" t="s">
        <v>73</v>
      </c>
      <c r="L264" s="31" t="s">
        <v>696</v>
      </c>
      <c r="M264" s="32">
        <v>0.37</v>
      </c>
      <c r="N264" s="27" t="s">
        <v>33</v>
      </c>
      <c r="O264" s="27" t="s">
        <v>60</v>
      </c>
      <c r="P264" s="27" t="s">
        <v>146</v>
      </c>
      <c r="Q264" s="27" t="s">
        <v>695</v>
      </c>
      <c r="R264" s="33">
        <v>84117</v>
      </c>
      <c r="S264" s="34">
        <v>42025</v>
      </c>
      <c r="T264" s="34">
        <v>42026</v>
      </c>
      <c r="U264" s="29">
        <v>6.6803999999999997</v>
      </c>
      <c r="V264" s="26">
        <v>5</v>
      </c>
      <c r="W264" s="29">
        <v>93.19</v>
      </c>
      <c r="X264" s="26">
        <v>90000</v>
      </c>
      <c r="Y264" s="35">
        <v>1889.89</v>
      </c>
      <c r="Z264" s="1" t="s">
        <v>3013</v>
      </c>
      <c r="AA264" s="36">
        <v>8.9909999999999997</v>
      </c>
      <c r="AB264" s="54">
        <v>58.709699999999998</v>
      </c>
      <c r="AC264" s="54">
        <v>6.8960599999999994</v>
      </c>
      <c r="AD264" s="36">
        <v>68.8386</v>
      </c>
    </row>
    <row r="265" spans="1:30" s="37" customFormat="1" ht="15.75" customHeight="1" x14ac:dyDescent="0.2">
      <c r="A265" s="26">
        <v>1473</v>
      </c>
      <c r="B265" s="27" t="s">
        <v>659</v>
      </c>
      <c r="C265" s="27" t="s">
        <v>26</v>
      </c>
      <c r="D265" s="28">
        <v>0.04</v>
      </c>
      <c r="E265" s="29">
        <v>9.7799999999999994</v>
      </c>
      <c r="F265" s="29">
        <v>1.99</v>
      </c>
      <c r="G265" s="30" t="s">
        <v>87</v>
      </c>
      <c r="H265" s="27" t="s">
        <v>71</v>
      </c>
      <c r="I265" s="27" t="s">
        <v>41</v>
      </c>
      <c r="J265" s="27" t="s">
        <v>42</v>
      </c>
      <c r="K265" s="27" t="s">
        <v>43</v>
      </c>
      <c r="L265" s="31" t="s">
        <v>660</v>
      </c>
      <c r="M265" s="32">
        <v>0.43</v>
      </c>
      <c r="N265" s="27" t="s">
        <v>33</v>
      </c>
      <c r="O265" s="27" t="s">
        <v>111</v>
      </c>
      <c r="P265" s="27" t="s">
        <v>317</v>
      </c>
      <c r="Q265" s="27" t="s">
        <v>661</v>
      </c>
      <c r="R265" s="33">
        <v>44691</v>
      </c>
      <c r="S265" s="34">
        <v>42025</v>
      </c>
      <c r="T265" s="34">
        <v>42026</v>
      </c>
      <c r="U265" s="29">
        <v>61.292700000000004</v>
      </c>
      <c r="V265" s="26">
        <v>9</v>
      </c>
      <c r="W265" s="29">
        <v>88.83</v>
      </c>
      <c r="X265" s="26">
        <v>87076</v>
      </c>
      <c r="Y265" s="35">
        <v>355.94</v>
      </c>
      <c r="Z265" s="1" t="s">
        <v>3014</v>
      </c>
      <c r="AA265" s="36">
        <v>3.5207999999999999</v>
      </c>
      <c r="AB265" s="54">
        <v>50.633100000000006</v>
      </c>
      <c r="AC265" s="54">
        <v>4.2440999999999995</v>
      </c>
      <c r="AD265" s="36">
        <v>22.026499999999999</v>
      </c>
    </row>
    <row r="266" spans="1:30" s="37" customFormat="1" ht="15.75" customHeight="1" x14ac:dyDescent="0.2">
      <c r="A266" s="26">
        <v>2855</v>
      </c>
      <c r="B266" s="27" t="s">
        <v>678</v>
      </c>
      <c r="C266" s="27" t="s">
        <v>116</v>
      </c>
      <c r="D266" s="28">
        <v>0.08</v>
      </c>
      <c r="E266" s="29">
        <v>7.84</v>
      </c>
      <c r="F266" s="29">
        <v>4.71</v>
      </c>
      <c r="G266" s="30" t="s">
        <v>39</v>
      </c>
      <c r="H266" s="27" t="s">
        <v>94</v>
      </c>
      <c r="I266" s="27" t="s">
        <v>49</v>
      </c>
      <c r="J266" s="27" t="s">
        <v>72</v>
      </c>
      <c r="K266" s="27" t="s">
        <v>73</v>
      </c>
      <c r="L266" s="31" t="s">
        <v>679</v>
      </c>
      <c r="M266" s="32">
        <v>0.35</v>
      </c>
      <c r="N266" s="27" t="s">
        <v>33</v>
      </c>
      <c r="O266" s="27" t="s">
        <v>60</v>
      </c>
      <c r="P266" s="27" t="s">
        <v>67</v>
      </c>
      <c r="Q266" s="27" t="s">
        <v>680</v>
      </c>
      <c r="R266" s="33">
        <v>98198</v>
      </c>
      <c r="S266" s="34">
        <v>42025</v>
      </c>
      <c r="T266" s="34">
        <v>42026</v>
      </c>
      <c r="U266" s="29">
        <v>-12.87678</v>
      </c>
      <c r="V266" s="26">
        <v>10</v>
      </c>
      <c r="W266" s="29">
        <v>76.16</v>
      </c>
      <c r="X266" s="26">
        <v>87316</v>
      </c>
      <c r="Y266" s="35">
        <v>19.89</v>
      </c>
      <c r="Z266" s="1" t="s">
        <v>3013</v>
      </c>
      <c r="AA266" s="36">
        <v>6.2720000000000002</v>
      </c>
      <c r="AB266" s="54">
        <v>49.503999999999998</v>
      </c>
      <c r="AC266" s="54">
        <v>2.6655999999999995</v>
      </c>
      <c r="AD266" s="36">
        <v>78.054779999999994</v>
      </c>
    </row>
    <row r="267" spans="1:30" s="37" customFormat="1" ht="15.75" customHeight="1" x14ac:dyDescent="0.2">
      <c r="A267" s="26">
        <v>2797</v>
      </c>
      <c r="B267" s="27" t="s">
        <v>390</v>
      </c>
      <c r="C267" s="27" t="s">
        <v>116</v>
      </c>
      <c r="D267" s="28">
        <v>0.02</v>
      </c>
      <c r="E267" s="29">
        <v>4.91</v>
      </c>
      <c r="F267" s="29">
        <v>0.5</v>
      </c>
      <c r="G267" s="30" t="s">
        <v>39</v>
      </c>
      <c r="H267" s="27" t="s">
        <v>94</v>
      </c>
      <c r="I267" s="27" t="s">
        <v>49</v>
      </c>
      <c r="J267" s="27" t="s">
        <v>152</v>
      </c>
      <c r="K267" s="27" t="s">
        <v>73</v>
      </c>
      <c r="L267" s="31" t="s">
        <v>577</v>
      </c>
      <c r="M267" s="32">
        <v>0.36</v>
      </c>
      <c r="N267" s="27" t="s">
        <v>33</v>
      </c>
      <c r="O267" s="27" t="s">
        <v>111</v>
      </c>
      <c r="P267" s="27" t="s">
        <v>320</v>
      </c>
      <c r="Q267" s="27" t="s">
        <v>392</v>
      </c>
      <c r="R267" s="33">
        <v>15122</v>
      </c>
      <c r="S267" s="34">
        <v>42025</v>
      </c>
      <c r="T267" s="34">
        <v>42026</v>
      </c>
      <c r="U267" s="29">
        <v>29.883900000000001</v>
      </c>
      <c r="V267" s="26">
        <v>9</v>
      </c>
      <c r="W267" s="29">
        <v>43.31</v>
      </c>
      <c r="X267" s="26">
        <v>87553</v>
      </c>
      <c r="Y267" s="35">
        <v>24.939999999999998</v>
      </c>
      <c r="Z267" s="1" t="s">
        <v>3014</v>
      </c>
      <c r="AA267" s="36">
        <v>0.88380000000000014</v>
      </c>
      <c r="AB267" s="54">
        <v>27.718400000000003</v>
      </c>
      <c r="AC267" s="54">
        <v>1.7323999999999999</v>
      </c>
      <c r="AD267" s="36">
        <v>12.042300000000001</v>
      </c>
    </row>
    <row r="268" spans="1:30" s="37" customFormat="1" ht="15.75" customHeight="1" x14ac:dyDescent="0.2">
      <c r="A268" s="26">
        <v>1709</v>
      </c>
      <c r="B268" s="27" t="s">
        <v>684</v>
      </c>
      <c r="C268" s="27" t="s">
        <v>3094</v>
      </c>
      <c r="D268" s="28">
        <v>0.01</v>
      </c>
      <c r="E268" s="29">
        <v>14.28</v>
      </c>
      <c r="F268" s="29">
        <v>2.99</v>
      </c>
      <c r="G268" s="30" t="s">
        <v>39</v>
      </c>
      <c r="H268" s="27" t="s">
        <v>40</v>
      </c>
      <c r="I268" s="27" t="s">
        <v>49</v>
      </c>
      <c r="J268" s="27" t="s">
        <v>72</v>
      </c>
      <c r="K268" s="27" t="s">
        <v>73</v>
      </c>
      <c r="L268" s="31" t="s">
        <v>685</v>
      </c>
      <c r="M268" s="32">
        <v>0.39</v>
      </c>
      <c r="N268" s="27" t="s">
        <v>33</v>
      </c>
      <c r="O268" s="27" t="s">
        <v>111</v>
      </c>
      <c r="P268" s="27" t="s">
        <v>320</v>
      </c>
      <c r="Q268" s="27" t="s">
        <v>686</v>
      </c>
      <c r="R268" s="33">
        <v>19464</v>
      </c>
      <c r="S268" s="34">
        <v>42025</v>
      </c>
      <c r="T268" s="34">
        <v>42026</v>
      </c>
      <c r="U268" s="29">
        <v>21.003499999999999</v>
      </c>
      <c r="V268" s="26">
        <v>2</v>
      </c>
      <c r="W268" s="29">
        <v>30.44</v>
      </c>
      <c r="X268" s="26">
        <v>88782</v>
      </c>
      <c r="Y268" s="35">
        <v>15.98</v>
      </c>
      <c r="Z268" s="1" t="s">
        <v>3014</v>
      </c>
      <c r="AA268" s="36">
        <v>0.28560000000000002</v>
      </c>
      <c r="AB268" s="54">
        <v>18.5684</v>
      </c>
      <c r="AC268" s="54">
        <v>5.9358000000000004</v>
      </c>
      <c r="AD268" s="36">
        <v>6.1609000000000052</v>
      </c>
    </row>
    <row r="269" spans="1:30" s="37" customFormat="1" ht="15.75" customHeight="1" x14ac:dyDescent="0.2">
      <c r="A269" s="26">
        <v>2896</v>
      </c>
      <c r="B269" s="27" t="s">
        <v>723</v>
      </c>
      <c r="C269" s="27" t="s">
        <v>48</v>
      </c>
      <c r="D269" s="28">
        <v>0.02</v>
      </c>
      <c r="E269" s="29">
        <v>880.98</v>
      </c>
      <c r="F269" s="29">
        <v>44.55</v>
      </c>
      <c r="G269" s="30" t="s">
        <v>27</v>
      </c>
      <c r="H269" s="27" t="s">
        <v>71</v>
      </c>
      <c r="I269" s="27" t="s">
        <v>29</v>
      </c>
      <c r="J269" s="27" t="s">
        <v>117</v>
      </c>
      <c r="K269" s="27" t="s">
        <v>31</v>
      </c>
      <c r="L269" s="31" t="s">
        <v>238</v>
      </c>
      <c r="M269" s="32">
        <v>0.62</v>
      </c>
      <c r="N269" s="27" t="s">
        <v>33</v>
      </c>
      <c r="O269" s="27" t="s">
        <v>53</v>
      </c>
      <c r="P269" s="27" t="s">
        <v>84</v>
      </c>
      <c r="Q269" s="27" t="s">
        <v>724</v>
      </c>
      <c r="R269" s="33">
        <v>56001</v>
      </c>
      <c r="S269" s="34">
        <v>42026</v>
      </c>
      <c r="T269" s="34">
        <v>42030</v>
      </c>
      <c r="U269" s="29">
        <v>4861.0637999999999</v>
      </c>
      <c r="V269" s="26">
        <v>8</v>
      </c>
      <c r="W269" s="29">
        <v>7045.02</v>
      </c>
      <c r="X269" s="26">
        <v>86925</v>
      </c>
      <c r="Y269" s="35">
        <v>32.889999999999993</v>
      </c>
      <c r="Z269" s="1" t="s">
        <v>3012</v>
      </c>
      <c r="AA269" s="36">
        <v>140.95680000000002</v>
      </c>
      <c r="AB269" s="54">
        <v>2677.1076000000003</v>
      </c>
      <c r="AC269" s="54">
        <v>545.98905000000002</v>
      </c>
      <c r="AD269" s="36">
        <v>1998.4494000000004</v>
      </c>
    </row>
    <row r="270" spans="1:30" s="37" customFormat="1" ht="15.75" customHeight="1" x14ac:dyDescent="0.2">
      <c r="A270" s="26">
        <v>2873</v>
      </c>
      <c r="B270" s="27" t="s">
        <v>728</v>
      </c>
      <c r="C270" s="27" t="s">
        <v>116</v>
      </c>
      <c r="D270" s="28">
        <v>0</v>
      </c>
      <c r="E270" s="29">
        <v>217.85</v>
      </c>
      <c r="F270" s="29">
        <v>29.1</v>
      </c>
      <c r="G270" s="30" t="s">
        <v>27</v>
      </c>
      <c r="H270" s="27" t="s">
        <v>3095</v>
      </c>
      <c r="I270" s="27" t="s">
        <v>29</v>
      </c>
      <c r="J270" s="27" t="s">
        <v>30</v>
      </c>
      <c r="K270" s="27" t="s">
        <v>31</v>
      </c>
      <c r="L270" s="31" t="s">
        <v>731</v>
      </c>
      <c r="M270" s="32">
        <v>0.68</v>
      </c>
      <c r="N270" s="27" t="s">
        <v>33</v>
      </c>
      <c r="O270" s="27" t="s">
        <v>34</v>
      </c>
      <c r="P270" s="27" t="s">
        <v>123</v>
      </c>
      <c r="Q270" s="27" t="s">
        <v>730</v>
      </c>
      <c r="R270" s="33">
        <v>33012</v>
      </c>
      <c r="S270" s="34">
        <v>42026</v>
      </c>
      <c r="T270" s="34">
        <v>42027</v>
      </c>
      <c r="U270" s="29">
        <v>394.17</v>
      </c>
      <c r="V270" s="26">
        <v>10</v>
      </c>
      <c r="W270" s="29">
        <v>2273.1</v>
      </c>
      <c r="X270" s="26">
        <v>89872</v>
      </c>
      <c r="Y270" s="35">
        <v>80.97</v>
      </c>
      <c r="Z270" s="1" t="s">
        <v>3011</v>
      </c>
      <c r="AA270" s="36">
        <v>0</v>
      </c>
      <c r="AB270" s="54">
        <v>727.39199999999983</v>
      </c>
      <c r="AC270" s="54">
        <v>154.57080000000002</v>
      </c>
      <c r="AD270" s="36">
        <v>1849.83</v>
      </c>
    </row>
    <row r="271" spans="1:30" s="37" customFormat="1" ht="15.75" customHeight="1" x14ac:dyDescent="0.2">
      <c r="A271" s="26">
        <v>2456</v>
      </c>
      <c r="B271" s="27" t="s">
        <v>714</v>
      </c>
      <c r="C271" s="27" t="s">
        <v>38</v>
      </c>
      <c r="D271" s="28">
        <v>7.0000000000000007E-2</v>
      </c>
      <c r="E271" s="29">
        <v>179.99</v>
      </c>
      <c r="F271" s="29">
        <v>19.989999999999998</v>
      </c>
      <c r="G271" s="30" t="s">
        <v>39</v>
      </c>
      <c r="H271" s="27" t="s">
        <v>71</v>
      </c>
      <c r="I271" s="27" t="s">
        <v>41</v>
      </c>
      <c r="J271" s="27" t="s">
        <v>42</v>
      </c>
      <c r="K271" s="27" t="s">
        <v>73</v>
      </c>
      <c r="L271" s="31" t="s">
        <v>715</v>
      </c>
      <c r="M271" s="32">
        <v>0.48</v>
      </c>
      <c r="N271" s="27" t="s">
        <v>33</v>
      </c>
      <c r="O271" s="27" t="s">
        <v>34</v>
      </c>
      <c r="P271" s="27" t="s">
        <v>164</v>
      </c>
      <c r="Q271" s="27" t="s">
        <v>716</v>
      </c>
      <c r="R271" s="33">
        <v>36608</v>
      </c>
      <c r="S271" s="34">
        <v>42026</v>
      </c>
      <c r="T271" s="34">
        <v>42027</v>
      </c>
      <c r="U271" s="29">
        <v>733.28219999999999</v>
      </c>
      <c r="V271" s="26">
        <v>7</v>
      </c>
      <c r="W271" s="29">
        <v>1188.6300000000001</v>
      </c>
      <c r="X271" s="26">
        <v>89218</v>
      </c>
      <c r="Y271" s="35">
        <v>20.28</v>
      </c>
      <c r="Z271" s="1" t="s">
        <v>3011</v>
      </c>
      <c r="AA271" s="36">
        <v>88.195100000000011</v>
      </c>
      <c r="AB271" s="54">
        <v>618.08760000000007</v>
      </c>
      <c r="AC271" s="54">
        <v>81.506057142857145</v>
      </c>
      <c r="AD271" s="36">
        <v>347.16270000000009</v>
      </c>
    </row>
    <row r="272" spans="1:30" s="37" customFormat="1" ht="15.75" customHeight="1" x14ac:dyDescent="0.2">
      <c r="A272" s="26">
        <v>1764</v>
      </c>
      <c r="B272" s="27" t="s">
        <v>711</v>
      </c>
      <c r="C272" s="27" t="s">
        <v>38</v>
      </c>
      <c r="D272" s="28">
        <v>0</v>
      </c>
      <c r="E272" s="29">
        <v>115.99</v>
      </c>
      <c r="F272" s="29">
        <v>5.92</v>
      </c>
      <c r="G272" s="30" t="s">
        <v>39</v>
      </c>
      <c r="H272" s="27" t="s">
        <v>40</v>
      </c>
      <c r="I272" s="27" t="s">
        <v>41</v>
      </c>
      <c r="J272" s="27" t="s">
        <v>135</v>
      </c>
      <c r="K272" s="27" t="s">
        <v>73</v>
      </c>
      <c r="L272" s="31" t="s">
        <v>712</v>
      </c>
      <c r="M272" s="32">
        <v>0.57999999999999996</v>
      </c>
      <c r="N272" s="27" t="s">
        <v>33</v>
      </c>
      <c r="O272" s="27" t="s">
        <v>34</v>
      </c>
      <c r="P272" s="27" t="s">
        <v>123</v>
      </c>
      <c r="Q272" s="27" t="s">
        <v>713</v>
      </c>
      <c r="R272" s="33">
        <v>34698</v>
      </c>
      <c r="S272" s="34">
        <v>42026</v>
      </c>
      <c r="T272" s="34">
        <v>42026</v>
      </c>
      <c r="U272" s="29">
        <v>-16.771999999999998</v>
      </c>
      <c r="V272" s="26">
        <v>11</v>
      </c>
      <c r="W272" s="29">
        <v>1160.42</v>
      </c>
      <c r="X272" s="26">
        <v>89775</v>
      </c>
      <c r="Y272" s="35">
        <v>115.99</v>
      </c>
      <c r="Z272" s="1" t="s">
        <v>3011</v>
      </c>
      <c r="AA272" s="36">
        <v>0</v>
      </c>
      <c r="AB272" s="54">
        <v>487.3764000000001</v>
      </c>
      <c r="AC272" s="54">
        <v>61.185781818181816</v>
      </c>
      <c r="AD272" s="36">
        <v>1171.2720000000002</v>
      </c>
    </row>
    <row r="273" spans="1:30" s="37" customFormat="1" ht="15.75" customHeight="1" x14ac:dyDescent="0.2">
      <c r="A273" s="26">
        <v>2456</v>
      </c>
      <c r="B273" s="27" t="s">
        <v>714</v>
      </c>
      <c r="C273" s="27" t="s">
        <v>38</v>
      </c>
      <c r="D273" s="28">
        <v>0.02</v>
      </c>
      <c r="E273" s="29">
        <v>92.23</v>
      </c>
      <c r="F273" s="29">
        <v>39.61</v>
      </c>
      <c r="G273" s="30" t="s">
        <v>87</v>
      </c>
      <c r="H273" s="27" t="s">
        <v>71</v>
      </c>
      <c r="I273" s="27" t="s">
        <v>29</v>
      </c>
      <c r="J273" s="27" t="s">
        <v>126</v>
      </c>
      <c r="K273" s="27" t="s">
        <v>144</v>
      </c>
      <c r="L273" s="31" t="s">
        <v>717</v>
      </c>
      <c r="M273" s="32">
        <v>0.67</v>
      </c>
      <c r="N273" s="27" t="s">
        <v>33</v>
      </c>
      <c r="O273" s="27" t="s">
        <v>34</v>
      </c>
      <c r="P273" s="27" t="s">
        <v>164</v>
      </c>
      <c r="Q273" s="27" t="s">
        <v>716</v>
      </c>
      <c r="R273" s="33">
        <v>36608</v>
      </c>
      <c r="S273" s="34">
        <v>42026</v>
      </c>
      <c r="T273" s="34">
        <v>42027</v>
      </c>
      <c r="U273" s="29">
        <v>-905.99040000000002</v>
      </c>
      <c r="V273" s="26">
        <v>11</v>
      </c>
      <c r="W273" s="29">
        <v>1009.93</v>
      </c>
      <c r="X273" s="26">
        <v>89218</v>
      </c>
      <c r="Y273" s="35">
        <v>179.92000000000002</v>
      </c>
      <c r="Z273" s="1" t="s">
        <v>3011</v>
      </c>
      <c r="AA273" s="36">
        <v>20.290600000000001</v>
      </c>
      <c r="AB273" s="54">
        <v>333.27689999999996</v>
      </c>
      <c r="AC273" s="54">
        <v>61.513918181818184</v>
      </c>
      <c r="AD273" s="36">
        <v>1856.0198</v>
      </c>
    </row>
    <row r="274" spans="1:30" s="37" customFormat="1" ht="15.75" customHeight="1" x14ac:dyDescent="0.2">
      <c r="A274" s="26">
        <v>1438</v>
      </c>
      <c r="B274" s="27" t="s">
        <v>706</v>
      </c>
      <c r="C274" s="27" t="s">
        <v>26</v>
      </c>
      <c r="D274" s="28">
        <v>0.01</v>
      </c>
      <c r="E274" s="29">
        <v>80.98</v>
      </c>
      <c r="F274" s="29">
        <v>35</v>
      </c>
      <c r="G274" s="30" t="s">
        <v>39</v>
      </c>
      <c r="H274" s="27" t="s">
        <v>94</v>
      </c>
      <c r="I274" s="27" t="s">
        <v>49</v>
      </c>
      <c r="J274" s="27" t="s">
        <v>78</v>
      </c>
      <c r="K274" s="27" t="s">
        <v>65</v>
      </c>
      <c r="L274" s="31" t="s">
        <v>707</v>
      </c>
      <c r="M274" s="32">
        <v>0.83</v>
      </c>
      <c r="N274" s="27" t="s">
        <v>33</v>
      </c>
      <c r="O274" s="27" t="s">
        <v>111</v>
      </c>
      <c r="P274" s="27" t="s">
        <v>317</v>
      </c>
      <c r="Q274" s="27" t="s">
        <v>708</v>
      </c>
      <c r="R274" s="33">
        <v>44035</v>
      </c>
      <c r="S274" s="34">
        <v>42026</v>
      </c>
      <c r="T274" s="34">
        <v>42028</v>
      </c>
      <c r="U274" s="29">
        <v>-409.37360000000001</v>
      </c>
      <c r="V274" s="26">
        <v>3</v>
      </c>
      <c r="W274" s="29">
        <v>267.83</v>
      </c>
      <c r="X274" s="26">
        <v>90120</v>
      </c>
      <c r="Y274" s="35">
        <v>92.210000000000008</v>
      </c>
      <c r="Z274" s="1" t="s">
        <v>3014</v>
      </c>
      <c r="AA274" s="36">
        <v>2.4294000000000002</v>
      </c>
      <c r="AB274" s="54">
        <v>45.531100000000009</v>
      </c>
      <c r="AC274" s="54">
        <v>74.099633333333315</v>
      </c>
      <c r="AD274" s="36">
        <v>639.77420000000006</v>
      </c>
    </row>
    <row r="275" spans="1:30" s="37" customFormat="1" ht="15.75" customHeight="1" x14ac:dyDescent="0.2">
      <c r="A275" s="26">
        <v>1959</v>
      </c>
      <c r="B275" s="27" t="s">
        <v>709</v>
      </c>
      <c r="C275" s="27" t="s">
        <v>26</v>
      </c>
      <c r="D275" s="28">
        <v>0</v>
      </c>
      <c r="E275" s="29">
        <v>20.28</v>
      </c>
      <c r="F275" s="29">
        <v>14.39</v>
      </c>
      <c r="G275" s="30" t="s">
        <v>39</v>
      </c>
      <c r="H275" s="27" t="s">
        <v>94</v>
      </c>
      <c r="I275" s="27" t="s">
        <v>29</v>
      </c>
      <c r="J275" s="27" t="s">
        <v>126</v>
      </c>
      <c r="K275" s="27" t="s">
        <v>73</v>
      </c>
      <c r="L275" s="31" t="s">
        <v>710</v>
      </c>
      <c r="M275" s="32">
        <v>0.47</v>
      </c>
      <c r="N275" s="27" t="s">
        <v>33</v>
      </c>
      <c r="O275" s="27" t="s">
        <v>34</v>
      </c>
      <c r="P275" s="27" t="s">
        <v>123</v>
      </c>
      <c r="Q275" s="27" t="s">
        <v>128</v>
      </c>
      <c r="R275" s="33">
        <v>33916</v>
      </c>
      <c r="S275" s="34">
        <v>42026</v>
      </c>
      <c r="T275" s="34">
        <v>42026</v>
      </c>
      <c r="U275" s="29">
        <v>-66.247299999999996</v>
      </c>
      <c r="V275" s="26">
        <v>9</v>
      </c>
      <c r="W275" s="29">
        <v>206.04</v>
      </c>
      <c r="X275" s="26">
        <v>28225</v>
      </c>
      <c r="Y275" s="35">
        <v>15.200000000000001</v>
      </c>
      <c r="Z275" s="1" t="s">
        <v>3011</v>
      </c>
      <c r="AA275" s="36">
        <v>0</v>
      </c>
      <c r="AB275" s="54">
        <v>109.2012</v>
      </c>
      <c r="AC275" s="54">
        <v>10.759866666666666</v>
      </c>
      <c r="AD275" s="36">
        <v>257.89729999999997</v>
      </c>
    </row>
    <row r="276" spans="1:30" s="37" customFormat="1" ht="15.75" customHeight="1" x14ac:dyDescent="0.2">
      <c r="A276" s="26">
        <v>2457</v>
      </c>
      <c r="B276" s="27" t="s">
        <v>718</v>
      </c>
      <c r="C276" s="27" t="s">
        <v>38</v>
      </c>
      <c r="D276" s="28">
        <v>0.02</v>
      </c>
      <c r="E276" s="29">
        <v>15.22</v>
      </c>
      <c r="F276" s="29">
        <v>9.73</v>
      </c>
      <c r="G276" s="30" t="s">
        <v>39</v>
      </c>
      <c r="H276" s="27" t="s">
        <v>71</v>
      </c>
      <c r="I276" s="27" t="s">
        <v>49</v>
      </c>
      <c r="J276" s="27" t="s">
        <v>72</v>
      </c>
      <c r="K276" s="27" t="s">
        <v>73</v>
      </c>
      <c r="L276" s="31" t="s">
        <v>719</v>
      </c>
      <c r="M276" s="32">
        <v>0.36</v>
      </c>
      <c r="N276" s="27" t="s">
        <v>33</v>
      </c>
      <c r="O276" s="27" t="s">
        <v>53</v>
      </c>
      <c r="P276" s="27" t="s">
        <v>84</v>
      </c>
      <c r="Q276" s="27" t="s">
        <v>720</v>
      </c>
      <c r="R276" s="33">
        <v>55014</v>
      </c>
      <c r="S276" s="34">
        <v>42026</v>
      </c>
      <c r="T276" s="34">
        <v>42026</v>
      </c>
      <c r="U276" s="29">
        <v>-21.63242</v>
      </c>
      <c r="V276" s="26">
        <v>9</v>
      </c>
      <c r="W276" s="29">
        <v>140.69999999999999</v>
      </c>
      <c r="X276" s="26">
        <v>89218</v>
      </c>
      <c r="Y276" s="35">
        <v>6.9200000000000008</v>
      </c>
      <c r="Z276" s="1" t="s">
        <v>3012</v>
      </c>
      <c r="AA276" s="36">
        <v>2.7396000000000003</v>
      </c>
      <c r="AB276" s="54">
        <v>90.047999999999988</v>
      </c>
      <c r="AC276" s="54">
        <v>5.6279999999999992</v>
      </c>
      <c r="AD276" s="36">
        <v>149.86282</v>
      </c>
    </row>
    <row r="277" spans="1:30" s="37" customFormat="1" ht="15.75" customHeight="1" x14ac:dyDescent="0.2">
      <c r="A277" s="26">
        <v>2209</v>
      </c>
      <c r="B277" s="27" t="s">
        <v>721</v>
      </c>
      <c r="C277" s="27" t="s">
        <v>48</v>
      </c>
      <c r="D277" s="28">
        <v>0.06</v>
      </c>
      <c r="E277" s="29">
        <v>6.98</v>
      </c>
      <c r="F277" s="29">
        <v>1.6</v>
      </c>
      <c r="G277" s="30" t="s">
        <v>39</v>
      </c>
      <c r="H277" s="27" t="s">
        <v>71</v>
      </c>
      <c r="I277" s="27" t="s">
        <v>49</v>
      </c>
      <c r="J277" s="27" t="s">
        <v>88</v>
      </c>
      <c r="K277" s="27" t="s">
        <v>51</v>
      </c>
      <c r="L277" s="31" t="s">
        <v>722</v>
      </c>
      <c r="M277" s="32">
        <v>0.38</v>
      </c>
      <c r="N277" s="27" t="s">
        <v>33</v>
      </c>
      <c r="O277" s="27" t="s">
        <v>34</v>
      </c>
      <c r="P277" s="27" t="s">
        <v>75</v>
      </c>
      <c r="Q277" s="27" t="s">
        <v>460</v>
      </c>
      <c r="R277" s="33">
        <v>30337</v>
      </c>
      <c r="S277" s="34">
        <v>42026</v>
      </c>
      <c r="T277" s="34">
        <v>42033</v>
      </c>
      <c r="U277" s="29">
        <v>-98.055999999999997</v>
      </c>
      <c r="V277" s="26">
        <v>12</v>
      </c>
      <c r="W277" s="29">
        <v>83.93</v>
      </c>
      <c r="X277" s="26">
        <v>88030</v>
      </c>
      <c r="Y277" s="35">
        <v>880.96</v>
      </c>
      <c r="Z277" s="1" t="s">
        <v>3011</v>
      </c>
      <c r="AA277" s="36">
        <v>5.0255999999999998</v>
      </c>
      <c r="AB277" s="54">
        <v>52.036600000000007</v>
      </c>
      <c r="AC277" s="54">
        <v>2.6577833333333336</v>
      </c>
      <c r="AD277" s="36">
        <v>175.36040000000003</v>
      </c>
    </row>
    <row r="278" spans="1:30" s="37" customFormat="1" ht="15.75" customHeight="1" x14ac:dyDescent="0.2">
      <c r="A278" s="26">
        <v>151</v>
      </c>
      <c r="B278" s="27" t="s">
        <v>703</v>
      </c>
      <c r="C278" s="27" t="s">
        <v>26</v>
      </c>
      <c r="D278" s="28">
        <v>0.09</v>
      </c>
      <c r="E278" s="29">
        <v>32.979999999999997</v>
      </c>
      <c r="F278" s="29">
        <v>5.5</v>
      </c>
      <c r="G278" s="30" t="s">
        <v>39</v>
      </c>
      <c r="H278" s="27" t="s">
        <v>71</v>
      </c>
      <c r="I278" s="27" t="s">
        <v>41</v>
      </c>
      <c r="J278" s="27" t="s">
        <v>42</v>
      </c>
      <c r="K278" s="27" t="s">
        <v>73</v>
      </c>
      <c r="L278" s="31" t="s">
        <v>704</v>
      </c>
      <c r="M278" s="32">
        <v>0.75</v>
      </c>
      <c r="N278" s="27" t="s">
        <v>33</v>
      </c>
      <c r="O278" s="27" t="s">
        <v>34</v>
      </c>
      <c r="P278" s="27" t="s">
        <v>400</v>
      </c>
      <c r="Q278" s="27" t="s">
        <v>705</v>
      </c>
      <c r="R278" s="33">
        <v>37664</v>
      </c>
      <c r="S278" s="34">
        <v>42026</v>
      </c>
      <c r="T278" s="34">
        <v>42027</v>
      </c>
      <c r="U278" s="29">
        <v>-20.257999999999999</v>
      </c>
      <c r="V278" s="26">
        <v>2</v>
      </c>
      <c r="W278" s="29">
        <v>62.46</v>
      </c>
      <c r="X278" s="26">
        <v>89521</v>
      </c>
      <c r="Y278" s="35">
        <v>3.8000000000000003</v>
      </c>
      <c r="Z278" s="1" t="s">
        <v>3011</v>
      </c>
      <c r="AA278" s="36">
        <v>5.936399999999999</v>
      </c>
      <c r="AB278" s="54">
        <v>15.615</v>
      </c>
      <c r="AC278" s="54">
        <v>23.422499999999999</v>
      </c>
      <c r="AD278" s="36">
        <v>71.281599999999997</v>
      </c>
    </row>
    <row r="279" spans="1:30" s="37" customFormat="1" ht="15.75" customHeight="1" x14ac:dyDescent="0.2">
      <c r="A279" s="26">
        <v>2422</v>
      </c>
      <c r="B279" s="27" t="s">
        <v>725</v>
      </c>
      <c r="C279" s="27" t="s">
        <v>116</v>
      </c>
      <c r="D279" s="28">
        <v>0.09</v>
      </c>
      <c r="E279" s="29">
        <v>3.89</v>
      </c>
      <c r="F279" s="29">
        <v>7.01</v>
      </c>
      <c r="G279" s="30" t="s">
        <v>87</v>
      </c>
      <c r="H279" s="27" t="s">
        <v>71</v>
      </c>
      <c r="I279" s="27" t="s">
        <v>49</v>
      </c>
      <c r="J279" s="27" t="s">
        <v>72</v>
      </c>
      <c r="K279" s="27" t="s">
        <v>73</v>
      </c>
      <c r="L279" s="31" t="s">
        <v>726</v>
      </c>
      <c r="M279" s="32">
        <v>0.37</v>
      </c>
      <c r="N279" s="27" t="s">
        <v>33</v>
      </c>
      <c r="O279" s="27" t="s">
        <v>53</v>
      </c>
      <c r="P279" s="27" t="s">
        <v>187</v>
      </c>
      <c r="Q279" s="27" t="s">
        <v>727</v>
      </c>
      <c r="R279" s="33">
        <v>77340</v>
      </c>
      <c r="S279" s="34">
        <v>42026</v>
      </c>
      <c r="T279" s="34">
        <v>42028</v>
      </c>
      <c r="U279" s="29">
        <v>-154.30699999999999</v>
      </c>
      <c r="V279" s="26">
        <v>10</v>
      </c>
      <c r="W279" s="29">
        <v>42.56</v>
      </c>
      <c r="X279" s="26">
        <v>89055</v>
      </c>
      <c r="Y279" s="35">
        <v>2.8200000000000003</v>
      </c>
      <c r="Z279" s="1" t="s">
        <v>3012</v>
      </c>
      <c r="AA279" s="36">
        <v>3.5010000000000003</v>
      </c>
      <c r="AB279" s="54">
        <v>26.812800000000003</v>
      </c>
      <c r="AC279" s="54">
        <v>1.5747200000000001</v>
      </c>
      <c r="AD279" s="36">
        <v>186.35599999999999</v>
      </c>
    </row>
    <row r="280" spans="1:30" s="37" customFormat="1" ht="15.75" customHeight="1" x14ac:dyDescent="0.2">
      <c r="A280" s="26">
        <v>2873</v>
      </c>
      <c r="B280" s="27" t="s">
        <v>728</v>
      </c>
      <c r="C280" s="27" t="s">
        <v>116</v>
      </c>
      <c r="D280" s="28">
        <v>7.0000000000000007E-2</v>
      </c>
      <c r="E280" s="29">
        <v>2.89</v>
      </c>
      <c r="F280" s="29">
        <v>0.5</v>
      </c>
      <c r="G280" s="30" t="s">
        <v>39</v>
      </c>
      <c r="H280" s="27" t="s">
        <v>3095</v>
      </c>
      <c r="I280" s="27" t="s">
        <v>49</v>
      </c>
      <c r="J280" s="27" t="s">
        <v>152</v>
      </c>
      <c r="K280" s="27" t="s">
        <v>73</v>
      </c>
      <c r="L280" s="31" t="s">
        <v>729</v>
      </c>
      <c r="M280" s="32">
        <v>0.38</v>
      </c>
      <c r="N280" s="27" t="s">
        <v>33</v>
      </c>
      <c r="O280" s="27" t="s">
        <v>34</v>
      </c>
      <c r="P280" s="27" t="s">
        <v>123</v>
      </c>
      <c r="Q280" s="27" t="s">
        <v>730</v>
      </c>
      <c r="R280" s="33">
        <v>33012</v>
      </c>
      <c r="S280" s="34">
        <v>42026</v>
      </c>
      <c r="T280" s="34">
        <v>42028</v>
      </c>
      <c r="U280" s="29">
        <v>441.59399999999999</v>
      </c>
      <c r="V280" s="26">
        <v>12</v>
      </c>
      <c r="W280" s="29">
        <v>33.020000000000003</v>
      </c>
      <c r="X280" s="26">
        <v>89872</v>
      </c>
      <c r="Y280" s="35">
        <v>217.85</v>
      </c>
      <c r="Z280" s="1" t="s">
        <v>3011</v>
      </c>
      <c r="AA280" s="36">
        <v>2.4276000000000004</v>
      </c>
      <c r="AB280" s="54">
        <v>20.4724</v>
      </c>
      <c r="AC280" s="54">
        <v>1.0456333333333334</v>
      </c>
      <c r="AD280" s="36">
        <v>-411.5016</v>
      </c>
    </row>
    <row r="281" spans="1:30" s="37" customFormat="1" ht="15.75" customHeight="1" x14ac:dyDescent="0.2">
      <c r="A281" s="26">
        <v>3350</v>
      </c>
      <c r="B281" s="27" t="s">
        <v>732</v>
      </c>
      <c r="C281" s="27" t="s">
        <v>116</v>
      </c>
      <c r="D281" s="28">
        <v>0.01</v>
      </c>
      <c r="E281" s="29">
        <v>73.98</v>
      </c>
      <c r="F281" s="29">
        <v>12.14</v>
      </c>
      <c r="G281" s="30" t="s">
        <v>39</v>
      </c>
      <c r="H281" s="27" t="s">
        <v>3095</v>
      </c>
      <c r="I281" s="27" t="s">
        <v>41</v>
      </c>
      <c r="J281" s="27" t="s">
        <v>42</v>
      </c>
      <c r="K281" s="27" t="s">
        <v>73</v>
      </c>
      <c r="L281" s="31" t="s">
        <v>733</v>
      </c>
      <c r="M281" s="32">
        <v>0.67</v>
      </c>
      <c r="N281" s="27" t="s">
        <v>33</v>
      </c>
      <c r="O281" s="27" t="s">
        <v>60</v>
      </c>
      <c r="P281" s="27" t="s">
        <v>67</v>
      </c>
      <c r="Q281" s="27" t="s">
        <v>734</v>
      </c>
      <c r="R281" s="33">
        <v>98444</v>
      </c>
      <c r="S281" s="34">
        <v>42027</v>
      </c>
      <c r="T281" s="34">
        <v>42029</v>
      </c>
      <c r="U281" s="29">
        <v>-29.0656</v>
      </c>
      <c r="V281" s="26">
        <v>5</v>
      </c>
      <c r="W281" s="29">
        <v>384.22</v>
      </c>
      <c r="X281" s="26">
        <v>91296</v>
      </c>
      <c r="Y281" s="35">
        <v>73.97</v>
      </c>
      <c r="Z281" s="1" t="s">
        <v>3013</v>
      </c>
      <c r="AA281" s="36">
        <v>3.6989999999999998</v>
      </c>
      <c r="AB281" s="54">
        <v>126.79259999999999</v>
      </c>
      <c r="AC281" s="54">
        <v>51.48548000000001</v>
      </c>
      <c r="AD281" s="36">
        <v>397.44660000000005</v>
      </c>
    </row>
    <row r="282" spans="1:30" s="37" customFormat="1" ht="15.75" customHeight="1" x14ac:dyDescent="0.2">
      <c r="A282" s="26">
        <v>1693</v>
      </c>
      <c r="B282" s="27" t="s">
        <v>738</v>
      </c>
      <c r="C282" s="27" t="s">
        <v>3094</v>
      </c>
      <c r="D282" s="28">
        <v>7.0000000000000007E-2</v>
      </c>
      <c r="E282" s="29">
        <v>30.98</v>
      </c>
      <c r="F282" s="29">
        <v>5.76</v>
      </c>
      <c r="G282" s="30" t="s">
        <v>39</v>
      </c>
      <c r="H282" s="27" t="s">
        <v>40</v>
      </c>
      <c r="I282" s="27" t="s">
        <v>49</v>
      </c>
      <c r="J282" s="27" t="s">
        <v>88</v>
      </c>
      <c r="K282" s="27" t="s">
        <v>73</v>
      </c>
      <c r="L282" s="31" t="s">
        <v>739</v>
      </c>
      <c r="M282" s="32">
        <v>0.4</v>
      </c>
      <c r="N282" s="27" t="s">
        <v>33</v>
      </c>
      <c r="O282" s="27" t="s">
        <v>34</v>
      </c>
      <c r="P282" s="27" t="s">
        <v>242</v>
      </c>
      <c r="Q282" s="27" t="s">
        <v>740</v>
      </c>
      <c r="R282" s="33">
        <v>20190</v>
      </c>
      <c r="S282" s="34">
        <v>42027</v>
      </c>
      <c r="T282" s="34">
        <v>42029</v>
      </c>
      <c r="U282" s="29">
        <v>-28.797999999999998</v>
      </c>
      <c r="V282" s="26">
        <v>11</v>
      </c>
      <c r="W282" s="29">
        <v>343.79</v>
      </c>
      <c r="X282" s="26">
        <v>90189</v>
      </c>
      <c r="Y282" s="35">
        <v>6.84</v>
      </c>
      <c r="Z282" s="1" t="s">
        <v>3011</v>
      </c>
      <c r="AA282" s="36">
        <v>23.854600000000001</v>
      </c>
      <c r="AB282" s="54">
        <v>206.274</v>
      </c>
      <c r="AC282" s="54">
        <v>12.501454545454546</v>
      </c>
      <c r="AD282" s="36">
        <v>342.97340000000003</v>
      </c>
    </row>
    <row r="283" spans="1:30" s="37" customFormat="1" ht="15.75" customHeight="1" x14ac:dyDescent="0.2">
      <c r="A283" s="26">
        <v>1692</v>
      </c>
      <c r="B283" s="27" t="s">
        <v>735</v>
      </c>
      <c r="C283" s="27" t="s">
        <v>3094</v>
      </c>
      <c r="D283" s="28">
        <v>0</v>
      </c>
      <c r="E283" s="29">
        <v>6.84</v>
      </c>
      <c r="F283" s="29">
        <v>8.3699999999999992</v>
      </c>
      <c r="G283" s="30" t="s">
        <v>39</v>
      </c>
      <c r="H283" s="27" t="s">
        <v>40</v>
      </c>
      <c r="I283" s="27" t="s">
        <v>49</v>
      </c>
      <c r="J283" s="27" t="s">
        <v>568</v>
      </c>
      <c r="K283" s="27" t="s">
        <v>43</v>
      </c>
      <c r="L283" s="31" t="s">
        <v>736</v>
      </c>
      <c r="M283" s="32">
        <v>0.57999999999999996</v>
      </c>
      <c r="N283" s="27" t="s">
        <v>33</v>
      </c>
      <c r="O283" s="27" t="s">
        <v>53</v>
      </c>
      <c r="P283" s="27" t="s">
        <v>537</v>
      </c>
      <c r="Q283" s="27" t="s">
        <v>737</v>
      </c>
      <c r="R283" s="33">
        <v>67114</v>
      </c>
      <c r="S283" s="34">
        <v>42027</v>
      </c>
      <c r="T283" s="34">
        <v>42028</v>
      </c>
      <c r="U283" s="29">
        <v>-123.1816</v>
      </c>
      <c r="V283" s="26">
        <v>5</v>
      </c>
      <c r="W283" s="29">
        <v>37.89</v>
      </c>
      <c r="X283" s="26">
        <v>90189</v>
      </c>
      <c r="Y283" s="35">
        <v>30.91</v>
      </c>
      <c r="Z283" s="1" t="s">
        <v>3012</v>
      </c>
      <c r="AA283" s="36">
        <v>0</v>
      </c>
      <c r="AB283" s="54">
        <v>15.913800000000002</v>
      </c>
      <c r="AC283" s="54">
        <v>4.3952400000000003</v>
      </c>
      <c r="AD283" s="36">
        <v>152.70159999999998</v>
      </c>
    </row>
    <row r="284" spans="1:30" s="37" customFormat="1" ht="15.75" customHeight="1" x14ac:dyDescent="0.2">
      <c r="A284" s="26">
        <v>1282</v>
      </c>
      <c r="B284" s="27" t="s">
        <v>749</v>
      </c>
      <c r="C284" s="27" t="s">
        <v>48</v>
      </c>
      <c r="D284" s="28">
        <v>0.03</v>
      </c>
      <c r="E284" s="29">
        <v>199.99</v>
      </c>
      <c r="F284" s="29">
        <v>24.49</v>
      </c>
      <c r="G284" s="30" t="s">
        <v>87</v>
      </c>
      <c r="H284" s="27" t="s">
        <v>3095</v>
      </c>
      <c r="I284" s="27" t="s">
        <v>41</v>
      </c>
      <c r="J284" s="27" t="s">
        <v>64</v>
      </c>
      <c r="K284" s="27" t="s">
        <v>65</v>
      </c>
      <c r="L284" s="31" t="s">
        <v>747</v>
      </c>
      <c r="M284" s="32">
        <v>0.46</v>
      </c>
      <c r="N284" s="27" t="s">
        <v>33</v>
      </c>
      <c r="O284" s="27" t="s">
        <v>111</v>
      </c>
      <c r="P284" s="27" t="s">
        <v>320</v>
      </c>
      <c r="Q284" s="27" t="s">
        <v>321</v>
      </c>
      <c r="R284" s="33">
        <v>19134</v>
      </c>
      <c r="S284" s="34">
        <v>42028</v>
      </c>
      <c r="T284" s="34">
        <v>42030</v>
      </c>
      <c r="U284" s="29">
        <v>393.42</v>
      </c>
      <c r="V284" s="26">
        <v>21</v>
      </c>
      <c r="W284" s="29">
        <v>4429.6899999999996</v>
      </c>
      <c r="X284" s="26">
        <v>29319</v>
      </c>
      <c r="Y284" s="35">
        <v>1.8499999999999999</v>
      </c>
      <c r="Z284" s="1" t="s">
        <v>3014</v>
      </c>
      <c r="AA284" s="36">
        <v>125.99369999999999</v>
      </c>
      <c r="AB284" s="54">
        <v>2392.0326</v>
      </c>
      <c r="AC284" s="54">
        <v>97.03130476190475</v>
      </c>
      <c r="AD284" s="36">
        <v>3885.7862999999998</v>
      </c>
    </row>
    <row r="285" spans="1:30" s="37" customFormat="1" ht="15.75" customHeight="1" x14ac:dyDescent="0.2">
      <c r="A285" s="26">
        <v>1653</v>
      </c>
      <c r="B285" s="27" t="s">
        <v>765</v>
      </c>
      <c r="C285" s="27" t="s">
        <v>3094</v>
      </c>
      <c r="D285" s="28">
        <v>0</v>
      </c>
      <c r="E285" s="29">
        <v>101.41</v>
      </c>
      <c r="F285" s="29">
        <v>35</v>
      </c>
      <c r="G285" s="30" t="s">
        <v>87</v>
      </c>
      <c r="H285" s="27" t="s">
        <v>94</v>
      </c>
      <c r="I285" s="27" t="s">
        <v>49</v>
      </c>
      <c r="J285" s="27" t="s">
        <v>78</v>
      </c>
      <c r="K285" s="27" t="s">
        <v>65</v>
      </c>
      <c r="L285" s="31" t="s">
        <v>766</v>
      </c>
      <c r="M285" s="32">
        <v>0.82</v>
      </c>
      <c r="N285" s="27" t="s">
        <v>33</v>
      </c>
      <c r="O285" s="27" t="s">
        <v>60</v>
      </c>
      <c r="P285" s="27" t="s">
        <v>90</v>
      </c>
      <c r="Q285" s="27" t="s">
        <v>767</v>
      </c>
      <c r="R285" s="33">
        <v>91360</v>
      </c>
      <c r="S285" s="34">
        <v>42028</v>
      </c>
      <c r="T285" s="34">
        <v>42029</v>
      </c>
      <c r="U285" s="29">
        <v>-457.73</v>
      </c>
      <c r="V285" s="26">
        <v>10</v>
      </c>
      <c r="W285" s="29">
        <v>1104.32</v>
      </c>
      <c r="X285" s="26">
        <v>89885</v>
      </c>
      <c r="Y285" s="35">
        <v>14.41</v>
      </c>
      <c r="Z285" s="1" t="s">
        <v>3013</v>
      </c>
      <c r="AA285" s="36">
        <v>0</v>
      </c>
      <c r="AB285" s="54">
        <v>198.77760000000004</v>
      </c>
      <c r="AC285" s="54">
        <v>90.554239999999979</v>
      </c>
      <c r="AD285" s="36">
        <v>1527.05</v>
      </c>
    </row>
    <row r="286" spans="1:30" s="37" customFormat="1" ht="15.75" customHeight="1" x14ac:dyDescent="0.2">
      <c r="A286" s="26">
        <v>1281</v>
      </c>
      <c r="B286" s="27" t="s">
        <v>746</v>
      </c>
      <c r="C286" s="27" t="s">
        <v>48</v>
      </c>
      <c r="D286" s="28">
        <v>0.03</v>
      </c>
      <c r="E286" s="29">
        <v>199.99</v>
      </c>
      <c r="F286" s="29">
        <v>24.49</v>
      </c>
      <c r="G286" s="30" t="s">
        <v>87</v>
      </c>
      <c r="H286" s="27" t="s">
        <v>3095</v>
      </c>
      <c r="I286" s="27" t="s">
        <v>41</v>
      </c>
      <c r="J286" s="27" t="s">
        <v>64</v>
      </c>
      <c r="K286" s="27" t="s">
        <v>65</v>
      </c>
      <c r="L286" s="31" t="s">
        <v>747</v>
      </c>
      <c r="M286" s="32">
        <v>0.46</v>
      </c>
      <c r="N286" s="27" t="s">
        <v>33</v>
      </c>
      <c r="O286" s="27" t="s">
        <v>53</v>
      </c>
      <c r="P286" s="27" t="s">
        <v>54</v>
      </c>
      <c r="Q286" s="27" t="s">
        <v>748</v>
      </c>
      <c r="R286" s="33">
        <v>47591</v>
      </c>
      <c r="S286" s="34">
        <v>42028</v>
      </c>
      <c r="T286" s="34">
        <v>42030</v>
      </c>
      <c r="U286" s="29">
        <v>727.73609999999996</v>
      </c>
      <c r="V286" s="26">
        <v>5</v>
      </c>
      <c r="W286" s="29">
        <v>1054.69</v>
      </c>
      <c r="X286" s="26">
        <v>89112</v>
      </c>
      <c r="Y286" s="35">
        <v>67.760000000000005</v>
      </c>
      <c r="Z286" s="1" t="s">
        <v>3012</v>
      </c>
      <c r="AA286" s="36">
        <v>29.9985</v>
      </c>
      <c r="AB286" s="54">
        <v>569.53260000000012</v>
      </c>
      <c r="AC286" s="54">
        <v>97.031480000000016</v>
      </c>
      <c r="AD286" s="36">
        <v>272.46540000000005</v>
      </c>
    </row>
    <row r="287" spans="1:30" s="37" customFormat="1" ht="15.75" customHeight="1" x14ac:dyDescent="0.2">
      <c r="A287" s="26">
        <v>1690</v>
      </c>
      <c r="B287" s="27" t="s">
        <v>750</v>
      </c>
      <c r="C287" s="27" t="s">
        <v>48</v>
      </c>
      <c r="D287" s="28">
        <v>0.05</v>
      </c>
      <c r="E287" s="29">
        <v>115.99</v>
      </c>
      <c r="F287" s="29">
        <v>5.26</v>
      </c>
      <c r="G287" s="30" t="s">
        <v>39</v>
      </c>
      <c r="H287" s="27" t="s">
        <v>94</v>
      </c>
      <c r="I287" s="27" t="s">
        <v>41</v>
      </c>
      <c r="J287" s="27" t="s">
        <v>135</v>
      </c>
      <c r="K287" s="27" t="s">
        <v>73</v>
      </c>
      <c r="L287" s="31" t="s">
        <v>751</v>
      </c>
      <c r="M287" s="32">
        <v>0.56999999999999995</v>
      </c>
      <c r="N287" s="27" t="s">
        <v>33</v>
      </c>
      <c r="O287" s="27" t="s">
        <v>111</v>
      </c>
      <c r="P287" s="27" t="s">
        <v>320</v>
      </c>
      <c r="Q287" s="27" t="s">
        <v>752</v>
      </c>
      <c r="R287" s="33">
        <v>17112</v>
      </c>
      <c r="S287" s="34">
        <v>42028</v>
      </c>
      <c r="T287" s="34">
        <v>42032</v>
      </c>
      <c r="U287" s="29">
        <v>616.53570000000002</v>
      </c>
      <c r="V287" s="26">
        <v>9</v>
      </c>
      <c r="W287" s="29">
        <v>893.53</v>
      </c>
      <c r="X287" s="26">
        <v>91076</v>
      </c>
      <c r="Y287" s="35">
        <v>199.96</v>
      </c>
      <c r="Z287" s="1" t="s">
        <v>3014</v>
      </c>
      <c r="AA287" s="36">
        <v>52.195500000000003</v>
      </c>
      <c r="AB287" s="54">
        <v>384.21790000000004</v>
      </c>
      <c r="AC287" s="54">
        <v>56.590233333333323</v>
      </c>
      <c r="AD287" s="36">
        <v>219.53879999999992</v>
      </c>
    </row>
    <row r="288" spans="1:30" s="37" customFormat="1" ht="15.75" customHeight="1" x14ac:dyDescent="0.2">
      <c r="A288" s="26">
        <v>3089</v>
      </c>
      <c r="B288" s="27" t="s">
        <v>756</v>
      </c>
      <c r="C288" s="27" t="s">
        <v>48</v>
      </c>
      <c r="D288" s="28">
        <v>7.0000000000000007E-2</v>
      </c>
      <c r="E288" s="29">
        <v>49.43</v>
      </c>
      <c r="F288" s="29">
        <v>19.989999999999998</v>
      </c>
      <c r="G288" s="30" t="s">
        <v>39</v>
      </c>
      <c r="H288" s="27" t="s">
        <v>94</v>
      </c>
      <c r="I288" s="27" t="s">
        <v>49</v>
      </c>
      <c r="J288" s="27" t="s">
        <v>95</v>
      </c>
      <c r="K288" s="27" t="s">
        <v>73</v>
      </c>
      <c r="L288" s="31" t="s">
        <v>757</v>
      </c>
      <c r="M288" s="32">
        <v>0.56999999999999995</v>
      </c>
      <c r="N288" s="27" t="s">
        <v>33</v>
      </c>
      <c r="O288" s="27" t="s">
        <v>53</v>
      </c>
      <c r="P288" s="27" t="s">
        <v>537</v>
      </c>
      <c r="Q288" s="27" t="s">
        <v>758</v>
      </c>
      <c r="R288" s="33">
        <v>66209</v>
      </c>
      <c r="S288" s="34">
        <v>42028</v>
      </c>
      <c r="T288" s="34">
        <v>42033</v>
      </c>
      <c r="U288" s="29">
        <v>-122.77</v>
      </c>
      <c r="V288" s="26">
        <v>6</v>
      </c>
      <c r="W288" s="29">
        <v>281.82</v>
      </c>
      <c r="X288" s="26">
        <v>91219</v>
      </c>
      <c r="Y288" s="35">
        <v>199.96</v>
      </c>
      <c r="Z288" s="1" t="s">
        <v>3012</v>
      </c>
      <c r="AA288" s="36">
        <v>20.7606</v>
      </c>
      <c r="AB288" s="54">
        <v>121.18260000000001</v>
      </c>
      <c r="AC288" s="54">
        <v>26.772899999999996</v>
      </c>
      <c r="AD288" s="36">
        <v>363.83940000000001</v>
      </c>
    </row>
    <row r="289" spans="1:30" s="37" customFormat="1" ht="15.75" customHeight="1" x14ac:dyDescent="0.2">
      <c r="A289" s="26">
        <v>1653</v>
      </c>
      <c r="B289" s="27" t="s">
        <v>765</v>
      </c>
      <c r="C289" s="27" t="s">
        <v>3094</v>
      </c>
      <c r="D289" s="28">
        <v>0.1</v>
      </c>
      <c r="E289" s="29">
        <v>95.99</v>
      </c>
      <c r="F289" s="29">
        <v>4.9000000000000004</v>
      </c>
      <c r="G289" s="30" t="s">
        <v>39</v>
      </c>
      <c r="H289" s="27" t="s">
        <v>94</v>
      </c>
      <c r="I289" s="27" t="s">
        <v>41</v>
      </c>
      <c r="J289" s="27" t="s">
        <v>135</v>
      </c>
      <c r="K289" s="27" t="s">
        <v>73</v>
      </c>
      <c r="L289" s="31" t="s">
        <v>768</v>
      </c>
      <c r="M289" s="32">
        <v>0.56000000000000005</v>
      </c>
      <c r="N289" s="27" t="s">
        <v>33</v>
      </c>
      <c r="O289" s="27" t="s">
        <v>60</v>
      </c>
      <c r="P289" s="27" t="s">
        <v>90</v>
      </c>
      <c r="Q289" s="27" t="s">
        <v>767</v>
      </c>
      <c r="R289" s="33">
        <v>91360</v>
      </c>
      <c r="S289" s="34">
        <v>42028</v>
      </c>
      <c r="T289" s="34">
        <v>42029</v>
      </c>
      <c r="U289" s="29">
        <v>-268.66399999999999</v>
      </c>
      <c r="V289" s="26">
        <v>2</v>
      </c>
      <c r="W289" s="29">
        <v>149.80000000000001</v>
      </c>
      <c r="X289" s="26">
        <v>89885</v>
      </c>
      <c r="Y289" s="35">
        <v>115.94</v>
      </c>
      <c r="Z289" s="1" t="s">
        <v>3013</v>
      </c>
      <c r="AA289" s="36">
        <v>19.198</v>
      </c>
      <c r="AB289" s="54">
        <v>65.911999999999992</v>
      </c>
      <c r="AC289" s="54">
        <v>41.94400000000001</v>
      </c>
      <c r="AD289" s="36">
        <v>394.36599999999999</v>
      </c>
    </row>
    <row r="290" spans="1:30" s="37" customFormat="1" ht="15.75" customHeight="1" x14ac:dyDescent="0.2">
      <c r="A290" s="26">
        <v>604</v>
      </c>
      <c r="B290" s="27" t="s">
        <v>741</v>
      </c>
      <c r="C290" s="27" t="s">
        <v>26</v>
      </c>
      <c r="D290" s="28">
        <v>0.03</v>
      </c>
      <c r="E290" s="29">
        <v>1.88</v>
      </c>
      <c r="F290" s="29">
        <v>1.49</v>
      </c>
      <c r="G290" s="30" t="s">
        <v>39</v>
      </c>
      <c r="H290" s="27" t="s">
        <v>71</v>
      </c>
      <c r="I290" s="27" t="s">
        <v>49</v>
      </c>
      <c r="J290" s="27" t="s">
        <v>72</v>
      </c>
      <c r="K290" s="27" t="s">
        <v>73</v>
      </c>
      <c r="L290" s="31" t="s">
        <v>613</v>
      </c>
      <c r="M290" s="32">
        <v>0.37</v>
      </c>
      <c r="N290" s="27" t="s">
        <v>33</v>
      </c>
      <c r="O290" s="27" t="s">
        <v>60</v>
      </c>
      <c r="P290" s="27" t="s">
        <v>90</v>
      </c>
      <c r="Q290" s="27" t="s">
        <v>100</v>
      </c>
      <c r="R290" s="33">
        <v>90045</v>
      </c>
      <c r="S290" s="34">
        <v>42028</v>
      </c>
      <c r="T290" s="34">
        <v>42029</v>
      </c>
      <c r="U290" s="29">
        <v>-15.099500000000001</v>
      </c>
      <c r="V290" s="26">
        <v>52</v>
      </c>
      <c r="W290" s="29">
        <v>102.32</v>
      </c>
      <c r="X290" s="26">
        <v>34882</v>
      </c>
      <c r="Y290" s="35">
        <v>50.959999999999994</v>
      </c>
      <c r="Z290" s="1" t="s">
        <v>3013</v>
      </c>
      <c r="AA290" s="36">
        <v>2.9327999999999994</v>
      </c>
      <c r="AB290" s="54">
        <v>64.46159999999999</v>
      </c>
      <c r="AC290" s="54">
        <v>0.72804615384615379</v>
      </c>
      <c r="AD290" s="36">
        <v>112.99669999999999</v>
      </c>
    </row>
    <row r="291" spans="1:30" s="37" customFormat="1" ht="15.75" customHeight="1" x14ac:dyDescent="0.2">
      <c r="A291" s="26">
        <v>830</v>
      </c>
      <c r="B291" s="27" t="s">
        <v>742</v>
      </c>
      <c r="C291" s="27" t="s">
        <v>38</v>
      </c>
      <c r="D291" s="28">
        <v>0.01</v>
      </c>
      <c r="E291" s="29">
        <v>14.42</v>
      </c>
      <c r="F291" s="29">
        <v>6.75</v>
      </c>
      <c r="G291" s="30" t="s">
        <v>39</v>
      </c>
      <c r="H291" s="27" t="s">
        <v>94</v>
      </c>
      <c r="I291" s="27" t="s">
        <v>49</v>
      </c>
      <c r="J291" s="27" t="s">
        <v>95</v>
      </c>
      <c r="K291" s="27" t="s">
        <v>144</v>
      </c>
      <c r="L291" s="31" t="s">
        <v>409</v>
      </c>
      <c r="M291" s="32">
        <v>0.52</v>
      </c>
      <c r="N291" s="27" t="s">
        <v>33</v>
      </c>
      <c r="O291" s="27" t="s">
        <v>60</v>
      </c>
      <c r="P291" s="27" t="s">
        <v>61</v>
      </c>
      <c r="Q291" s="27" t="s">
        <v>743</v>
      </c>
      <c r="R291" s="33">
        <v>80033</v>
      </c>
      <c r="S291" s="34">
        <v>42028</v>
      </c>
      <c r="T291" s="34">
        <v>42028</v>
      </c>
      <c r="U291" s="29">
        <v>-13.826000000000001</v>
      </c>
      <c r="V291" s="26">
        <v>6</v>
      </c>
      <c r="W291" s="29">
        <v>89.91</v>
      </c>
      <c r="X291" s="26">
        <v>90270</v>
      </c>
      <c r="Y291" s="35">
        <v>49.36</v>
      </c>
      <c r="Z291" s="1" t="s">
        <v>3013</v>
      </c>
      <c r="AA291" s="36">
        <v>0.86519999999999997</v>
      </c>
      <c r="AB291" s="54">
        <v>43.156799999999997</v>
      </c>
      <c r="AC291" s="54">
        <v>7.7922000000000002</v>
      </c>
      <c r="AD291" s="36">
        <v>96.120800000000003</v>
      </c>
    </row>
    <row r="292" spans="1:30" s="37" customFormat="1" ht="15.75" customHeight="1" x14ac:dyDescent="0.2">
      <c r="A292" s="26">
        <v>2283</v>
      </c>
      <c r="B292" s="27" t="s">
        <v>759</v>
      </c>
      <c r="C292" s="27" t="s">
        <v>116</v>
      </c>
      <c r="D292" s="28">
        <v>0.01</v>
      </c>
      <c r="E292" s="29">
        <v>11.7</v>
      </c>
      <c r="F292" s="29">
        <v>6.96</v>
      </c>
      <c r="G292" s="30" t="s">
        <v>39</v>
      </c>
      <c r="H292" s="27" t="s">
        <v>71</v>
      </c>
      <c r="I292" s="27" t="s">
        <v>49</v>
      </c>
      <c r="J292" s="27" t="s">
        <v>95</v>
      </c>
      <c r="K292" s="27" t="s">
        <v>144</v>
      </c>
      <c r="L292" s="31" t="s">
        <v>760</v>
      </c>
      <c r="M292" s="32">
        <v>0.5</v>
      </c>
      <c r="N292" s="27" t="s">
        <v>33</v>
      </c>
      <c r="O292" s="27" t="s">
        <v>53</v>
      </c>
      <c r="P292" s="27" t="s">
        <v>357</v>
      </c>
      <c r="Q292" s="27" t="s">
        <v>761</v>
      </c>
      <c r="R292" s="33">
        <v>53132</v>
      </c>
      <c r="S292" s="34">
        <v>42028</v>
      </c>
      <c r="T292" s="34">
        <v>42030</v>
      </c>
      <c r="U292" s="29">
        <v>-28.954000000000001</v>
      </c>
      <c r="V292" s="26">
        <v>6</v>
      </c>
      <c r="W292" s="29">
        <v>76.87</v>
      </c>
      <c r="X292" s="26">
        <v>85947</v>
      </c>
      <c r="Y292" s="35">
        <v>11.69</v>
      </c>
      <c r="Z292" s="1" t="s">
        <v>3012</v>
      </c>
      <c r="AA292" s="36">
        <v>0.70199999999999996</v>
      </c>
      <c r="AB292" s="54">
        <v>38.435000000000002</v>
      </c>
      <c r="AC292" s="54">
        <v>6.4058333333333337</v>
      </c>
      <c r="AD292" s="36">
        <v>98.162000000000006</v>
      </c>
    </row>
    <row r="293" spans="1:30" s="37" customFormat="1" ht="15.75" customHeight="1" x14ac:dyDescent="0.2">
      <c r="A293" s="26">
        <v>2613</v>
      </c>
      <c r="B293" s="27" t="s">
        <v>753</v>
      </c>
      <c r="C293" s="27" t="s">
        <v>48</v>
      </c>
      <c r="D293" s="28">
        <v>0.02</v>
      </c>
      <c r="E293" s="29">
        <v>50.98</v>
      </c>
      <c r="F293" s="29">
        <v>13.66</v>
      </c>
      <c r="G293" s="30" t="s">
        <v>87</v>
      </c>
      <c r="H293" s="27" t="s">
        <v>94</v>
      </c>
      <c r="I293" s="27" t="s">
        <v>49</v>
      </c>
      <c r="J293" s="27" t="s">
        <v>95</v>
      </c>
      <c r="K293" s="27" t="s">
        <v>73</v>
      </c>
      <c r="L293" s="31" t="s">
        <v>754</v>
      </c>
      <c r="M293" s="32">
        <v>0.57999999999999996</v>
      </c>
      <c r="N293" s="27" t="s">
        <v>33</v>
      </c>
      <c r="O293" s="27" t="s">
        <v>111</v>
      </c>
      <c r="P293" s="27" t="s">
        <v>397</v>
      </c>
      <c r="Q293" s="27" t="s">
        <v>755</v>
      </c>
      <c r="R293" s="33">
        <v>8863</v>
      </c>
      <c r="S293" s="34">
        <v>42028</v>
      </c>
      <c r="T293" s="34">
        <v>42028</v>
      </c>
      <c r="U293" s="29">
        <v>-25.76</v>
      </c>
      <c r="V293" s="26">
        <v>1</v>
      </c>
      <c r="W293" s="29">
        <v>68.45</v>
      </c>
      <c r="X293" s="26">
        <v>86119</v>
      </c>
      <c r="Y293" s="35">
        <v>15.19</v>
      </c>
      <c r="Z293" s="1" t="s">
        <v>3014</v>
      </c>
      <c r="AA293" s="36">
        <v>1.0196000000000001</v>
      </c>
      <c r="AB293" s="54">
        <v>28.749000000000002</v>
      </c>
      <c r="AC293" s="54">
        <v>39.701000000000001</v>
      </c>
      <c r="AD293" s="36">
        <v>79.5304</v>
      </c>
    </row>
    <row r="294" spans="1:30" s="37" customFormat="1" ht="15.75" customHeight="1" x14ac:dyDescent="0.2">
      <c r="A294" s="26">
        <v>997</v>
      </c>
      <c r="B294" s="27" t="s">
        <v>744</v>
      </c>
      <c r="C294" s="27" t="s">
        <v>48</v>
      </c>
      <c r="D294" s="28">
        <v>0.08</v>
      </c>
      <c r="E294" s="29">
        <v>67.84</v>
      </c>
      <c r="F294" s="29">
        <v>0.99</v>
      </c>
      <c r="G294" s="30" t="s">
        <v>39</v>
      </c>
      <c r="H294" s="27" t="s">
        <v>3095</v>
      </c>
      <c r="I294" s="27" t="s">
        <v>49</v>
      </c>
      <c r="J294" s="27" t="s">
        <v>95</v>
      </c>
      <c r="K294" s="27" t="s">
        <v>73</v>
      </c>
      <c r="L294" s="31" t="s">
        <v>745</v>
      </c>
      <c r="M294" s="32">
        <v>0.57999999999999996</v>
      </c>
      <c r="N294" s="27" t="s">
        <v>33</v>
      </c>
      <c r="O294" s="27" t="s">
        <v>111</v>
      </c>
      <c r="P294" s="27" t="s">
        <v>397</v>
      </c>
      <c r="Q294" s="27" t="s">
        <v>398</v>
      </c>
      <c r="R294" s="33">
        <v>7002</v>
      </c>
      <c r="S294" s="34">
        <v>42028</v>
      </c>
      <c r="T294" s="34">
        <v>42033</v>
      </c>
      <c r="U294" s="29">
        <v>-23.634399999999999</v>
      </c>
      <c r="V294" s="26">
        <v>1</v>
      </c>
      <c r="W294" s="29">
        <v>63.66</v>
      </c>
      <c r="X294" s="26">
        <v>89431</v>
      </c>
      <c r="Y294" s="35">
        <v>101.41</v>
      </c>
      <c r="Z294" s="1" t="s">
        <v>3014</v>
      </c>
      <c r="AA294" s="36">
        <v>5.4272</v>
      </c>
      <c r="AB294" s="54">
        <v>26.737200000000001</v>
      </c>
      <c r="AC294" s="54">
        <v>36.922799999999995</v>
      </c>
      <c r="AD294" s="36">
        <v>80.877200000000002</v>
      </c>
    </row>
    <row r="295" spans="1:30" s="37" customFormat="1" ht="15.75" customHeight="1" x14ac:dyDescent="0.2">
      <c r="A295" s="26">
        <v>275</v>
      </c>
      <c r="B295" s="27" t="s">
        <v>762</v>
      </c>
      <c r="C295" s="27" t="s">
        <v>3094</v>
      </c>
      <c r="D295" s="28">
        <v>0.09</v>
      </c>
      <c r="E295" s="29">
        <v>15.28</v>
      </c>
      <c r="F295" s="29">
        <v>10.91</v>
      </c>
      <c r="G295" s="30" t="s">
        <v>39</v>
      </c>
      <c r="H295" s="27" t="s">
        <v>94</v>
      </c>
      <c r="I295" s="27" t="s">
        <v>49</v>
      </c>
      <c r="J295" s="27" t="s">
        <v>72</v>
      </c>
      <c r="K295" s="27" t="s">
        <v>73</v>
      </c>
      <c r="L295" s="31" t="s">
        <v>763</v>
      </c>
      <c r="M295" s="32">
        <v>0.36</v>
      </c>
      <c r="N295" s="27" t="s">
        <v>33</v>
      </c>
      <c r="O295" s="27" t="s">
        <v>111</v>
      </c>
      <c r="P295" s="27" t="s">
        <v>248</v>
      </c>
      <c r="Q295" s="27" t="s">
        <v>764</v>
      </c>
      <c r="R295" s="33">
        <v>6824</v>
      </c>
      <c r="S295" s="34">
        <v>42028</v>
      </c>
      <c r="T295" s="34">
        <v>42029</v>
      </c>
      <c r="U295" s="29">
        <v>-51.75</v>
      </c>
      <c r="V295" s="26">
        <v>4</v>
      </c>
      <c r="W295" s="29">
        <v>61.52</v>
      </c>
      <c r="X295" s="26">
        <v>89292</v>
      </c>
      <c r="Y295" s="35">
        <v>95.89</v>
      </c>
      <c r="Z295" s="1" t="s">
        <v>3014</v>
      </c>
      <c r="AA295" s="36">
        <v>5.5007999999999999</v>
      </c>
      <c r="AB295" s="54">
        <v>39.372800000000005</v>
      </c>
      <c r="AC295" s="54">
        <v>5.5368000000000004</v>
      </c>
      <c r="AD295" s="36">
        <v>96.859200000000016</v>
      </c>
    </row>
    <row r="296" spans="1:30" s="37" customFormat="1" ht="15.75" customHeight="1" x14ac:dyDescent="0.2">
      <c r="A296" s="26">
        <v>1997</v>
      </c>
      <c r="B296" s="27" t="s">
        <v>774</v>
      </c>
      <c r="C296" s="27" t="s">
        <v>3094</v>
      </c>
      <c r="D296" s="28">
        <v>0.1</v>
      </c>
      <c r="E296" s="29">
        <v>125.99</v>
      </c>
      <c r="F296" s="29">
        <v>8.99</v>
      </c>
      <c r="G296" s="30" t="s">
        <v>39</v>
      </c>
      <c r="H296" s="27" t="s">
        <v>40</v>
      </c>
      <c r="I296" s="27" t="s">
        <v>41</v>
      </c>
      <c r="J296" s="27" t="s">
        <v>135</v>
      </c>
      <c r="K296" s="27" t="s">
        <v>73</v>
      </c>
      <c r="L296" s="31" t="s">
        <v>775</v>
      </c>
      <c r="M296" s="32">
        <v>0.56999999999999995</v>
      </c>
      <c r="N296" s="27" t="s">
        <v>33</v>
      </c>
      <c r="O296" s="27" t="s">
        <v>34</v>
      </c>
      <c r="P296" s="27" t="s">
        <v>271</v>
      </c>
      <c r="Q296" s="27" t="s">
        <v>272</v>
      </c>
      <c r="R296" s="33">
        <v>29915</v>
      </c>
      <c r="S296" s="34">
        <v>42029</v>
      </c>
      <c r="T296" s="34">
        <v>42032</v>
      </c>
      <c r="U296" s="29">
        <v>17.652000000000001</v>
      </c>
      <c r="V296" s="26">
        <v>4</v>
      </c>
      <c r="W296" s="29">
        <v>408.66</v>
      </c>
      <c r="X296" s="26">
        <v>90333</v>
      </c>
      <c r="Y296" s="35">
        <v>1.68</v>
      </c>
      <c r="Z296" s="1" t="s">
        <v>3011</v>
      </c>
      <c r="AA296" s="36">
        <v>50.396000000000001</v>
      </c>
      <c r="AB296" s="54">
        <v>175.72380000000004</v>
      </c>
      <c r="AC296" s="54">
        <v>58.234049999999996</v>
      </c>
      <c r="AD296" s="36">
        <v>331.62200000000001</v>
      </c>
    </row>
    <row r="297" spans="1:30" s="37" customFormat="1" ht="15.75" customHeight="1" x14ac:dyDescent="0.2">
      <c r="A297" s="26">
        <v>156</v>
      </c>
      <c r="B297" s="27" t="s">
        <v>772</v>
      </c>
      <c r="C297" s="27" t="s">
        <v>38</v>
      </c>
      <c r="D297" s="28">
        <v>0.03</v>
      </c>
      <c r="E297" s="29">
        <v>10.89</v>
      </c>
      <c r="F297" s="29">
        <v>4.5</v>
      </c>
      <c r="G297" s="30" t="s">
        <v>39</v>
      </c>
      <c r="H297" s="27" t="s">
        <v>94</v>
      </c>
      <c r="I297" s="27" t="s">
        <v>49</v>
      </c>
      <c r="J297" s="27" t="s">
        <v>95</v>
      </c>
      <c r="K297" s="27" t="s">
        <v>73</v>
      </c>
      <c r="L297" s="31" t="s">
        <v>773</v>
      </c>
      <c r="M297" s="32">
        <v>0.59</v>
      </c>
      <c r="N297" s="27" t="s">
        <v>33</v>
      </c>
      <c r="O297" s="27" t="s">
        <v>60</v>
      </c>
      <c r="P297" s="27" t="s">
        <v>61</v>
      </c>
      <c r="Q297" s="27" t="s">
        <v>62</v>
      </c>
      <c r="R297" s="33">
        <v>80525</v>
      </c>
      <c r="S297" s="34">
        <v>42029</v>
      </c>
      <c r="T297" s="34">
        <v>42030</v>
      </c>
      <c r="U297" s="29">
        <v>-18.64</v>
      </c>
      <c r="V297" s="26">
        <v>3</v>
      </c>
      <c r="W297" s="29">
        <v>33.82</v>
      </c>
      <c r="X297" s="26">
        <v>87672</v>
      </c>
      <c r="Y297" s="35">
        <v>10.860000000000001</v>
      </c>
      <c r="Z297" s="1" t="s">
        <v>3013</v>
      </c>
      <c r="AA297" s="36">
        <v>0.98009999999999997</v>
      </c>
      <c r="AB297" s="54">
        <v>13.866200000000001</v>
      </c>
      <c r="AC297" s="54">
        <v>6.6512666666666664</v>
      </c>
      <c r="AD297" s="36">
        <v>46.979900000000001</v>
      </c>
    </row>
    <row r="298" spans="1:30" s="37" customFormat="1" ht="15.75" customHeight="1" x14ac:dyDescent="0.2">
      <c r="A298" s="26">
        <v>1389</v>
      </c>
      <c r="B298" s="27" t="s">
        <v>769</v>
      </c>
      <c r="C298" s="27" t="s">
        <v>26</v>
      </c>
      <c r="D298" s="28">
        <v>0.06</v>
      </c>
      <c r="E298" s="29">
        <v>1.74</v>
      </c>
      <c r="F298" s="29">
        <v>4.08</v>
      </c>
      <c r="G298" s="30" t="s">
        <v>39</v>
      </c>
      <c r="H298" s="27" t="s">
        <v>94</v>
      </c>
      <c r="I298" s="27" t="s">
        <v>29</v>
      </c>
      <c r="J298" s="27" t="s">
        <v>126</v>
      </c>
      <c r="K298" s="27" t="s">
        <v>43</v>
      </c>
      <c r="L298" s="31" t="s">
        <v>770</v>
      </c>
      <c r="M298" s="32">
        <v>0.53</v>
      </c>
      <c r="N298" s="27" t="s">
        <v>33</v>
      </c>
      <c r="O298" s="27" t="s">
        <v>60</v>
      </c>
      <c r="P298" s="27" t="s">
        <v>90</v>
      </c>
      <c r="Q298" s="27" t="s">
        <v>771</v>
      </c>
      <c r="R298" s="33">
        <v>94025</v>
      </c>
      <c r="S298" s="34">
        <v>42029</v>
      </c>
      <c r="T298" s="34">
        <v>42030</v>
      </c>
      <c r="U298" s="29">
        <v>-11.0732</v>
      </c>
      <c r="V298" s="26">
        <v>1</v>
      </c>
      <c r="W298" s="29">
        <v>2.77</v>
      </c>
      <c r="X298" s="26">
        <v>88726</v>
      </c>
      <c r="Y298" s="35">
        <v>125.89</v>
      </c>
      <c r="Z298" s="1" t="s">
        <v>3013</v>
      </c>
      <c r="AA298" s="36">
        <v>0.10439999999999999</v>
      </c>
      <c r="AB298" s="54">
        <v>1.3018999999999998</v>
      </c>
      <c r="AC298" s="54">
        <v>1.4681000000000002</v>
      </c>
      <c r="AD298" s="36">
        <v>9.6587999999999994</v>
      </c>
    </row>
    <row r="299" spans="1:30" s="37" customFormat="1" ht="15.75" customHeight="1" x14ac:dyDescent="0.2">
      <c r="A299" s="26">
        <v>2795</v>
      </c>
      <c r="B299" s="27" t="s">
        <v>791</v>
      </c>
      <c r="C299" s="27" t="s">
        <v>48</v>
      </c>
      <c r="D299" s="28">
        <v>0.05</v>
      </c>
      <c r="E299" s="29">
        <v>200.99</v>
      </c>
      <c r="F299" s="29">
        <v>4.2</v>
      </c>
      <c r="G299" s="30" t="s">
        <v>39</v>
      </c>
      <c r="H299" s="27" t="s">
        <v>94</v>
      </c>
      <c r="I299" s="27" t="s">
        <v>41</v>
      </c>
      <c r="J299" s="27" t="s">
        <v>135</v>
      </c>
      <c r="K299" s="27" t="s">
        <v>73</v>
      </c>
      <c r="L299" s="31" t="s">
        <v>794</v>
      </c>
      <c r="M299" s="32">
        <v>0.59</v>
      </c>
      <c r="N299" s="27" t="s">
        <v>33</v>
      </c>
      <c r="O299" s="27" t="s">
        <v>53</v>
      </c>
      <c r="P299" s="27" t="s">
        <v>213</v>
      </c>
      <c r="Q299" s="27" t="s">
        <v>793</v>
      </c>
      <c r="R299" s="33">
        <v>50401</v>
      </c>
      <c r="S299" s="34">
        <v>42030</v>
      </c>
      <c r="T299" s="34">
        <v>42034</v>
      </c>
      <c r="U299" s="29">
        <v>1630.5252</v>
      </c>
      <c r="V299" s="26">
        <v>14</v>
      </c>
      <c r="W299" s="29">
        <v>2363.08</v>
      </c>
      <c r="X299" s="26">
        <v>87556</v>
      </c>
      <c r="Y299" s="35">
        <v>14.31</v>
      </c>
      <c r="Z299" s="1" t="s">
        <v>3012</v>
      </c>
      <c r="AA299" s="36">
        <v>140.69300000000004</v>
      </c>
      <c r="AB299" s="54">
        <v>968.86279999999999</v>
      </c>
      <c r="AC299" s="54">
        <v>99.586942857142844</v>
      </c>
      <c r="AD299" s="36">
        <v>587.66179999999986</v>
      </c>
    </row>
    <row r="300" spans="1:30" s="37" customFormat="1" ht="15.75" customHeight="1" x14ac:dyDescent="0.2">
      <c r="A300" s="26">
        <v>3154</v>
      </c>
      <c r="B300" s="27" t="s">
        <v>781</v>
      </c>
      <c r="C300" s="27" t="s">
        <v>38</v>
      </c>
      <c r="D300" s="28">
        <v>0.08</v>
      </c>
      <c r="E300" s="29">
        <v>150.97999999999999</v>
      </c>
      <c r="F300" s="29">
        <v>13.99</v>
      </c>
      <c r="G300" s="30" t="s">
        <v>87</v>
      </c>
      <c r="H300" s="27" t="s">
        <v>94</v>
      </c>
      <c r="I300" s="27" t="s">
        <v>41</v>
      </c>
      <c r="J300" s="27" t="s">
        <v>57</v>
      </c>
      <c r="K300" s="27" t="s">
        <v>144</v>
      </c>
      <c r="L300" s="31" t="s">
        <v>782</v>
      </c>
      <c r="M300" s="32">
        <v>0.38</v>
      </c>
      <c r="N300" s="27" t="s">
        <v>33</v>
      </c>
      <c r="O300" s="27" t="s">
        <v>34</v>
      </c>
      <c r="P300" s="27" t="s">
        <v>123</v>
      </c>
      <c r="Q300" s="27" t="s">
        <v>783</v>
      </c>
      <c r="R300" s="33">
        <v>33710</v>
      </c>
      <c r="S300" s="34">
        <v>42030</v>
      </c>
      <c r="T300" s="34">
        <v>42031</v>
      </c>
      <c r="U300" s="29">
        <v>-3.948</v>
      </c>
      <c r="V300" s="26">
        <v>8</v>
      </c>
      <c r="W300" s="29">
        <v>1183.82</v>
      </c>
      <c r="X300" s="26">
        <v>86899</v>
      </c>
      <c r="Y300" s="35">
        <v>2.8800000000000003</v>
      </c>
      <c r="Z300" s="1" t="s">
        <v>3011</v>
      </c>
      <c r="AA300" s="36">
        <v>96.627200000000002</v>
      </c>
      <c r="AB300" s="54">
        <v>733.96839999999997</v>
      </c>
      <c r="AC300" s="54">
        <v>56.231449999999995</v>
      </c>
      <c r="AD300" s="36">
        <v>1077.1507999999999</v>
      </c>
    </row>
    <row r="301" spans="1:30" s="37" customFormat="1" ht="15.75" customHeight="1" x14ac:dyDescent="0.2">
      <c r="A301" s="26">
        <v>1946</v>
      </c>
      <c r="B301" s="27" t="s">
        <v>806</v>
      </c>
      <c r="C301" s="27" t="s">
        <v>116</v>
      </c>
      <c r="D301" s="28">
        <v>0.08</v>
      </c>
      <c r="E301" s="29">
        <v>90.98</v>
      </c>
      <c r="F301" s="29">
        <v>56.2</v>
      </c>
      <c r="G301" s="30" t="s">
        <v>39</v>
      </c>
      <c r="H301" s="27" t="s">
        <v>40</v>
      </c>
      <c r="I301" s="27" t="s">
        <v>29</v>
      </c>
      <c r="J301" s="27" t="s">
        <v>126</v>
      </c>
      <c r="K301" s="27" t="s">
        <v>144</v>
      </c>
      <c r="L301" s="31" t="s">
        <v>807</v>
      </c>
      <c r="M301" s="32">
        <v>0.74</v>
      </c>
      <c r="N301" s="27" t="s">
        <v>33</v>
      </c>
      <c r="O301" s="27" t="s">
        <v>111</v>
      </c>
      <c r="P301" s="27" t="s">
        <v>320</v>
      </c>
      <c r="Q301" s="27" t="s">
        <v>808</v>
      </c>
      <c r="R301" s="33">
        <v>15228</v>
      </c>
      <c r="S301" s="34">
        <v>42030</v>
      </c>
      <c r="T301" s="34">
        <v>42032</v>
      </c>
      <c r="U301" s="29">
        <v>-1920.9336000000001</v>
      </c>
      <c r="V301" s="26">
        <v>12</v>
      </c>
      <c r="W301" s="29">
        <v>1058.3599999999999</v>
      </c>
      <c r="X301" s="26">
        <v>86331</v>
      </c>
      <c r="Y301" s="35">
        <v>150.89999999999998</v>
      </c>
      <c r="Z301" s="1" t="s">
        <v>3014</v>
      </c>
      <c r="AA301" s="36">
        <v>87.340800000000002</v>
      </c>
      <c r="AB301" s="54">
        <v>275.17359999999996</v>
      </c>
      <c r="AC301" s="54">
        <v>65.265533333333323</v>
      </c>
      <c r="AD301" s="36">
        <v>2835.7528000000002</v>
      </c>
    </row>
    <row r="302" spans="1:30" s="37" customFormat="1" ht="15.75" customHeight="1" x14ac:dyDescent="0.2">
      <c r="A302" s="26">
        <v>2264</v>
      </c>
      <c r="B302" s="27" t="s">
        <v>813</v>
      </c>
      <c r="C302" s="27" t="s">
        <v>3094</v>
      </c>
      <c r="D302" s="28">
        <v>0.09</v>
      </c>
      <c r="E302" s="29">
        <v>207.48</v>
      </c>
      <c r="F302" s="29">
        <v>0.99</v>
      </c>
      <c r="G302" s="30" t="s">
        <v>39</v>
      </c>
      <c r="H302" s="27" t="s">
        <v>94</v>
      </c>
      <c r="I302" s="27" t="s">
        <v>49</v>
      </c>
      <c r="J302" s="27" t="s">
        <v>95</v>
      </c>
      <c r="K302" s="27" t="s">
        <v>73</v>
      </c>
      <c r="L302" s="31" t="s">
        <v>636</v>
      </c>
      <c r="M302" s="32">
        <v>0.55000000000000004</v>
      </c>
      <c r="N302" s="27" t="s">
        <v>33</v>
      </c>
      <c r="O302" s="27" t="s">
        <v>53</v>
      </c>
      <c r="P302" s="27" t="s">
        <v>80</v>
      </c>
      <c r="Q302" s="27" t="s">
        <v>814</v>
      </c>
      <c r="R302" s="33">
        <v>64804</v>
      </c>
      <c r="S302" s="34">
        <v>42030</v>
      </c>
      <c r="T302" s="34">
        <v>42033</v>
      </c>
      <c r="U302" s="29">
        <v>359.83</v>
      </c>
      <c r="V302" s="26">
        <v>3</v>
      </c>
      <c r="W302" s="29">
        <v>577.75</v>
      </c>
      <c r="X302" s="26">
        <v>86611</v>
      </c>
      <c r="Y302" s="35">
        <v>25.95</v>
      </c>
      <c r="Z302" s="1" t="s">
        <v>3012</v>
      </c>
      <c r="AA302" s="36">
        <v>56.019599999999997</v>
      </c>
      <c r="AB302" s="54">
        <v>259.98749999999995</v>
      </c>
      <c r="AC302" s="54">
        <v>105.92083333333335</v>
      </c>
      <c r="AD302" s="36">
        <v>160.91039999999998</v>
      </c>
    </row>
    <row r="303" spans="1:30" s="37" customFormat="1" ht="15.75" customHeight="1" x14ac:dyDescent="0.2">
      <c r="A303" s="26">
        <v>3314</v>
      </c>
      <c r="B303" s="27" t="s">
        <v>803</v>
      </c>
      <c r="C303" s="27" t="s">
        <v>48</v>
      </c>
      <c r="D303" s="28">
        <v>0.05</v>
      </c>
      <c r="E303" s="29">
        <v>122.99</v>
      </c>
      <c r="F303" s="29">
        <v>70.2</v>
      </c>
      <c r="G303" s="30" t="s">
        <v>27</v>
      </c>
      <c r="H303" s="27" t="s">
        <v>3095</v>
      </c>
      <c r="I303" s="27" t="s">
        <v>29</v>
      </c>
      <c r="J303" s="27" t="s">
        <v>109</v>
      </c>
      <c r="K303" s="27" t="s">
        <v>58</v>
      </c>
      <c r="L303" s="31" t="s">
        <v>804</v>
      </c>
      <c r="M303" s="32">
        <v>0.74</v>
      </c>
      <c r="N303" s="27" t="s">
        <v>33</v>
      </c>
      <c r="O303" s="27" t="s">
        <v>111</v>
      </c>
      <c r="P303" s="27" t="s">
        <v>397</v>
      </c>
      <c r="Q303" s="27" t="s">
        <v>805</v>
      </c>
      <c r="R303" s="33">
        <v>7024</v>
      </c>
      <c r="S303" s="34">
        <v>42030</v>
      </c>
      <c r="T303" s="34">
        <v>42034</v>
      </c>
      <c r="U303" s="29">
        <v>-722.23</v>
      </c>
      <c r="V303" s="26">
        <v>4</v>
      </c>
      <c r="W303" s="29">
        <v>498.31</v>
      </c>
      <c r="X303" s="26">
        <v>90462</v>
      </c>
      <c r="Y303" s="35">
        <v>32.379999999999995</v>
      </c>
      <c r="Z303" s="1" t="s">
        <v>3014</v>
      </c>
      <c r="AA303" s="36">
        <v>24.597999999999999</v>
      </c>
      <c r="AB303" s="54">
        <v>129.56059999999999</v>
      </c>
      <c r="AC303" s="54">
        <v>92.187349999999995</v>
      </c>
      <c r="AD303" s="36">
        <v>1125.742</v>
      </c>
    </row>
    <row r="304" spans="1:30" s="37" customFormat="1" ht="15.75" customHeight="1" x14ac:dyDescent="0.2">
      <c r="A304" s="26">
        <v>2795</v>
      </c>
      <c r="B304" s="27" t="s">
        <v>791</v>
      </c>
      <c r="C304" s="27" t="s">
        <v>48</v>
      </c>
      <c r="D304" s="28">
        <v>7.0000000000000007E-2</v>
      </c>
      <c r="E304" s="29">
        <v>195.99</v>
      </c>
      <c r="F304" s="29">
        <v>8.99</v>
      </c>
      <c r="G304" s="30" t="s">
        <v>39</v>
      </c>
      <c r="H304" s="27" t="s">
        <v>94</v>
      </c>
      <c r="I304" s="27" t="s">
        <v>41</v>
      </c>
      <c r="J304" s="27" t="s">
        <v>135</v>
      </c>
      <c r="K304" s="27" t="s">
        <v>73</v>
      </c>
      <c r="L304" s="31" t="s">
        <v>795</v>
      </c>
      <c r="M304" s="32">
        <v>0.57999999999999996</v>
      </c>
      <c r="N304" s="27" t="s">
        <v>33</v>
      </c>
      <c r="O304" s="27" t="s">
        <v>53</v>
      </c>
      <c r="P304" s="27" t="s">
        <v>213</v>
      </c>
      <c r="Q304" s="27" t="s">
        <v>793</v>
      </c>
      <c r="R304" s="33">
        <v>50401</v>
      </c>
      <c r="S304" s="34">
        <v>42030</v>
      </c>
      <c r="T304" s="34">
        <v>42030</v>
      </c>
      <c r="U304" s="29">
        <v>-457.16</v>
      </c>
      <c r="V304" s="26">
        <v>2</v>
      </c>
      <c r="W304" s="29">
        <v>328.45</v>
      </c>
      <c r="X304" s="26">
        <v>87556</v>
      </c>
      <c r="Y304" s="35">
        <v>4.9600000000000009</v>
      </c>
      <c r="Z304" s="1" t="s">
        <v>3012</v>
      </c>
      <c r="AA304" s="36">
        <v>27.438600000000005</v>
      </c>
      <c r="AB304" s="54">
        <v>137.94900000000001</v>
      </c>
      <c r="AC304" s="54">
        <v>95.250499999999988</v>
      </c>
      <c r="AD304" s="36">
        <v>749.18139999999994</v>
      </c>
    </row>
    <row r="305" spans="1:30" s="37" customFormat="1" ht="15.75" customHeight="1" x14ac:dyDescent="0.2">
      <c r="A305" s="26">
        <v>3155</v>
      </c>
      <c r="B305" s="27" t="s">
        <v>642</v>
      </c>
      <c r="C305" s="27" t="s">
        <v>38</v>
      </c>
      <c r="D305" s="28">
        <v>0.1</v>
      </c>
      <c r="E305" s="29">
        <v>32.479999999999997</v>
      </c>
      <c r="F305" s="29">
        <v>35</v>
      </c>
      <c r="G305" s="30" t="s">
        <v>39</v>
      </c>
      <c r="H305" s="27" t="s">
        <v>94</v>
      </c>
      <c r="I305" s="27" t="s">
        <v>49</v>
      </c>
      <c r="J305" s="27" t="s">
        <v>78</v>
      </c>
      <c r="K305" s="27" t="s">
        <v>65</v>
      </c>
      <c r="L305" s="31" t="s">
        <v>785</v>
      </c>
      <c r="M305" s="32">
        <v>0.81</v>
      </c>
      <c r="N305" s="27" t="s">
        <v>33</v>
      </c>
      <c r="O305" s="27" t="s">
        <v>34</v>
      </c>
      <c r="P305" s="27" t="s">
        <v>123</v>
      </c>
      <c r="Q305" s="27" t="s">
        <v>332</v>
      </c>
      <c r="R305" s="33">
        <v>32771</v>
      </c>
      <c r="S305" s="34">
        <v>42030</v>
      </c>
      <c r="T305" s="34">
        <v>42031</v>
      </c>
      <c r="U305" s="29">
        <v>-333.42540000000002</v>
      </c>
      <c r="V305" s="26">
        <v>10</v>
      </c>
      <c r="W305" s="29">
        <v>318.83</v>
      </c>
      <c r="X305" s="26">
        <v>86899</v>
      </c>
      <c r="Y305" s="35">
        <v>4.9600000000000009</v>
      </c>
      <c r="Z305" s="1" t="s">
        <v>3011</v>
      </c>
      <c r="AA305" s="36">
        <v>32.479999999999997</v>
      </c>
      <c r="AB305" s="54">
        <v>60.577699999999979</v>
      </c>
      <c r="AC305" s="54">
        <v>25.825230000000001</v>
      </c>
      <c r="AD305" s="36">
        <v>584.77539999999999</v>
      </c>
    </row>
    <row r="306" spans="1:30" s="37" customFormat="1" ht="15.75" customHeight="1" x14ac:dyDescent="0.2">
      <c r="A306" s="26">
        <v>1360</v>
      </c>
      <c r="B306" s="27" t="s">
        <v>776</v>
      </c>
      <c r="C306" s="27" t="s">
        <v>38</v>
      </c>
      <c r="D306" s="28">
        <v>0.03</v>
      </c>
      <c r="E306" s="29">
        <v>14.34</v>
      </c>
      <c r="F306" s="29">
        <v>5</v>
      </c>
      <c r="G306" s="30" t="s">
        <v>39</v>
      </c>
      <c r="H306" s="27" t="s">
        <v>40</v>
      </c>
      <c r="I306" s="27" t="s">
        <v>29</v>
      </c>
      <c r="J306" s="27" t="s">
        <v>126</v>
      </c>
      <c r="K306" s="27" t="s">
        <v>43</v>
      </c>
      <c r="L306" s="31" t="s">
        <v>777</v>
      </c>
      <c r="M306" s="32">
        <v>0.49</v>
      </c>
      <c r="N306" s="27" t="s">
        <v>33</v>
      </c>
      <c r="O306" s="27" t="s">
        <v>53</v>
      </c>
      <c r="P306" s="27" t="s">
        <v>213</v>
      </c>
      <c r="Q306" s="27" t="s">
        <v>778</v>
      </c>
      <c r="R306" s="33">
        <v>52761</v>
      </c>
      <c r="S306" s="34">
        <v>42030</v>
      </c>
      <c r="T306" s="34">
        <v>42031</v>
      </c>
      <c r="U306" s="29">
        <v>82.310100000000006</v>
      </c>
      <c r="V306" s="26">
        <v>8</v>
      </c>
      <c r="W306" s="29">
        <v>119.29</v>
      </c>
      <c r="X306" s="26">
        <v>89595</v>
      </c>
      <c r="Y306" s="35">
        <v>3.53</v>
      </c>
      <c r="Z306" s="1" t="s">
        <v>3012</v>
      </c>
      <c r="AA306" s="36">
        <v>3.4415999999999998</v>
      </c>
      <c r="AB306" s="54">
        <v>60.837900000000005</v>
      </c>
      <c r="AC306" s="54">
        <v>7.3065125000000002</v>
      </c>
      <c r="AD306" s="36">
        <v>28.538300000000007</v>
      </c>
    </row>
    <row r="307" spans="1:30" s="37" customFormat="1" ht="15.75" customHeight="1" x14ac:dyDescent="0.2">
      <c r="A307" s="26">
        <v>3361</v>
      </c>
      <c r="B307" s="27" t="s">
        <v>810</v>
      </c>
      <c r="C307" s="27" t="s">
        <v>116</v>
      </c>
      <c r="D307" s="28">
        <v>0.04</v>
      </c>
      <c r="E307" s="29">
        <v>7.96</v>
      </c>
      <c r="F307" s="29">
        <v>4.95</v>
      </c>
      <c r="G307" s="30" t="s">
        <v>39</v>
      </c>
      <c r="H307" s="27" t="s">
        <v>71</v>
      </c>
      <c r="I307" s="27" t="s">
        <v>29</v>
      </c>
      <c r="J307" s="27" t="s">
        <v>126</v>
      </c>
      <c r="K307" s="27" t="s">
        <v>73</v>
      </c>
      <c r="L307" s="31" t="s">
        <v>811</v>
      </c>
      <c r="M307" s="32">
        <v>0.41</v>
      </c>
      <c r="N307" s="27" t="s">
        <v>33</v>
      </c>
      <c r="O307" s="27" t="s">
        <v>53</v>
      </c>
      <c r="P307" s="27" t="s">
        <v>357</v>
      </c>
      <c r="Q307" s="27" t="s">
        <v>812</v>
      </c>
      <c r="R307" s="33">
        <v>53095</v>
      </c>
      <c r="S307" s="34">
        <v>42030</v>
      </c>
      <c r="T307" s="34">
        <v>42030</v>
      </c>
      <c r="U307" s="29">
        <v>-7.73</v>
      </c>
      <c r="V307" s="26">
        <v>15</v>
      </c>
      <c r="W307" s="29">
        <v>116.11</v>
      </c>
      <c r="X307" s="26">
        <v>91436</v>
      </c>
      <c r="Y307" s="35">
        <v>200.94</v>
      </c>
      <c r="Z307" s="1" t="s">
        <v>3012</v>
      </c>
      <c r="AA307" s="36">
        <v>4.7759999999999998</v>
      </c>
      <c r="AB307" s="54">
        <v>68.504900000000006</v>
      </c>
      <c r="AC307" s="54">
        <v>3.1736733333333333</v>
      </c>
      <c r="AD307" s="36">
        <v>114.114</v>
      </c>
    </row>
    <row r="308" spans="1:30" s="37" customFormat="1" ht="15.75" customHeight="1" x14ac:dyDescent="0.2">
      <c r="A308" s="26">
        <v>3155</v>
      </c>
      <c r="B308" s="27" t="s">
        <v>642</v>
      </c>
      <c r="C308" s="27" t="s">
        <v>38</v>
      </c>
      <c r="D308" s="28">
        <v>0.03</v>
      </c>
      <c r="E308" s="29">
        <v>25.98</v>
      </c>
      <c r="F308" s="29">
        <v>14.36</v>
      </c>
      <c r="G308" s="30" t="s">
        <v>27</v>
      </c>
      <c r="H308" s="27" t="s">
        <v>94</v>
      </c>
      <c r="I308" s="27" t="s">
        <v>29</v>
      </c>
      <c r="J308" s="27" t="s">
        <v>109</v>
      </c>
      <c r="K308" s="27" t="s">
        <v>58</v>
      </c>
      <c r="L308" s="31" t="s">
        <v>784</v>
      </c>
      <c r="M308" s="32">
        <v>0.6</v>
      </c>
      <c r="N308" s="27" t="s">
        <v>33</v>
      </c>
      <c r="O308" s="27" t="s">
        <v>34</v>
      </c>
      <c r="P308" s="27" t="s">
        <v>123</v>
      </c>
      <c r="Q308" s="27" t="s">
        <v>332</v>
      </c>
      <c r="R308" s="33">
        <v>32771</v>
      </c>
      <c r="S308" s="34">
        <v>42030</v>
      </c>
      <c r="T308" s="34">
        <v>42031</v>
      </c>
      <c r="U308" s="29">
        <v>57.545999999999999</v>
      </c>
      <c r="V308" s="26">
        <v>4</v>
      </c>
      <c r="W308" s="29">
        <v>107.66</v>
      </c>
      <c r="X308" s="26">
        <v>86899</v>
      </c>
      <c r="Y308" s="35">
        <v>195.92000000000002</v>
      </c>
      <c r="Z308" s="1" t="s">
        <v>3011</v>
      </c>
      <c r="AA308" s="36">
        <v>3.1175999999999999</v>
      </c>
      <c r="AB308" s="54">
        <v>43.064</v>
      </c>
      <c r="AC308" s="54">
        <v>16.148999999999997</v>
      </c>
      <c r="AD308" s="36">
        <v>32.636399999999995</v>
      </c>
    </row>
    <row r="309" spans="1:30" s="37" customFormat="1" ht="15.75" customHeight="1" x14ac:dyDescent="0.2">
      <c r="A309" s="26">
        <v>1129</v>
      </c>
      <c r="B309" s="27" t="s">
        <v>786</v>
      </c>
      <c r="C309" s="27" t="s">
        <v>48</v>
      </c>
      <c r="D309" s="28">
        <v>0.02</v>
      </c>
      <c r="E309" s="29">
        <v>4.9800000000000004</v>
      </c>
      <c r="F309" s="29">
        <v>6.07</v>
      </c>
      <c r="G309" s="30" t="s">
        <v>39</v>
      </c>
      <c r="H309" s="27" t="s">
        <v>71</v>
      </c>
      <c r="I309" s="27" t="s">
        <v>49</v>
      </c>
      <c r="J309" s="27" t="s">
        <v>88</v>
      </c>
      <c r="K309" s="27" t="s">
        <v>73</v>
      </c>
      <c r="L309" s="31" t="s">
        <v>787</v>
      </c>
      <c r="M309" s="32">
        <v>0.36</v>
      </c>
      <c r="N309" s="27" t="s">
        <v>33</v>
      </c>
      <c r="O309" s="27" t="s">
        <v>111</v>
      </c>
      <c r="P309" s="27" t="s">
        <v>403</v>
      </c>
      <c r="Q309" s="27" t="s">
        <v>788</v>
      </c>
      <c r="R309" s="33">
        <v>2118</v>
      </c>
      <c r="S309" s="34">
        <v>42030</v>
      </c>
      <c r="T309" s="34">
        <v>42032</v>
      </c>
      <c r="U309" s="29">
        <v>-46.92</v>
      </c>
      <c r="V309" s="26">
        <v>19</v>
      </c>
      <c r="W309" s="29">
        <v>105.5</v>
      </c>
      <c r="X309" s="26">
        <v>57794</v>
      </c>
      <c r="Y309" s="35">
        <v>10.130000000000001</v>
      </c>
      <c r="Z309" s="1" t="s">
        <v>3014</v>
      </c>
      <c r="AA309" s="36">
        <v>1.8924000000000001</v>
      </c>
      <c r="AB309" s="54">
        <v>67.52</v>
      </c>
      <c r="AC309" s="54">
        <v>1.9989473684210524</v>
      </c>
      <c r="AD309" s="36">
        <v>144.45760000000001</v>
      </c>
    </row>
    <row r="310" spans="1:30" s="37" customFormat="1" ht="15.75" customHeight="1" x14ac:dyDescent="0.2">
      <c r="A310" s="26">
        <v>3307</v>
      </c>
      <c r="B310" s="27" t="s">
        <v>798</v>
      </c>
      <c r="C310" s="27" t="s">
        <v>48</v>
      </c>
      <c r="D310" s="28">
        <v>7.0000000000000007E-2</v>
      </c>
      <c r="E310" s="29">
        <v>16.739999999999998</v>
      </c>
      <c r="F310" s="29">
        <v>7.04</v>
      </c>
      <c r="G310" s="30" t="s">
        <v>39</v>
      </c>
      <c r="H310" s="27" t="s">
        <v>3095</v>
      </c>
      <c r="I310" s="27" t="s">
        <v>49</v>
      </c>
      <c r="J310" s="27" t="s">
        <v>78</v>
      </c>
      <c r="K310" s="27" t="s">
        <v>73</v>
      </c>
      <c r="L310" s="31" t="s">
        <v>799</v>
      </c>
      <c r="M310" s="32">
        <v>0.81</v>
      </c>
      <c r="N310" s="27" t="s">
        <v>33</v>
      </c>
      <c r="O310" s="27" t="s">
        <v>111</v>
      </c>
      <c r="P310" s="27" t="s">
        <v>403</v>
      </c>
      <c r="Q310" s="27" t="s">
        <v>800</v>
      </c>
      <c r="R310" s="33">
        <v>1001</v>
      </c>
      <c r="S310" s="34">
        <v>42030</v>
      </c>
      <c r="T310" s="34">
        <v>42037</v>
      </c>
      <c r="U310" s="29">
        <v>-114.2</v>
      </c>
      <c r="V310" s="26">
        <v>5</v>
      </c>
      <c r="W310" s="29">
        <v>80.58</v>
      </c>
      <c r="X310" s="26">
        <v>90462</v>
      </c>
      <c r="Y310" s="35">
        <v>16.669999999999998</v>
      </c>
      <c r="Z310" s="1" t="s">
        <v>3014</v>
      </c>
      <c r="AA310" s="36">
        <v>5.859</v>
      </c>
      <c r="AB310" s="54">
        <v>15.310199999999995</v>
      </c>
      <c r="AC310" s="54">
        <v>13.05396</v>
      </c>
      <c r="AD310" s="36">
        <v>181.881</v>
      </c>
    </row>
    <row r="311" spans="1:30" s="37" customFormat="1" ht="15.75" customHeight="1" x14ac:dyDescent="0.2">
      <c r="A311" s="26">
        <v>3311</v>
      </c>
      <c r="B311" s="27" t="s">
        <v>801</v>
      </c>
      <c r="C311" s="27" t="s">
        <v>48</v>
      </c>
      <c r="D311" s="28">
        <v>0.06</v>
      </c>
      <c r="E311" s="29">
        <v>6.45</v>
      </c>
      <c r="F311" s="29">
        <v>1.34</v>
      </c>
      <c r="G311" s="30" t="s">
        <v>39</v>
      </c>
      <c r="H311" s="27" t="s">
        <v>3095</v>
      </c>
      <c r="I311" s="27" t="s">
        <v>49</v>
      </c>
      <c r="J311" s="27" t="s">
        <v>88</v>
      </c>
      <c r="K311" s="27" t="s">
        <v>51</v>
      </c>
      <c r="L311" s="31" t="s">
        <v>486</v>
      </c>
      <c r="M311" s="32">
        <v>0.36</v>
      </c>
      <c r="N311" s="27" t="s">
        <v>33</v>
      </c>
      <c r="O311" s="27" t="s">
        <v>111</v>
      </c>
      <c r="P311" s="27" t="s">
        <v>403</v>
      </c>
      <c r="Q311" s="27" t="s">
        <v>802</v>
      </c>
      <c r="R311" s="33">
        <v>1890</v>
      </c>
      <c r="S311" s="34">
        <v>42030</v>
      </c>
      <c r="T311" s="34">
        <v>42035</v>
      </c>
      <c r="U311" s="29">
        <v>39.426600000000001</v>
      </c>
      <c r="V311" s="26">
        <v>9</v>
      </c>
      <c r="W311" s="29">
        <v>57.14</v>
      </c>
      <c r="X311" s="26">
        <v>90462</v>
      </c>
      <c r="Y311" s="35">
        <v>6.3900000000000006</v>
      </c>
      <c r="Z311" s="1" t="s">
        <v>3014</v>
      </c>
      <c r="AA311" s="36">
        <v>3.4830000000000001</v>
      </c>
      <c r="AB311" s="54">
        <v>36.569600000000001</v>
      </c>
      <c r="AC311" s="54">
        <v>2.2856000000000001</v>
      </c>
      <c r="AD311" s="36">
        <v>12.8904</v>
      </c>
    </row>
    <row r="312" spans="1:30" s="37" customFormat="1" ht="15.75" customHeight="1" x14ac:dyDescent="0.2">
      <c r="A312" s="26">
        <v>3000</v>
      </c>
      <c r="B312" s="27" t="s">
        <v>796</v>
      </c>
      <c r="C312" s="27" t="s">
        <v>48</v>
      </c>
      <c r="D312" s="28">
        <v>0.01</v>
      </c>
      <c r="E312" s="29">
        <v>10.14</v>
      </c>
      <c r="F312" s="29">
        <v>2.27</v>
      </c>
      <c r="G312" s="30" t="s">
        <v>39</v>
      </c>
      <c r="H312" s="27" t="s">
        <v>40</v>
      </c>
      <c r="I312" s="27" t="s">
        <v>49</v>
      </c>
      <c r="J312" s="27" t="s">
        <v>88</v>
      </c>
      <c r="K312" s="27" t="s">
        <v>51</v>
      </c>
      <c r="L312" s="31" t="s">
        <v>171</v>
      </c>
      <c r="M312" s="32">
        <v>0.36</v>
      </c>
      <c r="N312" s="27" t="s">
        <v>33</v>
      </c>
      <c r="O312" s="27" t="s">
        <v>53</v>
      </c>
      <c r="P312" s="27" t="s">
        <v>289</v>
      </c>
      <c r="Q312" s="27" t="s">
        <v>797</v>
      </c>
      <c r="R312" s="33">
        <v>48342</v>
      </c>
      <c r="S312" s="34">
        <v>42030</v>
      </c>
      <c r="T312" s="34">
        <v>42032</v>
      </c>
      <c r="U312" s="29">
        <v>28.152000000000001</v>
      </c>
      <c r="V312" s="26">
        <v>4</v>
      </c>
      <c r="W312" s="29">
        <v>40.799999999999997</v>
      </c>
      <c r="X312" s="26">
        <v>87042</v>
      </c>
      <c r="Y312" s="35">
        <v>122.94</v>
      </c>
      <c r="Z312" s="1" t="s">
        <v>3012</v>
      </c>
      <c r="AA312" s="36">
        <v>0.40560000000000002</v>
      </c>
      <c r="AB312" s="54">
        <v>26.111999999999998</v>
      </c>
      <c r="AC312" s="54">
        <v>3.6719999999999997</v>
      </c>
      <c r="AD312" s="36">
        <v>9.9723999999999968</v>
      </c>
    </row>
    <row r="313" spans="1:30" s="37" customFormat="1" ht="15.75" customHeight="1" x14ac:dyDescent="0.2">
      <c r="A313" s="26">
        <v>2795</v>
      </c>
      <c r="B313" s="27" t="s">
        <v>791</v>
      </c>
      <c r="C313" s="27" t="s">
        <v>48</v>
      </c>
      <c r="D313" s="28">
        <v>0.04</v>
      </c>
      <c r="E313" s="29">
        <v>3.57</v>
      </c>
      <c r="F313" s="29">
        <v>4.17</v>
      </c>
      <c r="G313" s="30" t="s">
        <v>39</v>
      </c>
      <c r="H313" s="27" t="s">
        <v>94</v>
      </c>
      <c r="I313" s="27" t="s">
        <v>49</v>
      </c>
      <c r="J313" s="27" t="s">
        <v>50</v>
      </c>
      <c r="K313" s="27" t="s">
        <v>43</v>
      </c>
      <c r="L313" s="31" t="s">
        <v>792</v>
      </c>
      <c r="M313" s="32">
        <v>0.59</v>
      </c>
      <c r="N313" s="27" t="s">
        <v>33</v>
      </c>
      <c r="O313" s="27" t="s">
        <v>53</v>
      </c>
      <c r="P313" s="27" t="s">
        <v>213</v>
      </c>
      <c r="Q313" s="27" t="s">
        <v>793</v>
      </c>
      <c r="R313" s="33">
        <v>50401</v>
      </c>
      <c r="S313" s="34">
        <v>42030</v>
      </c>
      <c r="T313" s="34">
        <v>42032</v>
      </c>
      <c r="U313" s="29">
        <v>-69.91</v>
      </c>
      <c r="V313" s="26">
        <v>8</v>
      </c>
      <c r="W313" s="29">
        <v>30.9</v>
      </c>
      <c r="X313" s="26">
        <v>87556</v>
      </c>
      <c r="Y313" s="35">
        <v>90.9</v>
      </c>
      <c r="Z313" s="1" t="s">
        <v>3012</v>
      </c>
      <c r="AA313" s="36">
        <v>1.1424000000000001</v>
      </c>
      <c r="AB313" s="54">
        <v>12.669</v>
      </c>
      <c r="AC313" s="54">
        <v>2.2788749999999998</v>
      </c>
      <c r="AD313" s="36">
        <v>95.497600000000006</v>
      </c>
    </row>
    <row r="314" spans="1:30" s="37" customFormat="1" ht="15.75" customHeight="1" x14ac:dyDescent="0.2">
      <c r="A314" s="26">
        <v>1133</v>
      </c>
      <c r="B314" s="27" t="s">
        <v>789</v>
      </c>
      <c r="C314" s="27" t="s">
        <v>48</v>
      </c>
      <c r="D314" s="28">
        <v>0.02</v>
      </c>
      <c r="E314" s="29">
        <v>4.9800000000000004</v>
      </c>
      <c r="F314" s="29">
        <v>6.07</v>
      </c>
      <c r="G314" s="30" t="s">
        <v>39</v>
      </c>
      <c r="H314" s="27" t="s">
        <v>71</v>
      </c>
      <c r="I314" s="27" t="s">
        <v>49</v>
      </c>
      <c r="J314" s="27" t="s">
        <v>88</v>
      </c>
      <c r="K314" s="27" t="s">
        <v>73</v>
      </c>
      <c r="L314" s="31" t="s">
        <v>787</v>
      </c>
      <c r="M314" s="32">
        <v>0.36</v>
      </c>
      <c r="N314" s="27" t="s">
        <v>33</v>
      </c>
      <c r="O314" s="27" t="s">
        <v>53</v>
      </c>
      <c r="P314" s="27" t="s">
        <v>187</v>
      </c>
      <c r="Q314" s="27" t="s">
        <v>790</v>
      </c>
      <c r="R314" s="33">
        <v>75234</v>
      </c>
      <c r="S314" s="34">
        <v>42030</v>
      </c>
      <c r="T314" s="34">
        <v>42032</v>
      </c>
      <c r="U314" s="29">
        <v>-46.92</v>
      </c>
      <c r="V314" s="26">
        <v>5</v>
      </c>
      <c r="W314" s="29">
        <v>27.76</v>
      </c>
      <c r="X314" s="26">
        <v>88105</v>
      </c>
      <c r="Y314" s="35">
        <v>5.91</v>
      </c>
      <c r="Z314" s="1" t="s">
        <v>3012</v>
      </c>
      <c r="AA314" s="36">
        <v>0.49800000000000005</v>
      </c>
      <c r="AB314" s="54">
        <v>17.766400000000001</v>
      </c>
      <c r="AC314" s="54">
        <v>1.9987200000000001</v>
      </c>
      <c r="AD314" s="36">
        <v>68.112000000000009</v>
      </c>
    </row>
    <row r="315" spans="1:30" s="37" customFormat="1" ht="15.75" customHeight="1" x14ac:dyDescent="0.2">
      <c r="A315" s="26">
        <v>1946</v>
      </c>
      <c r="B315" s="27" t="s">
        <v>806</v>
      </c>
      <c r="C315" s="27" t="s">
        <v>116</v>
      </c>
      <c r="D315" s="28">
        <v>7.0000000000000007E-2</v>
      </c>
      <c r="E315" s="29">
        <v>5.98</v>
      </c>
      <c r="F315" s="29">
        <v>5.35</v>
      </c>
      <c r="G315" s="30" t="s">
        <v>39</v>
      </c>
      <c r="H315" s="27" t="s">
        <v>40</v>
      </c>
      <c r="I315" s="27" t="s">
        <v>49</v>
      </c>
      <c r="J315" s="27" t="s">
        <v>88</v>
      </c>
      <c r="K315" s="27" t="s">
        <v>73</v>
      </c>
      <c r="L315" s="31" t="s">
        <v>809</v>
      </c>
      <c r="M315" s="32">
        <v>0.4</v>
      </c>
      <c r="N315" s="27" t="s">
        <v>33</v>
      </c>
      <c r="O315" s="27" t="s">
        <v>111</v>
      </c>
      <c r="P315" s="27" t="s">
        <v>320</v>
      </c>
      <c r="Q315" s="27" t="s">
        <v>808</v>
      </c>
      <c r="R315" s="33">
        <v>15228</v>
      </c>
      <c r="S315" s="34">
        <v>42030</v>
      </c>
      <c r="T315" s="34">
        <v>42032</v>
      </c>
      <c r="U315" s="29">
        <v>-37.175199999999997</v>
      </c>
      <c r="V315" s="26">
        <v>3</v>
      </c>
      <c r="W315" s="29">
        <v>18.309999999999999</v>
      </c>
      <c r="X315" s="26">
        <v>86331</v>
      </c>
      <c r="Y315" s="35">
        <v>7.92</v>
      </c>
      <c r="Z315" s="1" t="s">
        <v>3014</v>
      </c>
      <c r="AA315" s="36">
        <v>1.2558000000000002</v>
      </c>
      <c r="AB315" s="54">
        <v>10.985999999999999</v>
      </c>
      <c r="AC315" s="54">
        <v>2.4413333333333331</v>
      </c>
      <c r="AD315" s="36">
        <v>48.87939999999999</v>
      </c>
    </row>
    <row r="316" spans="1:30" s="37" customFormat="1" ht="15.75" customHeight="1" x14ac:dyDescent="0.2">
      <c r="A316" s="26">
        <v>1361</v>
      </c>
      <c r="B316" s="27" t="s">
        <v>779</v>
      </c>
      <c r="C316" s="27" t="s">
        <v>38</v>
      </c>
      <c r="D316" s="28">
        <v>0.01</v>
      </c>
      <c r="E316" s="29">
        <v>2.89</v>
      </c>
      <c r="F316" s="29">
        <v>0.5</v>
      </c>
      <c r="G316" s="30" t="s">
        <v>39</v>
      </c>
      <c r="H316" s="27" t="s">
        <v>40</v>
      </c>
      <c r="I316" s="27" t="s">
        <v>49</v>
      </c>
      <c r="J316" s="27" t="s">
        <v>152</v>
      </c>
      <c r="K316" s="27" t="s">
        <v>73</v>
      </c>
      <c r="L316" s="31" t="s">
        <v>729</v>
      </c>
      <c r="M316" s="32">
        <v>0.38</v>
      </c>
      <c r="N316" s="27" t="s">
        <v>33</v>
      </c>
      <c r="O316" s="27" t="s">
        <v>53</v>
      </c>
      <c r="P316" s="27" t="s">
        <v>289</v>
      </c>
      <c r="Q316" s="27" t="s">
        <v>780</v>
      </c>
      <c r="R316" s="33">
        <v>48101</v>
      </c>
      <c r="S316" s="34">
        <v>42030</v>
      </c>
      <c r="T316" s="34">
        <v>42032</v>
      </c>
      <c r="U316" s="29">
        <v>1.2236</v>
      </c>
      <c r="V316" s="26">
        <v>1</v>
      </c>
      <c r="W316" s="29">
        <v>3.08</v>
      </c>
      <c r="X316" s="26">
        <v>89595</v>
      </c>
      <c r="Y316" s="35">
        <v>207.39</v>
      </c>
      <c r="Z316" s="1" t="s">
        <v>3012</v>
      </c>
      <c r="AA316" s="36">
        <v>2.8900000000000002E-2</v>
      </c>
      <c r="AB316" s="54">
        <v>1.9096</v>
      </c>
      <c r="AC316" s="54">
        <v>1.1704000000000001</v>
      </c>
      <c r="AD316" s="36">
        <v>1.3275000000000001</v>
      </c>
    </row>
    <row r="317" spans="1:30" s="37" customFormat="1" ht="15.75" customHeight="1" x14ac:dyDescent="0.2">
      <c r="A317" s="26">
        <v>2281</v>
      </c>
      <c r="B317" s="27" t="s">
        <v>837</v>
      </c>
      <c r="C317" s="27" t="s">
        <v>3094</v>
      </c>
      <c r="D317" s="28">
        <v>0.08</v>
      </c>
      <c r="E317" s="29">
        <v>205.99</v>
      </c>
      <c r="F317" s="29">
        <v>2.5</v>
      </c>
      <c r="G317" s="30" t="s">
        <v>39</v>
      </c>
      <c r="H317" s="27" t="s">
        <v>71</v>
      </c>
      <c r="I317" s="27" t="s">
        <v>41</v>
      </c>
      <c r="J317" s="27" t="s">
        <v>135</v>
      </c>
      <c r="K317" s="27" t="s">
        <v>73</v>
      </c>
      <c r="L317" s="31" t="s">
        <v>838</v>
      </c>
      <c r="M317" s="32">
        <v>0.59</v>
      </c>
      <c r="N317" s="27" t="s">
        <v>33</v>
      </c>
      <c r="O317" s="27" t="s">
        <v>53</v>
      </c>
      <c r="P317" s="27" t="s">
        <v>357</v>
      </c>
      <c r="Q317" s="27" t="s">
        <v>839</v>
      </c>
      <c r="R317" s="33">
        <v>54703</v>
      </c>
      <c r="S317" s="34">
        <v>42031</v>
      </c>
      <c r="T317" s="34">
        <v>42032</v>
      </c>
      <c r="U317" s="29">
        <v>997.38144</v>
      </c>
      <c r="V317" s="26">
        <v>10</v>
      </c>
      <c r="W317" s="29">
        <v>1610.84</v>
      </c>
      <c r="X317" s="26">
        <v>85948</v>
      </c>
      <c r="Y317" s="35">
        <v>11.940000000000001</v>
      </c>
      <c r="Z317" s="1" t="s">
        <v>3012</v>
      </c>
      <c r="AA317" s="36">
        <v>164.79200000000003</v>
      </c>
      <c r="AB317" s="54">
        <v>660.44439999999997</v>
      </c>
      <c r="AC317" s="54">
        <v>95.039559999999994</v>
      </c>
      <c r="AD317" s="36">
        <v>446.16655999999989</v>
      </c>
    </row>
    <row r="318" spans="1:30" s="37" customFormat="1" ht="15.75" customHeight="1" x14ac:dyDescent="0.2">
      <c r="A318" s="26">
        <v>1351</v>
      </c>
      <c r="B318" s="27" t="s">
        <v>834</v>
      </c>
      <c r="C318" s="27" t="s">
        <v>3094</v>
      </c>
      <c r="D318" s="28">
        <v>0.1</v>
      </c>
      <c r="E318" s="29">
        <v>110.99</v>
      </c>
      <c r="F318" s="29">
        <v>8.99</v>
      </c>
      <c r="G318" s="30" t="s">
        <v>87</v>
      </c>
      <c r="H318" s="27" t="s">
        <v>71</v>
      </c>
      <c r="I318" s="27" t="s">
        <v>41</v>
      </c>
      <c r="J318" s="27" t="s">
        <v>135</v>
      </c>
      <c r="K318" s="27" t="s">
        <v>73</v>
      </c>
      <c r="L318" s="31" t="s">
        <v>835</v>
      </c>
      <c r="M318" s="32">
        <v>0.56999999999999995</v>
      </c>
      <c r="N318" s="27" t="s">
        <v>33</v>
      </c>
      <c r="O318" s="27" t="s">
        <v>34</v>
      </c>
      <c r="P318" s="27" t="s">
        <v>123</v>
      </c>
      <c r="Q318" s="27" t="s">
        <v>836</v>
      </c>
      <c r="R318" s="33">
        <v>33063</v>
      </c>
      <c r="S318" s="34">
        <v>42031</v>
      </c>
      <c r="T318" s="34">
        <v>42033</v>
      </c>
      <c r="U318" s="29">
        <v>3285.48</v>
      </c>
      <c r="V318" s="26">
        <v>7</v>
      </c>
      <c r="W318" s="29">
        <v>627.78</v>
      </c>
      <c r="X318" s="26">
        <v>88232</v>
      </c>
      <c r="Y318" s="35">
        <v>2.85</v>
      </c>
      <c r="Z318" s="1" t="s">
        <v>3011</v>
      </c>
      <c r="AA318" s="36">
        <v>77.692999999999998</v>
      </c>
      <c r="AB318" s="54">
        <v>269.94540000000001</v>
      </c>
      <c r="AC318" s="54">
        <v>51.119228571428572</v>
      </c>
      <c r="AD318" s="36">
        <v>-2744.3829999999998</v>
      </c>
    </row>
    <row r="319" spans="1:30" s="37" customFormat="1" ht="15.75" customHeight="1" x14ac:dyDescent="0.2">
      <c r="A319" s="26">
        <v>898</v>
      </c>
      <c r="B319" s="27" t="s">
        <v>424</v>
      </c>
      <c r="C319" s="27" t="s">
        <v>3094</v>
      </c>
      <c r="D319" s="28">
        <v>0.02</v>
      </c>
      <c r="E319" s="29">
        <v>12.53</v>
      </c>
      <c r="F319" s="29">
        <v>0.49</v>
      </c>
      <c r="G319" s="30" t="s">
        <v>39</v>
      </c>
      <c r="H319" s="27" t="s">
        <v>3095</v>
      </c>
      <c r="I319" s="27" t="s">
        <v>49</v>
      </c>
      <c r="J319" s="27" t="s">
        <v>152</v>
      </c>
      <c r="K319" s="27" t="s">
        <v>73</v>
      </c>
      <c r="L319" s="31" t="s">
        <v>153</v>
      </c>
      <c r="M319" s="32">
        <v>0.38</v>
      </c>
      <c r="N319" s="27" t="s">
        <v>33</v>
      </c>
      <c r="O319" s="27" t="s">
        <v>111</v>
      </c>
      <c r="P319" s="27" t="s">
        <v>112</v>
      </c>
      <c r="Q319" s="27" t="s">
        <v>113</v>
      </c>
      <c r="R319" s="33">
        <v>10039</v>
      </c>
      <c r="S319" s="34">
        <v>42031</v>
      </c>
      <c r="T319" s="34">
        <v>42031</v>
      </c>
      <c r="U319" s="29">
        <v>263.39999999999998</v>
      </c>
      <c r="V319" s="26">
        <v>47</v>
      </c>
      <c r="W319" s="29">
        <v>594.44000000000005</v>
      </c>
      <c r="X319" s="26">
        <v>9606</v>
      </c>
      <c r="Y319" s="35">
        <v>43.949999999999996</v>
      </c>
      <c r="Z319" s="1" t="s">
        <v>3014</v>
      </c>
      <c r="AA319" s="36">
        <v>11.7782</v>
      </c>
      <c r="AB319" s="54">
        <v>368.55280000000005</v>
      </c>
      <c r="AC319" s="54">
        <v>4.8061106382978727</v>
      </c>
      <c r="AD319" s="36">
        <v>318.77180000000004</v>
      </c>
    </row>
    <row r="320" spans="1:30" s="37" customFormat="1" ht="15.75" customHeight="1" x14ac:dyDescent="0.2">
      <c r="A320" s="26">
        <v>2980</v>
      </c>
      <c r="B320" s="27" t="s">
        <v>821</v>
      </c>
      <c r="C320" s="27" t="s">
        <v>26</v>
      </c>
      <c r="D320" s="28">
        <v>0.03</v>
      </c>
      <c r="E320" s="29">
        <v>43.98</v>
      </c>
      <c r="F320" s="29">
        <v>8.99</v>
      </c>
      <c r="G320" s="30" t="s">
        <v>39</v>
      </c>
      <c r="H320" s="27" t="s">
        <v>94</v>
      </c>
      <c r="I320" s="27" t="s">
        <v>49</v>
      </c>
      <c r="J320" s="27" t="s">
        <v>50</v>
      </c>
      <c r="K320" s="27" t="s">
        <v>43</v>
      </c>
      <c r="L320" s="31" t="s">
        <v>822</v>
      </c>
      <c r="M320" s="32">
        <v>0.57999999999999996</v>
      </c>
      <c r="N320" s="27" t="s">
        <v>33</v>
      </c>
      <c r="O320" s="27" t="s">
        <v>111</v>
      </c>
      <c r="P320" s="27" t="s">
        <v>317</v>
      </c>
      <c r="Q320" s="27" t="s">
        <v>823</v>
      </c>
      <c r="R320" s="33">
        <v>44870</v>
      </c>
      <c r="S320" s="34">
        <v>42031</v>
      </c>
      <c r="T320" s="34">
        <v>42033</v>
      </c>
      <c r="U320" s="29">
        <v>274.0788</v>
      </c>
      <c r="V320" s="26">
        <v>10</v>
      </c>
      <c r="W320" s="29">
        <v>454.4</v>
      </c>
      <c r="X320" s="26">
        <v>86544</v>
      </c>
      <c r="Y320" s="35">
        <v>1.0799999999999998</v>
      </c>
      <c r="Z320" s="1" t="s">
        <v>3014</v>
      </c>
      <c r="AA320" s="36">
        <v>13.193999999999999</v>
      </c>
      <c r="AB320" s="54">
        <v>190.84800000000001</v>
      </c>
      <c r="AC320" s="54">
        <v>26.355199999999996</v>
      </c>
      <c r="AD320" s="36">
        <v>158.13719999999995</v>
      </c>
    </row>
    <row r="321" spans="1:30" s="37" customFormat="1" ht="15.75" customHeight="1" x14ac:dyDescent="0.2">
      <c r="A321" s="26">
        <v>898</v>
      </c>
      <c r="B321" s="27" t="s">
        <v>424</v>
      </c>
      <c r="C321" s="27" t="s">
        <v>3094</v>
      </c>
      <c r="D321" s="28">
        <v>7.0000000000000007E-2</v>
      </c>
      <c r="E321" s="29">
        <v>5.18</v>
      </c>
      <c r="F321" s="29">
        <v>2.04</v>
      </c>
      <c r="G321" s="30" t="s">
        <v>87</v>
      </c>
      <c r="H321" s="27" t="s">
        <v>3095</v>
      </c>
      <c r="I321" s="27" t="s">
        <v>49</v>
      </c>
      <c r="J321" s="27" t="s">
        <v>88</v>
      </c>
      <c r="K321" s="27" t="s">
        <v>51</v>
      </c>
      <c r="L321" s="31" t="s">
        <v>833</v>
      </c>
      <c r="M321" s="32">
        <v>0.36</v>
      </c>
      <c r="N321" s="27" t="s">
        <v>33</v>
      </c>
      <c r="O321" s="27" t="s">
        <v>111</v>
      </c>
      <c r="P321" s="27" t="s">
        <v>112</v>
      </c>
      <c r="Q321" s="27" t="s">
        <v>113</v>
      </c>
      <c r="R321" s="33">
        <v>10039</v>
      </c>
      <c r="S321" s="34">
        <v>42031</v>
      </c>
      <c r="T321" s="34">
        <v>42033</v>
      </c>
      <c r="U321" s="29">
        <v>37.31</v>
      </c>
      <c r="V321" s="26">
        <v>44</v>
      </c>
      <c r="W321" s="29">
        <v>228.5</v>
      </c>
      <c r="X321" s="26">
        <v>9606</v>
      </c>
      <c r="Y321" s="35">
        <v>6.2</v>
      </c>
      <c r="Z321" s="1" t="s">
        <v>3014</v>
      </c>
      <c r="AA321" s="36">
        <v>15.954400000000001</v>
      </c>
      <c r="AB321" s="54">
        <v>146.24</v>
      </c>
      <c r="AC321" s="54">
        <v>1.8695454545454546</v>
      </c>
      <c r="AD321" s="36">
        <v>173.19560000000001</v>
      </c>
    </row>
    <row r="322" spans="1:30" s="37" customFormat="1" ht="15.75" customHeight="1" x14ac:dyDescent="0.2">
      <c r="A322" s="26">
        <v>899</v>
      </c>
      <c r="B322" s="27" t="s">
        <v>426</v>
      </c>
      <c r="C322" s="27" t="s">
        <v>3094</v>
      </c>
      <c r="D322" s="28">
        <v>0.02</v>
      </c>
      <c r="E322" s="29">
        <v>12.53</v>
      </c>
      <c r="F322" s="29">
        <v>0.49</v>
      </c>
      <c r="G322" s="30" t="s">
        <v>39</v>
      </c>
      <c r="H322" s="27" t="s">
        <v>3095</v>
      </c>
      <c r="I322" s="27" t="s">
        <v>49</v>
      </c>
      <c r="J322" s="27" t="s">
        <v>152</v>
      </c>
      <c r="K322" s="27" t="s">
        <v>73</v>
      </c>
      <c r="L322" s="31" t="s">
        <v>153</v>
      </c>
      <c r="M322" s="32">
        <v>0.38</v>
      </c>
      <c r="N322" s="27" t="s">
        <v>33</v>
      </c>
      <c r="O322" s="27" t="s">
        <v>111</v>
      </c>
      <c r="P322" s="27" t="s">
        <v>320</v>
      </c>
      <c r="Q322" s="27" t="s">
        <v>427</v>
      </c>
      <c r="R322" s="33">
        <v>16602</v>
      </c>
      <c r="S322" s="34">
        <v>42031</v>
      </c>
      <c r="T322" s="34">
        <v>42031</v>
      </c>
      <c r="U322" s="29">
        <v>104.7213</v>
      </c>
      <c r="V322" s="26">
        <v>12</v>
      </c>
      <c r="W322" s="29">
        <v>151.77000000000001</v>
      </c>
      <c r="X322" s="26">
        <v>86264</v>
      </c>
      <c r="Y322" s="35">
        <v>2.86</v>
      </c>
      <c r="Z322" s="1" t="s">
        <v>3014</v>
      </c>
      <c r="AA322" s="36">
        <v>3.0072000000000001</v>
      </c>
      <c r="AB322" s="54">
        <v>94.097400000000007</v>
      </c>
      <c r="AC322" s="54">
        <v>4.8060500000000008</v>
      </c>
      <c r="AD322" s="36">
        <v>43.551500000000019</v>
      </c>
    </row>
    <row r="323" spans="1:30" s="37" customFormat="1" ht="15.75" customHeight="1" x14ac:dyDescent="0.2">
      <c r="A323" s="26">
        <v>3347</v>
      </c>
      <c r="B323" s="27" t="s">
        <v>265</v>
      </c>
      <c r="C323" s="27" t="s">
        <v>116</v>
      </c>
      <c r="D323" s="28">
        <v>0.02</v>
      </c>
      <c r="E323" s="29">
        <v>110.99</v>
      </c>
      <c r="F323" s="29">
        <v>2.5</v>
      </c>
      <c r="G323" s="30" t="s">
        <v>39</v>
      </c>
      <c r="H323" s="27" t="s">
        <v>40</v>
      </c>
      <c r="I323" s="27" t="s">
        <v>41</v>
      </c>
      <c r="J323" s="27" t="s">
        <v>135</v>
      </c>
      <c r="K323" s="27" t="s">
        <v>73</v>
      </c>
      <c r="L323" s="31" t="s">
        <v>136</v>
      </c>
      <c r="M323" s="32">
        <v>0.56999999999999995</v>
      </c>
      <c r="N323" s="27" t="s">
        <v>33</v>
      </c>
      <c r="O323" s="27" t="s">
        <v>34</v>
      </c>
      <c r="P323" s="27" t="s">
        <v>123</v>
      </c>
      <c r="Q323" s="27" t="s">
        <v>267</v>
      </c>
      <c r="R323" s="33">
        <v>33411</v>
      </c>
      <c r="S323" s="34">
        <v>42031</v>
      </c>
      <c r="T323" s="34">
        <v>42033</v>
      </c>
      <c r="U323" s="29">
        <v>-39.808999999999997</v>
      </c>
      <c r="V323" s="26">
        <v>1</v>
      </c>
      <c r="W323" s="29">
        <v>94.3</v>
      </c>
      <c r="X323" s="26">
        <v>89356</v>
      </c>
      <c r="Y323" s="35">
        <v>110.97</v>
      </c>
      <c r="Z323" s="1" t="s">
        <v>3011</v>
      </c>
      <c r="AA323" s="36">
        <v>2.2197999999999998</v>
      </c>
      <c r="AB323" s="54">
        <v>40.549000000000007</v>
      </c>
      <c r="AC323" s="54">
        <v>53.750999999999991</v>
      </c>
      <c r="AD323" s="36">
        <v>129.38919999999999</v>
      </c>
    </row>
    <row r="324" spans="1:30" s="37" customFormat="1" ht="15.75" customHeight="1" x14ac:dyDescent="0.2">
      <c r="A324" s="26">
        <v>483</v>
      </c>
      <c r="B324" s="27" t="s">
        <v>815</v>
      </c>
      <c r="C324" s="27" t="s">
        <v>26</v>
      </c>
      <c r="D324" s="28">
        <v>0.03</v>
      </c>
      <c r="E324" s="29">
        <v>11.97</v>
      </c>
      <c r="F324" s="29">
        <v>4.9800000000000004</v>
      </c>
      <c r="G324" s="30" t="s">
        <v>39</v>
      </c>
      <c r="H324" s="27" t="s">
        <v>94</v>
      </c>
      <c r="I324" s="27" t="s">
        <v>49</v>
      </c>
      <c r="J324" s="27" t="s">
        <v>95</v>
      </c>
      <c r="K324" s="27" t="s">
        <v>73</v>
      </c>
      <c r="L324" s="31" t="s">
        <v>816</v>
      </c>
      <c r="M324" s="32">
        <v>0.57999999999999996</v>
      </c>
      <c r="N324" s="27" t="s">
        <v>33</v>
      </c>
      <c r="O324" s="27" t="s">
        <v>53</v>
      </c>
      <c r="P324" s="27" t="s">
        <v>103</v>
      </c>
      <c r="Q324" s="27" t="s">
        <v>817</v>
      </c>
      <c r="R324" s="33">
        <v>60543</v>
      </c>
      <c r="S324" s="34">
        <v>42031</v>
      </c>
      <c r="T324" s="34">
        <v>42032</v>
      </c>
      <c r="U324" s="29">
        <v>-18.190000000000001</v>
      </c>
      <c r="V324" s="26">
        <v>6</v>
      </c>
      <c r="W324" s="29">
        <v>73.180000000000007</v>
      </c>
      <c r="X324" s="26">
        <v>90353</v>
      </c>
      <c r="Y324" s="35">
        <v>1.72</v>
      </c>
      <c r="Z324" s="1" t="s">
        <v>3012</v>
      </c>
      <c r="AA324" s="36">
        <v>2.1546000000000003</v>
      </c>
      <c r="AB324" s="54">
        <v>30.735600000000005</v>
      </c>
      <c r="AC324" s="54">
        <v>7.0740666666666661</v>
      </c>
      <c r="AD324" s="36">
        <v>84.235400000000013</v>
      </c>
    </row>
    <row r="325" spans="1:30" s="37" customFormat="1" ht="15.75" customHeight="1" x14ac:dyDescent="0.2">
      <c r="A325" s="26">
        <v>2254</v>
      </c>
      <c r="B325" s="27" t="s">
        <v>825</v>
      </c>
      <c r="C325" s="27" t="s">
        <v>48</v>
      </c>
      <c r="D325" s="28">
        <v>0.1</v>
      </c>
      <c r="E325" s="29">
        <v>6.3</v>
      </c>
      <c r="F325" s="29">
        <v>0.5</v>
      </c>
      <c r="G325" s="30" t="s">
        <v>39</v>
      </c>
      <c r="H325" s="27" t="s">
        <v>94</v>
      </c>
      <c r="I325" s="27" t="s">
        <v>49</v>
      </c>
      <c r="J325" s="27" t="s">
        <v>152</v>
      </c>
      <c r="K325" s="27" t="s">
        <v>73</v>
      </c>
      <c r="L325" s="31" t="s">
        <v>826</v>
      </c>
      <c r="M325" s="32">
        <v>0.39</v>
      </c>
      <c r="N325" s="27" t="s">
        <v>33</v>
      </c>
      <c r="O325" s="27" t="s">
        <v>34</v>
      </c>
      <c r="P325" s="27" t="s">
        <v>388</v>
      </c>
      <c r="Q325" s="27" t="s">
        <v>827</v>
      </c>
      <c r="R325" s="33">
        <v>42003</v>
      </c>
      <c r="S325" s="34">
        <v>42031</v>
      </c>
      <c r="T325" s="34">
        <v>42036</v>
      </c>
      <c r="U325" s="29">
        <v>-464.28199999999998</v>
      </c>
      <c r="V325" s="26">
        <v>12</v>
      </c>
      <c r="W325" s="29">
        <v>68.72</v>
      </c>
      <c r="X325" s="26">
        <v>89278</v>
      </c>
      <c r="Y325" s="35">
        <v>12.51</v>
      </c>
      <c r="Z325" s="1" t="s">
        <v>3011</v>
      </c>
      <c r="AA325" s="36">
        <v>7.5600000000000005</v>
      </c>
      <c r="AB325" s="54">
        <v>41.919199999999996</v>
      </c>
      <c r="AC325" s="54">
        <v>2.2334000000000001</v>
      </c>
      <c r="AD325" s="36">
        <v>524.94200000000001</v>
      </c>
    </row>
    <row r="326" spans="1:30" s="37" customFormat="1" ht="15.75" customHeight="1" x14ac:dyDescent="0.2">
      <c r="A326" s="26">
        <v>899</v>
      </c>
      <c r="B326" s="27" t="s">
        <v>426</v>
      </c>
      <c r="C326" s="27" t="s">
        <v>3094</v>
      </c>
      <c r="D326" s="28">
        <v>7.0000000000000007E-2</v>
      </c>
      <c r="E326" s="29">
        <v>5.18</v>
      </c>
      <c r="F326" s="29">
        <v>2.04</v>
      </c>
      <c r="G326" s="30" t="s">
        <v>87</v>
      </c>
      <c r="H326" s="27" t="s">
        <v>3095</v>
      </c>
      <c r="I326" s="27" t="s">
        <v>49</v>
      </c>
      <c r="J326" s="27" t="s">
        <v>88</v>
      </c>
      <c r="K326" s="27" t="s">
        <v>51</v>
      </c>
      <c r="L326" s="31" t="s">
        <v>833</v>
      </c>
      <c r="M326" s="32">
        <v>0.36</v>
      </c>
      <c r="N326" s="27" t="s">
        <v>33</v>
      </c>
      <c r="O326" s="27" t="s">
        <v>111</v>
      </c>
      <c r="P326" s="27" t="s">
        <v>320</v>
      </c>
      <c r="Q326" s="27" t="s">
        <v>427</v>
      </c>
      <c r="R326" s="33">
        <v>16602</v>
      </c>
      <c r="S326" s="34">
        <v>42031</v>
      </c>
      <c r="T326" s="34">
        <v>42033</v>
      </c>
      <c r="U326" s="29">
        <v>37.31</v>
      </c>
      <c r="V326" s="26">
        <v>11</v>
      </c>
      <c r="W326" s="29">
        <v>57.13</v>
      </c>
      <c r="X326" s="26">
        <v>86264</v>
      </c>
      <c r="Y326" s="35">
        <v>5.1099999999999994</v>
      </c>
      <c r="Z326" s="1" t="s">
        <v>3014</v>
      </c>
      <c r="AA326" s="36">
        <v>3.9886000000000004</v>
      </c>
      <c r="AB326" s="54">
        <v>36.563200000000002</v>
      </c>
      <c r="AC326" s="54">
        <v>1.869709090909091</v>
      </c>
      <c r="AD326" s="36">
        <v>13.791400000000003</v>
      </c>
    </row>
    <row r="327" spans="1:30" s="37" customFormat="1" ht="15.75" customHeight="1" x14ac:dyDescent="0.2">
      <c r="A327" s="26">
        <v>2178</v>
      </c>
      <c r="B327" s="27" t="s">
        <v>828</v>
      </c>
      <c r="C327" s="27" t="s">
        <v>116</v>
      </c>
      <c r="D327" s="28">
        <v>0.08</v>
      </c>
      <c r="E327" s="29">
        <v>2.94</v>
      </c>
      <c r="F327" s="29">
        <v>0.96</v>
      </c>
      <c r="G327" s="30" t="s">
        <v>39</v>
      </c>
      <c r="H327" s="27" t="s">
        <v>3095</v>
      </c>
      <c r="I327" s="27" t="s">
        <v>49</v>
      </c>
      <c r="J327" s="27" t="s">
        <v>50</v>
      </c>
      <c r="K327" s="27" t="s">
        <v>51</v>
      </c>
      <c r="L327" s="31" t="s">
        <v>829</v>
      </c>
      <c r="M327" s="32">
        <v>0.57999999999999996</v>
      </c>
      <c r="N327" s="27" t="s">
        <v>33</v>
      </c>
      <c r="O327" s="27" t="s">
        <v>111</v>
      </c>
      <c r="P327" s="27" t="s">
        <v>403</v>
      </c>
      <c r="Q327" s="27" t="s">
        <v>830</v>
      </c>
      <c r="R327" s="33">
        <v>1610</v>
      </c>
      <c r="S327" s="34">
        <v>42031</v>
      </c>
      <c r="T327" s="34">
        <v>42033</v>
      </c>
      <c r="U327" s="29">
        <v>-1.18</v>
      </c>
      <c r="V327" s="26">
        <v>9</v>
      </c>
      <c r="W327" s="29">
        <v>25.35</v>
      </c>
      <c r="X327" s="26">
        <v>89465</v>
      </c>
      <c r="Y327" s="35">
        <v>12.51</v>
      </c>
      <c r="Z327" s="1" t="s">
        <v>3014</v>
      </c>
      <c r="AA327" s="36">
        <v>2.1168</v>
      </c>
      <c r="AB327" s="54">
        <v>10.647000000000002</v>
      </c>
      <c r="AC327" s="54">
        <v>1.6336666666666666</v>
      </c>
      <c r="AD327" s="36">
        <v>23.453200000000002</v>
      </c>
    </row>
    <row r="328" spans="1:30" s="37" customFormat="1" ht="15.75" customHeight="1" x14ac:dyDescent="0.2">
      <c r="A328" s="26">
        <v>2979</v>
      </c>
      <c r="B328" s="27" t="s">
        <v>818</v>
      </c>
      <c r="C328" s="27" t="s">
        <v>26</v>
      </c>
      <c r="D328" s="28">
        <v>0.09</v>
      </c>
      <c r="E328" s="29">
        <v>2.94</v>
      </c>
      <c r="F328" s="29">
        <v>0.7</v>
      </c>
      <c r="G328" s="30" t="s">
        <v>39</v>
      </c>
      <c r="H328" s="27" t="s">
        <v>94</v>
      </c>
      <c r="I328" s="27" t="s">
        <v>49</v>
      </c>
      <c r="J328" s="27" t="s">
        <v>50</v>
      </c>
      <c r="K328" s="27" t="s">
        <v>51</v>
      </c>
      <c r="L328" s="31" t="s">
        <v>819</v>
      </c>
      <c r="M328" s="32">
        <v>0.57999999999999996</v>
      </c>
      <c r="N328" s="27" t="s">
        <v>33</v>
      </c>
      <c r="O328" s="27" t="s">
        <v>53</v>
      </c>
      <c r="P328" s="27" t="s">
        <v>565</v>
      </c>
      <c r="Q328" s="27" t="s">
        <v>820</v>
      </c>
      <c r="R328" s="33">
        <v>58601</v>
      </c>
      <c r="S328" s="34">
        <v>42031</v>
      </c>
      <c r="T328" s="34">
        <v>42032</v>
      </c>
      <c r="U328" s="29">
        <v>6.3840000000000003</v>
      </c>
      <c r="V328" s="26">
        <v>9</v>
      </c>
      <c r="W328" s="29">
        <v>25.22</v>
      </c>
      <c r="X328" s="26">
        <v>86544</v>
      </c>
      <c r="Y328" s="35">
        <v>5.1099999999999994</v>
      </c>
      <c r="Z328" s="1" t="s">
        <v>3012</v>
      </c>
      <c r="AA328" s="36">
        <v>2.3814000000000002</v>
      </c>
      <c r="AB328" s="54">
        <v>10.592400000000001</v>
      </c>
      <c r="AC328" s="54">
        <v>1.6252888888888886</v>
      </c>
      <c r="AD328" s="36">
        <v>15.754599999999998</v>
      </c>
    </row>
    <row r="329" spans="1:30" s="37" customFormat="1" ht="15.75" customHeight="1" x14ac:dyDescent="0.2">
      <c r="A329" s="26">
        <v>2980</v>
      </c>
      <c r="B329" s="27" t="s">
        <v>821</v>
      </c>
      <c r="C329" s="27" t="s">
        <v>26</v>
      </c>
      <c r="D329" s="28">
        <v>0.06</v>
      </c>
      <c r="E329" s="29">
        <v>1.1399999999999999</v>
      </c>
      <c r="F329" s="29">
        <v>0.7</v>
      </c>
      <c r="G329" s="30" t="s">
        <v>39</v>
      </c>
      <c r="H329" s="27" t="s">
        <v>94</v>
      </c>
      <c r="I329" s="27" t="s">
        <v>49</v>
      </c>
      <c r="J329" s="27" t="s">
        <v>176</v>
      </c>
      <c r="K329" s="27" t="s">
        <v>51</v>
      </c>
      <c r="L329" s="31" t="s">
        <v>824</v>
      </c>
      <c r="M329" s="32">
        <v>0.38</v>
      </c>
      <c r="N329" s="27" t="s">
        <v>33</v>
      </c>
      <c r="O329" s="27" t="s">
        <v>111</v>
      </c>
      <c r="P329" s="27" t="s">
        <v>317</v>
      </c>
      <c r="Q329" s="27" t="s">
        <v>823</v>
      </c>
      <c r="R329" s="33">
        <v>44870</v>
      </c>
      <c r="S329" s="34">
        <v>42031</v>
      </c>
      <c r="T329" s="34">
        <v>42034</v>
      </c>
      <c r="U329" s="29">
        <v>-3.782</v>
      </c>
      <c r="V329" s="26">
        <v>13</v>
      </c>
      <c r="W329" s="29">
        <v>14.53</v>
      </c>
      <c r="X329" s="26">
        <v>86544</v>
      </c>
      <c r="Y329" s="35">
        <v>110.89</v>
      </c>
      <c r="Z329" s="1" t="s">
        <v>3014</v>
      </c>
      <c r="AA329" s="36">
        <v>0.88919999999999988</v>
      </c>
      <c r="AB329" s="54">
        <v>9.0085999999999995</v>
      </c>
      <c r="AC329" s="54">
        <v>0.42472307692307687</v>
      </c>
      <c r="AD329" s="36">
        <v>16.722799999999999</v>
      </c>
    </row>
    <row r="330" spans="1:30" s="37" customFormat="1" ht="15.75" customHeight="1" x14ac:dyDescent="0.2">
      <c r="A330" s="26">
        <v>129</v>
      </c>
      <c r="B330" s="27" t="s">
        <v>831</v>
      </c>
      <c r="C330" s="27" t="s">
        <v>3094</v>
      </c>
      <c r="D330" s="28">
        <v>0.02</v>
      </c>
      <c r="E330" s="29">
        <v>1.74</v>
      </c>
      <c r="F330" s="29">
        <v>4.08</v>
      </c>
      <c r="G330" s="30" t="s">
        <v>39</v>
      </c>
      <c r="H330" s="27" t="s">
        <v>3095</v>
      </c>
      <c r="I330" s="27" t="s">
        <v>29</v>
      </c>
      <c r="J330" s="27" t="s">
        <v>126</v>
      </c>
      <c r="K330" s="27" t="s">
        <v>43</v>
      </c>
      <c r="L330" s="31" t="s">
        <v>770</v>
      </c>
      <c r="M330" s="32">
        <v>0.53</v>
      </c>
      <c r="N330" s="27" t="s">
        <v>33</v>
      </c>
      <c r="O330" s="27" t="s">
        <v>53</v>
      </c>
      <c r="P330" s="27" t="s">
        <v>103</v>
      </c>
      <c r="Q330" s="27" t="s">
        <v>832</v>
      </c>
      <c r="R330" s="33">
        <v>62002</v>
      </c>
      <c r="S330" s="34">
        <v>42031</v>
      </c>
      <c r="T330" s="34">
        <v>42032</v>
      </c>
      <c r="U330" s="29">
        <v>-37.39</v>
      </c>
      <c r="V330" s="26">
        <v>5</v>
      </c>
      <c r="W330" s="29">
        <v>10.23</v>
      </c>
      <c r="X330" s="26">
        <v>86693</v>
      </c>
      <c r="Y330" s="35">
        <v>205.91</v>
      </c>
      <c r="Z330" s="1" t="s">
        <v>3012</v>
      </c>
      <c r="AA330" s="36">
        <v>0.17399999999999999</v>
      </c>
      <c r="AB330" s="54">
        <v>4.8080999999999996</v>
      </c>
      <c r="AC330" s="54">
        <v>1.0843800000000001</v>
      </c>
      <c r="AD330" s="36">
        <v>43.366</v>
      </c>
    </row>
    <row r="331" spans="1:30" s="37" customFormat="1" ht="15.75" customHeight="1" x14ac:dyDescent="0.2">
      <c r="A331" s="26">
        <v>53</v>
      </c>
      <c r="B331" s="27" t="s">
        <v>840</v>
      </c>
      <c r="C331" s="27" t="s">
        <v>26</v>
      </c>
      <c r="D331" s="28">
        <v>7.0000000000000007E-2</v>
      </c>
      <c r="E331" s="29">
        <v>3502.14</v>
      </c>
      <c r="F331" s="29">
        <v>8.73</v>
      </c>
      <c r="G331" s="30" t="s">
        <v>27</v>
      </c>
      <c r="H331" s="27" t="s">
        <v>94</v>
      </c>
      <c r="I331" s="27" t="s">
        <v>41</v>
      </c>
      <c r="J331" s="27" t="s">
        <v>57</v>
      </c>
      <c r="K331" s="27" t="s">
        <v>31</v>
      </c>
      <c r="L331" s="31" t="s">
        <v>841</v>
      </c>
      <c r="M331" s="32">
        <v>0.56999999999999995</v>
      </c>
      <c r="N331" s="27" t="s">
        <v>33</v>
      </c>
      <c r="O331" s="27" t="s">
        <v>60</v>
      </c>
      <c r="P331" s="27" t="s">
        <v>67</v>
      </c>
      <c r="Q331" s="27" t="s">
        <v>842</v>
      </c>
      <c r="R331" s="33">
        <v>98052</v>
      </c>
      <c r="S331" s="34">
        <v>42032</v>
      </c>
      <c r="T331" s="34">
        <v>42034</v>
      </c>
      <c r="U331" s="29">
        <v>-6923.5991999999997</v>
      </c>
      <c r="V331" s="26">
        <v>1</v>
      </c>
      <c r="W331" s="29">
        <v>3267.55</v>
      </c>
      <c r="X331" s="26">
        <v>88425</v>
      </c>
      <c r="Y331" s="35">
        <v>3502.0699999999997</v>
      </c>
      <c r="Z331" s="1" t="s">
        <v>3013</v>
      </c>
      <c r="AA331" s="36">
        <v>245.14980000000003</v>
      </c>
      <c r="AB331" s="54">
        <v>1405.0465000000002</v>
      </c>
      <c r="AC331" s="54">
        <v>1862.5035</v>
      </c>
      <c r="AD331" s="36">
        <v>9937.269400000001</v>
      </c>
    </row>
    <row r="332" spans="1:30" s="37" customFormat="1" ht="15.75" customHeight="1" x14ac:dyDescent="0.2">
      <c r="A332" s="26">
        <v>3266</v>
      </c>
      <c r="B332" s="27" t="s">
        <v>843</v>
      </c>
      <c r="C332" s="27" t="s">
        <v>26</v>
      </c>
      <c r="D332" s="28">
        <v>0</v>
      </c>
      <c r="E332" s="29">
        <v>122.99</v>
      </c>
      <c r="F332" s="29">
        <v>70.2</v>
      </c>
      <c r="G332" s="30" t="s">
        <v>27</v>
      </c>
      <c r="H332" s="27" t="s">
        <v>94</v>
      </c>
      <c r="I332" s="27" t="s">
        <v>29</v>
      </c>
      <c r="J332" s="27" t="s">
        <v>109</v>
      </c>
      <c r="K332" s="27" t="s">
        <v>58</v>
      </c>
      <c r="L332" s="31" t="s">
        <v>804</v>
      </c>
      <c r="M332" s="32">
        <v>0.74</v>
      </c>
      <c r="N332" s="27" t="s">
        <v>33</v>
      </c>
      <c r="O332" s="27" t="s">
        <v>111</v>
      </c>
      <c r="P332" s="27" t="s">
        <v>331</v>
      </c>
      <c r="Q332" s="27" t="s">
        <v>332</v>
      </c>
      <c r="R332" s="33">
        <v>4073</v>
      </c>
      <c r="S332" s="34">
        <v>42032</v>
      </c>
      <c r="T332" s="34">
        <v>42033</v>
      </c>
      <c r="U332" s="29">
        <v>-1764.29</v>
      </c>
      <c r="V332" s="26">
        <v>14</v>
      </c>
      <c r="W332" s="29">
        <v>1794.88</v>
      </c>
      <c r="X332" s="26">
        <v>89836</v>
      </c>
      <c r="Y332" s="35">
        <v>122.99</v>
      </c>
      <c r="Z332" s="1" t="s">
        <v>3014</v>
      </c>
      <c r="AA332" s="36">
        <v>0</v>
      </c>
      <c r="AB332" s="54">
        <v>466.66880000000003</v>
      </c>
      <c r="AC332" s="54">
        <v>94.872228571428579</v>
      </c>
      <c r="AD332" s="36">
        <v>3488.9700000000003</v>
      </c>
    </row>
    <row r="333" spans="1:30" s="37" customFormat="1" ht="15.75" customHeight="1" x14ac:dyDescent="0.2">
      <c r="A333" s="26">
        <v>3269</v>
      </c>
      <c r="B333" s="27" t="s">
        <v>844</v>
      </c>
      <c r="C333" s="27" t="s">
        <v>26</v>
      </c>
      <c r="D333" s="28">
        <v>0.01</v>
      </c>
      <c r="E333" s="29">
        <v>60.97</v>
      </c>
      <c r="F333" s="29">
        <v>4.5</v>
      </c>
      <c r="G333" s="30" t="s">
        <v>87</v>
      </c>
      <c r="H333" s="27" t="s">
        <v>94</v>
      </c>
      <c r="I333" s="27" t="s">
        <v>49</v>
      </c>
      <c r="J333" s="27" t="s">
        <v>95</v>
      </c>
      <c r="K333" s="27" t="s">
        <v>73</v>
      </c>
      <c r="L333" s="31" t="s">
        <v>96</v>
      </c>
      <c r="M333" s="32">
        <v>0.56000000000000005</v>
      </c>
      <c r="N333" s="27" t="s">
        <v>33</v>
      </c>
      <c r="O333" s="27" t="s">
        <v>111</v>
      </c>
      <c r="P333" s="27" t="s">
        <v>397</v>
      </c>
      <c r="Q333" s="27" t="s">
        <v>845</v>
      </c>
      <c r="R333" s="33">
        <v>7060</v>
      </c>
      <c r="S333" s="34">
        <v>42032</v>
      </c>
      <c r="T333" s="34">
        <v>42034</v>
      </c>
      <c r="U333" s="29">
        <v>527.87760000000003</v>
      </c>
      <c r="V333" s="26">
        <v>12</v>
      </c>
      <c r="W333" s="29">
        <v>765.04</v>
      </c>
      <c r="X333" s="26">
        <v>89836</v>
      </c>
      <c r="Y333" s="35">
        <v>60.96</v>
      </c>
      <c r="Z333" s="1" t="s">
        <v>3014</v>
      </c>
      <c r="AA333" s="36">
        <v>7.3163999999999998</v>
      </c>
      <c r="AB333" s="54">
        <v>336.61759999999992</v>
      </c>
      <c r="AC333" s="54">
        <v>35.701866666666668</v>
      </c>
      <c r="AD333" s="36">
        <v>225.34599999999989</v>
      </c>
    </row>
    <row r="334" spans="1:30" s="37" customFormat="1" ht="15.75" customHeight="1" x14ac:dyDescent="0.2">
      <c r="A334" s="26">
        <v>556</v>
      </c>
      <c r="B334" s="27" t="s">
        <v>853</v>
      </c>
      <c r="C334" s="27" t="s">
        <v>116</v>
      </c>
      <c r="D334" s="28">
        <v>0.03</v>
      </c>
      <c r="E334" s="29">
        <v>32.479999999999997</v>
      </c>
      <c r="F334" s="29">
        <v>35</v>
      </c>
      <c r="G334" s="30" t="s">
        <v>87</v>
      </c>
      <c r="H334" s="27" t="s">
        <v>71</v>
      </c>
      <c r="I334" s="27" t="s">
        <v>49</v>
      </c>
      <c r="J334" s="27" t="s">
        <v>78</v>
      </c>
      <c r="K334" s="27" t="s">
        <v>65</v>
      </c>
      <c r="L334" s="31" t="s">
        <v>785</v>
      </c>
      <c r="M334" s="32">
        <v>0.81</v>
      </c>
      <c r="N334" s="27" t="s">
        <v>33</v>
      </c>
      <c r="O334" s="27" t="s">
        <v>60</v>
      </c>
      <c r="P334" s="27" t="s">
        <v>146</v>
      </c>
      <c r="Q334" s="27" t="s">
        <v>854</v>
      </c>
      <c r="R334" s="33">
        <v>84604</v>
      </c>
      <c r="S334" s="34">
        <v>42032</v>
      </c>
      <c r="T334" s="34">
        <v>42032</v>
      </c>
      <c r="U334" s="29">
        <v>-1116.3348000000001</v>
      </c>
      <c r="V334" s="26">
        <v>8</v>
      </c>
      <c r="W334" s="29">
        <v>274.91000000000003</v>
      </c>
      <c r="X334" s="26">
        <v>86189</v>
      </c>
      <c r="Y334" s="35">
        <v>55.419999999999995</v>
      </c>
      <c r="Z334" s="1" t="s">
        <v>3013</v>
      </c>
      <c r="AA334" s="36">
        <v>7.7951999999999986</v>
      </c>
      <c r="AB334" s="54">
        <v>52.232899999999987</v>
      </c>
      <c r="AC334" s="54">
        <v>27.834637500000003</v>
      </c>
      <c r="AD334" s="36">
        <v>1348.4496000000001</v>
      </c>
    </row>
    <row r="335" spans="1:30" s="37" customFormat="1" ht="15.75" customHeight="1" x14ac:dyDescent="0.2">
      <c r="A335" s="26">
        <v>553</v>
      </c>
      <c r="B335" s="27" t="s">
        <v>851</v>
      </c>
      <c r="C335" s="27" t="s">
        <v>116</v>
      </c>
      <c r="D335" s="28">
        <v>0</v>
      </c>
      <c r="E335" s="29">
        <v>6.88</v>
      </c>
      <c r="F335" s="29">
        <v>2</v>
      </c>
      <c r="G335" s="30" t="s">
        <v>87</v>
      </c>
      <c r="H335" s="27" t="s">
        <v>71</v>
      </c>
      <c r="I335" s="27" t="s">
        <v>49</v>
      </c>
      <c r="J335" s="27" t="s">
        <v>88</v>
      </c>
      <c r="K335" s="27" t="s">
        <v>51</v>
      </c>
      <c r="L335" s="31" t="s">
        <v>852</v>
      </c>
      <c r="M335" s="32">
        <v>0.39</v>
      </c>
      <c r="N335" s="27" t="s">
        <v>33</v>
      </c>
      <c r="O335" s="27" t="s">
        <v>60</v>
      </c>
      <c r="P335" s="27" t="s">
        <v>90</v>
      </c>
      <c r="Q335" s="27" t="s">
        <v>100</v>
      </c>
      <c r="R335" s="33">
        <v>90008</v>
      </c>
      <c r="S335" s="34">
        <v>42032</v>
      </c>
      <c r="T335" s="34">
        <v>42033</v>
      </c>
      <c r="U335" s="29">
        <v>34.067999999999998</v>
      </c>
      <c r="V335" s="26">
        <v>36</v>
      </c>
      <c r="W335" s="29">
        <v>267.52999999999997</v>
      </c>
      <c r="X335" s="26">
        <v>17155</v>
      </c>
      <c r="Y335" s="35">
        <v>1.66</v>
      </c>
      <c r="Z335" s="1" t="s">
        <v>3013</v>
      </c>
      <c r="AA335" s="36">
        <v>0</v>
      </c>
      <c r="AB335" s="54">
        <v>163.19329999999999</v>
      </c>
      <c r="AC335" s="54">
        <v>2.8982416666666664</v>
      </c>
      <c r="AD335" s="36">
        <v>231.46199999999999</v>
      </c>
    </row>
    <row r="336" spans="1:30" s="37" customFormat="1" ht="15.75" customHeight="1" x14ac:dyDescent="0.2">
      <c r="A336" s="26">
        <v>24</v>
      </c>
      <c r="B336" s="27" t="s">
        <v>846</v>
      </c>
      <c r="C336" s="27" t="s">
        <v>38</v>
      </c>
      <c r="D336" s="28">
        <v>0.06</v>
      </c>
      <c r="E336" s="29">
        <v>55.48</v>
      </c>
      <c r="F336" s="29">
        <v>14.3</v>
      </c>
      <c r="G336" s="30" t="s">
        <v>39</v>
      </c>
      <c r="H336" s="27" t="s">
        <v>94</v>
      </c>
      <c r="I336" s="27" t="s">
        <v>49</v>
      </c>
      <c r="J336" s="27" t="s">
        <v>88</v>
      </c>
      <c r="K336" s="27" t="s">
        <v>73</v>
      </c>
      <c r="L336" s="31" t="s">
        <v>847</v>
      </c>
      <c r="M336" s="32">
        <v>0.37</v>
      </c>
      <c r="N336" s="27" t="s">
        <v>33</v>
      </c>
      <c r="O336" s="27" t="s">
        <v>60</v>
      </c>
      <c r="P336" s="27" t="s">
        <v>90</v>
      </c>
      <c r="Q336" s="27" t="s">
        <v>848</v>
      </c>
      <c r="R336" s="33">
        <v>92677</v>
      </c>
      <c r="S336" s="34">
        <v>42032</v>
      </c>
      <c r="T336" s="34">
        <v>42033</v>
      </c>
      <c r="U336" s="29">
        <v>-28.296800000000001</v>
      </c>
      <c r="V336" s="26">
        <v>1</v>
      </c>
      <c r="W336" s="29">
        <v>67.489999999999995</v>
      </c>
      <c r="X336" s="26">
        <v>87651</v>
      </c>
      <c r="Y336" s="35">
        <v>59.959999999999994</v>
      </c>
      <c r="Z336" s="1" t="s">
        <v>3013</v>
      </c>
      <c r="AA336" s="36">
        <v>3.3287999999999998</v>
      </c>
      <c r="AB336" s="54">
        <v>42.518699999999995</v>
      </c>
      <c r="AC336" s="54">
        <v>24.971299999999999</v>
      </c>
      <c r="AD336" s="36">
        <v>78.158000000000001</v>
      </c>
    </row>
    <row r="337" spans="1:30" s="37" customFormat="1" ht="15.75" customHeight="1" x14ac:dyDescent="0.2">
      <c r="A337" s="26">
        <v>556</v>
      </c>
      <c r="B337" s="27" t="s">
        <v>853</v>
      </c>
      <c r="C337" s="27" t="s">
        <v>116</v>
      </c>
      <c r="D337" s="28">
        <v>0</v>
      </c>
      <c r="E337" s="29">
        <v>6.88</v>
      </c>
      <c r="F337" s="29">
        <v>2</v>
      </c>
      <c r="G337" s="30" t="s">
        <v>87</v>
      </c>
      <c r="H337" s="27" t="s">
        <v>71</v>
      </c>
      <c r="I337" s="27" t="s">
        <v>49</v>
      </c>
      <c r="J337" s="27" t="s">
        <v>88</v>
      </c>
      <c r="K337" s="27" t="s">
        <v>51</v>
      </c>
      <c r="L337" s="31" t="s">
        <v>852</v>
      </c>
      <c r="M337" s="32">
        <v>0.39</v>
      </c>
      <c r="N337" s="27" t="s">
        <v>33</v>
      </c>
      <c r="O337" s="27" t="s">
        <v>60</v>
      </c>
      <c r="P337" s="27" t="s">
        <v>146</v>
      </c>
      <c r="Q337" s="27" t="s">
        <v>854</v>
      </c>
      <c r="R337" s="33">
        <v>84604</v>
      </c>
      <c r="S337" s="34">
        <v>42032</v>
      </c>
      <c r="T337" s="34">
        <v>42033</v>
      </c>
      <c r="U337" s="29">
        <v>46.147199999999998</v>
      </c>
      <c r="V337" s="26">
        <v>9</v>
      </c>
      <c r="W337" s="29">
        <v>66.88</v>
      </c>
      <c r="X337" s="26">
        <v>86189</v>
      </c>
      <c r="Y337" s="35">
        <v>5.1499999999999995</v>
      </c>
      <c r="Z337" s="1" t="s">
        <v>3013</v>
      </c>
      <c r="AA337" s="36">
        <v>0</v>
      </c>
      <c r="AB337" s="54">
        <v>40.796799999999998</v>
      </c>
      <c r="AC337" s="54">
        <v>2.8981333333333335</v>
      </c>
      <c r="AD337" s="36">
        <v>18.732799999999997</v>
      </c>
    </row>
    <row r="338" spans="1:30" s="37" customFormat="1" ht="15.75" customHeight="1" x14ac:dyDescent="0.2">
      <c r="A338" s="26">
        <v>744</v>
      </c>
      <c r="B338" s="27" t="s">
        <v>586</v>
      </c>
      <c r="C338" s="27" t="s">
        <v>48</v>
      </c>
      <c r="D338" s="28">
        <v>0.02</v>
      </c>
      <c r="E338" s="29">
        <v>59.98</v>
      </c>
      <c r="F338" s="29">
        <v>3.99</v>
      </c>
      <c r="G338" s="30" t="s">
        <v>39</v>
      </c>
      <c r="H338" s="27" t="s">
        <v>94</v>
      </c>
      <c r="I338" s="27" t="s">
        <v>49</v>
      </c>
      <c r="J338" s="27" t="s">
        <v>95</v>
      </c>
      <c r="K338" s="27" t="s">
        <v>73</v>
      </c>
      <c r="L338" s="31" t="s">
        <v>849</v>
      </c>
      <c r="M338" s="32">
        <v>0.56999999999999995</v>
      </c>
      <c r="N338" s="27" t="s">
        <v>33</v>
      </c>
      <c r="O338" s="27" t="s">
        <v>60</v>
      </c>
      <c r="P338" s="27" t="s">
        <v>588</v>
      </c>
      <c r="Q338" s="27" t="s">
        <v>589</v>
      </c>
      <c r="R338" s="33">
        <v>85737</v>
      </c>
      <c r="S338" s="34">
        <v>42032</v>
      </c>
      <c r="T338" s="34">
        <v>42041</v>
      </c>
      <c r="U338" s="29">
        <v>-54.622</v>
      </c>
      <c r="V338" s="26">
        <v>1</v>
      </c>
      <c r="W338" s="29">
        <v>63.48</v>
      </c>
      <c r="X338" s="26">
        <v>87725</v>
      </c>
      <c r="Y338" s="35">
        <v>6.88</v>
      </c>
      <c r="Z338" s="1" t="s">
        <v>3013</v>
      </c>
      <c r="AA338" s="36">
        <v>1.1996</v>
      </c>
      <c r="AB338" s="54">
        <v>27.296400000000002</v>
      </c>
      <c r="AC338" s="54">
        <v>36.183599999999998</v>
      </c>
      <c r="AD338" s="36">
        <v>112.91239999999999</v>
      </c>
    </row>
    <row r="339" spans="1:30" s="37" customFormat="1" ht="15.75" customHeight="1" x14ac:dyDescent="0.2">
      <c r="A339" s="26">
        <v>744</v>
      </c>
      <c r="B339" s="27" t="s">
        <v>586</v>
      </c>
      <c r="C339" s="27" t="s">
        <v>48</v>
      </c>
      <c r="D339" s="28">
        <v>0.03</v>
      </c>
      <c r="E339" s="29">
        <v>5.18</v>
      </c>
      <c r="F339" s="29">
        <v>5.74</v>
      </c>
      <c r="G339" s="30" t="s">
        <v>39</v>
      </c>
      <c r="H339" s="27" t="s">
        <v>94</v>
      </c>
      <c r="I339" s="27" t="s">
        <v>49</v>
      </c>
      <c r="J339" s="27" t="s">
        <v>72</v>
      </c>
      <c r="K339" s="27" t="s">
        <v>73</v>
      </c>
      <c r="L339" s="31" t="s">
        <v>850</v>
      </c>
      <c r="M339" s="32">
        <v>0.36</v>
      </c>
      <c r="N339" s="27" t="s">
        <v>33</v>
      </c>
      <c r="O339" s="27" t="s">
        <v>60</v>
      </c>
      <c r="P339" s="27" t="s">
        <v>588</v>
      </c>
      <c r="Q339" s="27" t="s">
        <v>589</v>
      </c>
      <c r="R339" s="33">
        <v>85737</v>
      </c>
      <c r="S339" s="34">
        <v>42032</v>
      </c>
      <c r="T339" s="34">
        <v>42036</v>
      </c>
      <c r="U339" s="29">
        <v>-126.81417999999999</v>
      </c>
      <c r="V339" s="26">
        <v>9</v>
      </c>
      <c r="W339" s="29">
        <v>47.64</v>
      </c>
      <c r="X339" s="26">
        <v>87725</v>
      </c>
      <c r="Y339" s="35">
        <v>6.88</v>
      </c>
      <c r="Z339" s="1" t="s">
        <v>3013</v>
      </c>
      <c r="AA339" s="36">
        <v>1.3985999999999998</v>
      </c>
      <c r="AB339" s="54">
        <v>30.489599999999999</v>
      </c>
      <c r="AC339" s="54">
        <v>1.9055999999999997</v>
      </c>
      <c r="AD339" s="36">
        <v>167.31558000000001</v>
      </c>
    </row>
    <row r="340" spans="1:30" s="37" customFormat="1" ht="15.75" customHeight="1" x14ac:dyDescent="0.2">
      <c r="A340" s="26">
        <v>24</v>
      </c>
      <c r="B340" s="27" t="s">
        <v>846</v>
      </c>
      <c r="C340" s="27" t="s">
        <v>38</v>
      </c>
      <c r="D340" s="28">
        <v>0.02</v>
      </c>
      <c r="E340" s="29">
        <v>1.68</v>
      </c>
      <c r="F340" s="29">
        <v>1.57</v>
      </c>
      <c r="G340" s="30" t="s">
        <v>39</v>
      </c>
      <c r="H340" s="27" t="s">
        <v>94</v>
      </c>
      <c r="I340" s="27" t="s">
        <v>49</v>
      </c>
      <c r="J340" s="27" t="s">
        <v>50</v>
      </c>
      <c r="K340" s="27" t="s">
        <v>51</v>
      </c>
      <c r="L340" s="31" t="s">
        <v>574</v>
      </c>
      <c r="M340" s="32">
        <v>0.59</v>
      </c>
      <c r="N340" s="27" t="s">
        <v>33</v>
      </c>
      <c r="O340" s="27" t="s">
        <v>60</v>
      </c>
      <c r="P340" s="27" t="s">
        <v>90</v>
      </c>
      <c r="Q340" s="27" t="s">
        <v>848</v>
      </c>
      <c r="R340" s="33">
        <v>92677</v>
      </c>
      <c r="S340" s="34">
        <v>42032</v>
      </c>
      <c r="T340" s="34">
        <v>42034</v>
      </c>
      <c r="U340" s="29">
        <v>-5.3071999999999999</v>
      </c>
      <c r="V340" s="26">
        <v>1</v>
      </c>
      <c r="W340" s="29">
        <v>2.25</v>
      </c>
      <c r="X340" s="26">
        <v>87651</v>
      </c>
      <c r="Y340" s="35">
        <v>32.449999999999996</v>
      </c>
      <c r="Z340" s="1" t="s">
        <v>3013</v>
      </c>
      <c r="AA340" s="36">
        <v>3.3599999999999998E-2</v>
      </c>
      <c r="AB340" s="54">
        <v>0.9225000000000001</v>
      </c>
      <c r="AC340" s="54">
        <v>1.3274999999999999</v>
      </c>
      <c r="AD340" s="36">
        <v>5.9535999999999998</v>
      </c>
    </row>
    <row r="341" spans="1:30" s="37" customFormat="1" ht="15.75" customHeight="1" x14ac:dyDescent="0.2">
      <c r="A341" s="26">
        <v>699</v>
      </c>
      <c r="B341" s="27" t="s">
        <v>861</v>
      </c>
      <c r="C341" s="27" t="s">
        <v>116</v>
      </c>
      <c r="D341" s="28">
        <v>7.0000000000000007E-2</v>
      </c>
      <c r="E341" s="29">
        <v>280.98</v>
      </c>
      <c r="F341" s="29">
        <v>57</v>
      </c>
      <c r="G341" s="30" t="s">
        <v>27</v>
      </c>
      <c r="H341" s="27" t="s">
        <v>40</v>
      </c>
      <c r="I341" s="27" t="s">
        <v>29</v>
      </c>
      <c r="J341" s="27" t="s">
        <v>109</v>
      </c>
      <c r="K341" s="27" t="s">
        <v>58</v>
      </c>
      <c r="L341" s="31" t="s">
        <v>862</v>
      </c>
      <c r="M341" s="32">
        <v>0.78</v>
      </c>
      <c r="N341" s="27" t="s">
        <v>33</v>
      </c>
      <c r="O341" s="27" t="s">
        <v>60</v>
      </c>
      <c r="P341" s="27" t="s">
        <v>90</v>
      </c>
      <c r="Q341" s="27" t="s">
        <v>100</v>
      </c>
      <c r="R341" s="33">
        <v>90041</v>
      </c>
      <c r="S341" s="34">
        <v>42033</v>
      </c>
      <c r="T341" s="34">
        <v>42035</v>
      </c>
      <c r="U341" s="29">
        <v>-439.62</v>
      </c>
      <c r="V341" s="26">
        <v>23</v>
      </c>
      <c r="W341" s="29">
        <v>6499.87</v>
      </c>
      <c r="X341" s="26">
        <v>32420</v>
      </c>
      <c r="Y341" s="35">
        <v>95.899999999999991</v>
      </c>
      <c r="Z341" s="1" t="s">
        <v>3013</v>
      </c>
      <c r="AA341" s="36">
        <v>452.37780000000004</v>
      </c>
      <c r="AB341" s="54">
        <v>1429.9713999999999</v>
      </c>
      <c r="AC341" s="54">
        <v>220.4303739130435</v>
      </c>
      <c r="AD341" s="36">
        <v>6430.1121999999996</v>
      </c>
    </row>
    <row r="342" spans="1:30" s="37" customFormat="1" ht="15.75" customHeight="1" x14ac:dyDescent="0.2">
      <c r="A342" s="26">
        <v>2062</v>
      </c>
      <c r="B342" s="27" t="s">
        <v>866</v>
      </c>
      <c r="C342" s="27" t="s">
        <v>116</v>
      </c>
      <c r="D342" s="28">
        <v>0.02</v>
      </c>
      <c r="E342" s="29">
        <v>420.98</v>
      </c>
      <c r="F342" s="29">
        <v>19.989999999999998</v>
      </c>
      <c r="G342" s="30" t="s">
        <v>39</v>
      </c>
      <c r="H342" s="27" t="s">
        <v>94</v>
      </c>
      <c r="I342" s="27" t="s">
        <v>49</v>
      </c>
      <c r="J342" s="27" t="s">
        <v>72</v>
      </c>
      <c r="K342" s="27" t="s">
        <v>73</v>
      </c>
      <c r="L342" s="31" t="s">
        <v>867</v>
      </c>
      <c r="M342" s="32">
        <v>0.35</v>
      </c>
      <c r="N342" s="27" t="s">
        <v>33</v>
      </c>
      <c r="O342" s="27" t="s">
        <v>34</v>
      </c>
      <c r="P342" s="27" t="s">
        <v>242</v>
      </c>
      <c r="Q342" s="27" t="s">
        <v>868</v>
      </c>
      <c r="R342" s="33">
        <v>23111</v>
      </c>
      <c r="S342" s="34">
        <v>42033</v>
      </c>
      <c r="T342" s="34">
        <v>42036</v>
      </c>
      <c r="U342" s="29">
        <v>-162.69399999999999</v>
      </c>
      <c r="V342" s="26">
        <v>10</v>
      </c>
      <c r="W342" s="29">
        <v>4249.37</v>
      </c>
      <c r="X342" s="26">
        <v>87146</v>
      </c>
      <c r="Y342" s="35">
        <v>7.3500000000000005</v>
      </c>
      <c r="Z342" s="1" t="s">
        <v>3011</v>
      </c>
      <c r="AA342" s="36">
        <v>84.196000000000012</v>
      </c>
      <c r="AB342" s="54">
        <v>2762.0905000000002</v>
      </c>
      <c r="AC342" s="54">
        <v>148.72794999999999</v>
      </c>
      <c r="AD342" s="36">
        <v>4307.8779999999997</v>
      </c>
    </row>
    <row r="343" spans="1:30" s="37" customFormat="1" ht="15.75" customHeight="1" x14ac:dyDescent="0.2">
      <c r="A343" s="26">
        <v>1875</v>
      </c>
      <c r="B343" s="27" t="s">
        <v>855</v>
      </c>
      <c r="C343" s="27" t="s">
        <v>26</v>
      </c>
      <c r="D343" s="28">
        <v>0.09</v>
      </c>
      <c r="E343" s="29">
        <v>95.99</v>
      </c>
      <c r="F343" s="29">
        <v>4.9000000000000004</v>
      </c>
      <c r="G343" s="30" t="s">
        <v>39</v>
      </c>
      <c r="H343" s="27" t="s">
        <v>40</v>
      </c>
      <c r="I343" s="27" t="s">
        <v>41</v>
      </c>
      <c r="J343" s="27" t="s">
        <v>135</v>
      </c>
      <c r="K343" s="27" t="s">
        <v>73</v>
      </c>
      <c r="L343" s="31" t="s">
        <v>768</v>
      </c>
      <c r="M343" s="32">
        <v>0.56000000000000005</v>
      </c>
      <c r="N343" s="27" t="s">
        <v>33</v>
      </c>
      <c r="O343" s="27" t="s">
        <v>34</v>
      </c>
      <c r="P343" s="27" t="s">
        <v>242</v>
      </c>
      <c r="Q343" s="27" t="s">
        <v>856</v>
      </c>
      <c r="R343" s="33">
        <v>23320</v>
      </c>
      <c r="S343" s="34">
        <v>42033</v>
      </c>
      <c r="T343" s="34">
        <v>42035</v>
      </c>
      <c r="U343" s="29">
        <v>34.302</v>
      </c>
      <c r="V343" s="26">
        <v>4</v>
      </c>
      <c r="W343" s="29">
        <v>320.75</v>
      </c>
      <c r="X343" s="26">
        <v>90899</v>
      </c>
      <c r="Y343" s="35">
        <v>6.4700000000000006</v>
      </c>
      <c r="Z343" s="1" t="s">
        <v>3011</v>
      </c>
      <c r="AA343" s="36">
        <v>34.556399999999996</v>
      </c>
      <c r="AB343" s="54">
        <v>141.13</v>
      </c>
      <c r="AC343" s="54">
        <v>44.905000000000001</v>
      </c>
      <c r="AD343" s="36">
        <v>246.99160000000001</v>
      </c>
    </row>
    <row r="344" spans="1:30" s="37" customFormat="1" ht="15.75" customHeight="1" x14ac:dyDescent="0.2">
      <c r="A344" s="26">
        <v>2061</v>
      </c>
      <c r="B344" s="27" t="s">
        <v>863</v>
      </c>
      <c r="C344" s="27" t="s">
        <v>116</v>
      </c>
      <c r="D344" s="28">
        <v>0.02</v>
      </c>
      <c r="E344" s="29">
        <v>240.98</v>
      </c>
      <c r="F344" s="29">
        <v>60.2</v>
      </c>
      <c r="G344" s="30" t="s">
        <v>27</v>
      </c>
      <c r="H344" s="27" t="s">
        <v>94</v>
      </c>
      <c r="I344" s="27" t="s">
        <v>29</v>
      </c>
      <c r="J344" s="27" t="s">
        <v>117</v>
      </c>
      <c r="K344" s="27" t="s">
        <v>31</v>
      </c>
      <c r="L344" s="31" t="s">
        <v>864</v>
      </c>
      <c r="M344" s="32">
        <v>0.56000000000000005</v>
      </c>
      <c r="N344" s="27" t="s">
        <v>33</v>
      </c>
      <c r="O344" s="27" t="s">
        <v>53</v>
      </c>
      <c r="P344" s="27" t="s">
        <v>133</v>
      </c>
      <c r="Q344" s="27" t="s">
        <v>865</v>
      </c>
      <c r="R344" s="33">
        <v>69101</v>
      </c>
      <c r="S344" s="34">
        <v>42033</v>
      </c>
      <c r="T344" s="34">
        <v>42035</v>
      </c>
      <c r="U344" s="29">
        <v>-272.71319999999997</v>
      </c>
      <c r="V344" s="26">
        <v>1</v>
      </c>
      <c r="W344" s="29">
        <v>260.66000000000003</v>
      </c>
      <c r="X344" s="26">
        <v>87146</v>
      </c>
      <c r="Y344" s="35">
        <v>4.9499999999999993</v>
      </c>
      <c r="Z344" s="1" t="s">
        <v>3012</v>
      </c>
      <c r="AA344" s="36">
        <v>4.8196000000000003</v>
      </c>
      <c r="AB344" s="54">
        <v>114.6904</v>
      </c>
      <c r="AC344" s="54">
        <v>145.96960000000001</v>
      </c>
      <c r="AD344" s="36">
        <v>468.35360000000003</v>
      </c>
    </row>
    <row r="345" spans="1:30" s="37" customFormat="1" ht="15.75" customHeight="1" x14ac:dyDescent="0.2">
      <c r="A345" s="26">
        <v>699</v>
      </c>
      <c r="B345" s="27" t="s">
        <v>861</v>
      </c>
      <c r="C345" s="27" t="s">
        <v>116</v>
      </c>
      <c r="D345" s="28">
        <v>7.0000000000000007E-2</v>
      </c>
      <c r="E345" s="29">
        <v>5.0199999999999996</v>
      </c>
      <c r="F345" s="29">
        <v>5.14</v>
      </c>
      <c r="G345" s="30" t="s">
        <v>39</v>
      </c>
      <c r="H345" s="27" t="s">
        <v>40</v>
      </c>
      <c r="I345" s="27" t="s">
        <v>41</v>
      </c>
      <c r="J345" s="27" t="s">
        <v>42</v>
      </c>
      <c r="K345" s="27" t="s">
        <v>43</v>
      </c>
      <c r="L345" s="31" t="s">
        <v>391</v>
      </c>
      <c r="M345" s="32">
        <v>0.79</v>
      </c>
      <c r="N345" s="27" t="s">
        <v>33</v>
      </c>
      <c r="O345" s="27" t="s">
        <v>60</v>
      </c>
      <c r="P345" s="27" t="s">
        <v>90</v>
      </c>
      <c r="Q345" s="27" t="s">
        <v>100</v>
      </c>
      <c r="R345" s="33">
        <v>90041</v>
      </c>
      <c r="S345" s="34">
        <v>42033</v>
      </c>
      <c r="T345" s="34">
        <v>42035</v>
      </c>
      <c r="U345" s="29">
        <v>-168.72</v>
      </c>
      <c r="V345" s="26">
        <v>42</v>
      </c>
      <c r="W345" s="29">
        <v>210.1</v>
      </c>
      <c r="X345" s="26">
        <v>32420</v>
      </c>
      <c r="Y345" s="35">
        <v>280.91000000000003</v>
      </c>
      <c r="Z345" s="1" t="s">
        <v>3013</v>
      </c>
      <c r="AA345" s="36">
        <v>14.758799999999999</v>
      </c>
      <c r="AB345" s="54">
        <v>44.120999999999988</v>
      </c>
      <c r="AC345" s="54">
        <v>3.9518809523809524</v>
      </c>
      <c r="AD345" s="36">
        <v>358.9212</v>
      </c>
    </row>
    <row r="346" spans="1:30" s="37" customFormat="1" ht="15.75" customHeight="1" x14ac:dyDescent="0.2">
      <c r="A346" s="26">
        <v>2265</v>
      </c>
      <c r="B346" s="27" t="s">
        <v>857</v>
      </c>
      <c r="C346" s="27" t="s">
        <v>26</v>
      </c>
      <c r="D346" s="28">
        <v>0.01</v>
      </c>
      <c r="E346" s="29">
        <v>6.48</v>
      </c>
      <c r="F346" s="29">
        <v>7.86</v>
      </c>
      <c r="G346" s="30" t="s">
        <v>39</v>
      </c>
      <c r="H346" s="27" t="s">
        <v>94</v>
      </c>
      <c r="I346" s="27" t="s">
        <v>49</v>
      </c>
      <c r="J346" s="27" t="s">
        <v>88</v>
      </c>
      <c r="K346" s="27" t="s">
        <v>73</v>
      </c>
      <c r="L346" s="31" t="s">
        <v>860</v>
      </c>
      <c r="M346" s="32">
        <v>0.37</v>
      </c>
      <c r="N346" s="27" t="s">
        <v>33</v>
      </c>
      <c r="O346" s="27" t="s">
        <v>53</v>
      </c>
      <c r="P346" s="27" t="s">
        <v>80</v>
      </c>
      <c r="Q346" s="27" t="s">
        <v>859</v>
      </c>
      <c r="R346" s="33">
        <v>64130</v>
      </c>
      <c r="S346" s="34">
        <v>42033</v>
      </c>
      <c r="T346" s="34">
        <v>42035</v>
      </c>
      <c r="U346" s="29">
        <v>-135.74</v>
      </c>
      <c r="V346" s="26">
        <v>10</v>
      </c>
      <c r="W346" s="29">
        <v>66.459999999999994</v>
      </c>
      <c r="X346" s="26">
        <v>86612</v>
      </c>
      <c r="Y346" s="35">
        <v>240.95999999999998</v>
      </c>
      <c r="Z346" s="1" t="s">
        <v>3012</v>
      </c>
      <c r="AA346" s="36">
        <v>0.64800000000000013</v>
      </c>
      <c r="AB346" s="54">
        <v>41.869799999999998</v>
      </c>
      <c r="AC346" s="54">
        <v>2.4590199999999998</v>
      </c>
      <c r="AD346" s="36">
        <v>193.69200000000001</v>
      </c>
    </row>
    <row r="347" spans="1:30" s="37" customFormat="1" ht="15.75" customHeight="1" x14ac:dyDescent="0.2">
      <c r="A347" s="26">
        <v>2265</v>
      </c>
      <c r="B347" s="27" t="s">
        <v>857</v>
      </c>
      <c r="C347" s="27" t="s">
        <v>26</v>
      </c>
      <c r="D347" s="28">
        <v>0.1</v>
      </c>
      <c r="E347" s="29">
        <v>7.45</v>
      </c>
      <c r="F347" s="29">
        <v>6.28</v>
      </c>
      <c r="G347" s="30" t="s">
        <v>39</v>
      </c>
      <c r="H347" s="27" t="s">
        <v>94</v>
      </c>
      <c r="I347" s="27" t="s">
        <v>49</v>
      </c>
      <c r="J347" s="27" t="s">
        <v>72</v>
      </c>
      <c r="K347" s="27" t="s">
        <v>73</v>
      </c>
      <c r="L347" s="31" t="s">
        <v>858</v>
      </c>
      <c r="M347" s="32">
        <v>0.4</v>
      </c>
      <c r="N347" s="27" t="s">
        <v>33</v>
      </c>
      <c r="O347" s="27" t="s">
        <v>53</v>
      </c>
      <c r="P347" s="27" t="s">
        <v>80</v>
      </c>
      <c r="Q347" s="27" t="s">
        <v>859</v>
      </c>
      <c r="R347" s="33">
        <v>64130</v>
      </c>
      <c r="S347" s="34">
        <v>42033</v>
      </c>
      <c r="T347" s="34">
        <v>42036</v>
      </c>
      <c r="U347" s="29">
        <v>-69.873999999999995</v>
      </c>
      <c r="V347" s="26">
        <v>8</v>
      </c>
      <c r="W347" s="29">
        <v>59.4</v>
      </c>
      <c r="X347" s="26">
        <v>86612</v>
      </c>
      <c r="Y347" s="35">
        <v>420.96000000000004</v>
      </c>
      <c r="Z347" s="1" t="s">
        <v>3012</v>
      </c>
      <c r="AA347" s="36">
        <v>5.9600000000000009</v>
      </c>
      <c r="AB347" s="54">
        <v>35.64</v>
      </c>
      <c r="AC347" s="54">
        <v>2.97</v>
      </c>
      <c r="AD347" s="36">
        <v>117.03399999999999</v>
      </c>
    </row>
    <row r="348" spans="1:30" s="214" customFormat="1" ht="15.75" customHeight="1" x14ac:dyDescent="0.2">
      <c r="A348" s="201">
        <v>2775</v>
      </c>
      <c r="B348" s="202" t="s">
        <v>880</v>
      </c>
      <c r="C348" s="202" t="s">
        <v>48</v>
      </c>
      <c r="D348" s="203">
        <v>7.0000000000000007E-2</v>
      </c>
      <c r="E348" s="204">
        <v>574.74</v>
      </c>
      <c r="F348" s="204">
        <v>24.49</v>
      </c>
      <c r="G348" s="205" t="s">
        <v>39</v>
      </c>
      <c r="H348" s="202" t="s">
        <v>40</v>
      </c>
      <c r="I348" s="202" t="s">
        <v>41</v>
      </c>
      <c r="J348" s="202" t="s">
        <v>57</v>
      </c>
      <c r="K348" s="202" t="s">
        <v>65</v>
      </c>
      <c r="L348" s="206" t="s">
        <v>170</v>
      </c>
      <c r="M348" s="207">
        <v>0.37</v>
      </c>
      <c r="N348" s="202" t="s">
        <v>33</v>
      </c>
      <c r="O348" s="202" t="s">
        <v>53</v>
      </c>
      <c r="P348" s="202" t="s">
        <v>103</v>
      </c>
      <c r="Q348" s="202" t="s">
        <v>881</v>
      </c>
      <c r="R348" s="208">
        <v>60131</v>
      </c>
      <c r="S348" s="209">
        <v>42034</v>
      </c>
      <c r="T348" s="209">
        <v>42039</v>
      </c>
      <c r="U348" s="204">
        <v>2860.9331999999999</v>
      </c>
      <c r="V348" s="201">
        <v>8</v>
      </c>
      <c r="W348" s="204">
        <v>4146.28</v>
      </c>
      <c r="X348" s="201">
        <v>91229</v>
      </c>
      <c r="Y348" s="210">
        <v>31.68</v>
      </c>
      <c r="Z348" s="211" t="s">
        <v>3012</v>
      </c>
      <c r="AA348" s="212">
        <v>321.85440000000006</v>
      </c>
      <c r="AB348" s="213">
        <v>2612.1563999999998</v>
      </c>
      <c r="AC348" s="213">
        <v>191.76544999999999</v>
      </c>
      <c r="AD348" s="212">
        <v>939.00239999999985</v>
      </c>
    </row>
    <row r="349" spans="1:30" s="214" customFormat="1" ht="15.75" customHeight="1" x14ac:dyDescent="0.2">
      <c r="A349" s="201">
        <v>1442</v>
      </c>
      <c r="B349" s="202" t="s">
        <v>877</v>
      </c>
      <c r="C349" s="202" t="s">
        <v>48</v>
      </c>
      <c r="D349" s="203">
        <v>0.09</v>
      </c>
      <c r="E349" s="204">
        <v>46.94</v>
      </c>
      <c r="F349" s="204">
        <v>6.77</v>
      </c>
      <c r="G349" s="205" t="s">
        <v>87</v>
      </c>
      <c r="H349" s="202" t="s">
        <v>94</v>
      </c>
      <c r="I349" s="202" t="s">
        <v>29</v>
      </c>
      <c r="J349" s="202" t="s">
        <v>126</v>
      </c>
      <c r="K349" s="202" t="s">
        <v>73</v>
      </c>
      <c r="L349" s="206" t="s">
        <v>879</v>
      </c>
      <c r="M349" s="207">
        <v>0.44</v>
      </c>
      <c r="N349" s="202" t="s">
        <v>33</v>
      </c>
      <c r="O349" s="202" t="s">
        <v>53</v>
      </c>
      <c r="P349" s="202" t="s">
        <v>80</v>
      </c>
      <c r="Q349" s="202" t="s">
        <v>878</v>
      </c>
      <c r="R349" s="208">
        <v>65807</v>
      </c>
      <c r="S349" s="209">
        <v>42034</v>
      </c>
      <c r="T349" s="209">
        <v>42034</v>
      </c>
      <c r="U349" s="204">
        <v>297.96960000000001</v>
      </c>
      <c r="V349" s="201">
        <v>10</v>
      </c>
      <c r="W349" s="204">
        <v>431.84</v>
      </c>
      <c r="X349" s="201">
        <v>89077</v>
      </c>
      <c r="Y349" s="210">
        <v>1.63</v>
      </c>
      <c r="Z349" s="211" t="s">
        <v>3012</v>
      </c>
      <c r="AA349" s="212">
        <v>42.245999999999995</v>
      </c>
      <c r="AB349" s="213">
        <v>241.8304</v>
      </c>
      <c r="AC349" s="213">
        <v>19.000959999999999</v>
      </c>
      <c r="AD349" s="212">
        <v>84.854399999999998</v>
      </c>
    </row>
    <row r="350" spans="1:30" s="214" customFormat="1" ht="15.75" customHeight="1" x14ac:dyDescent="0.2">
      <c r="A350" s="201">
        <v>767</v>
      </c>
      <c r="B350" s="202" t="s">
        <v>869</v>
      </c>
      <c r="C350" s="202" t="s">
        <v>26</v>
      </c>
      <c r="D350" s="203">
        <v>0.1</v>
      </c>
      <c r="E350" s="204">
        <v>31.78</v>
      </c>
      <c r="F350" s="204">
        <v>1.99</v>
      </c>
      <c r="G350" s="205" t="s">
        <v>39</v>
      </c>
      <c r="H350" s="202" t="s">
        <v>94</v>
      </c>
      <c r="I350" s="202" t="s">
        <v>41</v>
      </c>
      <c r="J350" s="202" t="s">
        <v>42</v>
      </c>
      <c r="K350" s="202" t="s">
        <v>43</v>
      </c>
      <c r="L350" s="206" t="s">
        <v>870</v>
      </c>
      <c r="M350" s="207">
        <v>0.42</v>
      </c>
      <c r="N350" s="202" t="s">
        <v>33</v>
      </c>
      <c r="O350" s="202" t="s">
        <v>53</v>
      </c>
      <c r="P350" s="202" t="s">
        <v>103</v>
      </c>
      <c r="Q350" s="202" t="s">
        <v>871</v>
      </c>
      <c r="R350" s="208">
        <v>61201</v>
      </c>
      <c r="S350" s="209">
        <v>42034</v>
      </c>
      <c r="T350" s="209">
        <v>42036</v>
      </c>
      <c r="U350" s="204">
        <v>232.2816</v>
      </c>
      <c r="V350" s="201">
        <v>11</v>
      </c>
      <c r="W350" s="204">
        <v>336.64</v>
      </c>
      <c r="X350" s="201">
        <v>86279</v>
      </c>
      <c r="Y350" s="210">
        <v>218.65</v>
      </c>
      <c r="Z350" s="211" t="s">
        <v>3012</v>
      </c>
      <c r="AA350" s="212">
        <v>34.958000000000006</v>
      </c>
      <c r="AB350" s="213">
        <v>195.25120000000001</v>
      </c>
      <c r="AC350" s="213">
        <v>12.853527272727272</v>
      </c>
      <c r="AD350" s="212">
        <v>67.410399999999981</v>
      </c>
    </row>
    <row r="351" spans="1:30" s="214" customFormat="1" ht="15.75" customHeight="1" x14ac:dyDescent="0.2">
      <c r="A351" s="201">
        <v>550</v>
      </c>
      <c r="B351" s="202" t="s">
        <v>872</v>
      </c>
      <c r="C351" s="202" t="s">
        <v>38</v>
      </c>
      <c r="D351" s="203">
        <v>0.1</v>
      </c>
      <c r="E351" s="204">
        <v>218.75</v>
      </c>
      <c r="F351" s="204">
        <v>69.64</v>
      </c>
      <c r="G351" s="205" t="s">
        <v>27</v>
      </c>
      <c r="H351" s="202" t="s">
        <v>94</v>
      </c>
      <c r="I351" s="202" t="s">
        <v>29</v>
      </c>
      <c r="J351" s="202" t="s">
        <v>30</v>
      </c>
      <c r="K351" s="202" t="s">
        <v>31</v>
      </c>
      <c r="L351" s="206" t="s">
        <v>874</v>
      </c>
      <c r="M351" s="207">
        <v>0.77</v>
      </c>
      <c r="N351" s="202" t="s">
        <v>33</v>
      </c>
      <c r="O351" s="202" t="s">
        <v>53</v>
      </c>
      <c r="P351" s="202" t="s">
        <v>187</v>
      </c>
      <c r="Q351" s="202" t="s">
        <v>873</v>
      </c>
      <c r="R351" s="208">
        <v>78155</v>
      </c>
      <c r="S351" s="209">
        <v>42034</v>
      </c>
      <c r="T351" s="209">
        <v>42036</v>
      </c>
      <c r="U351" s="204">
        <v>-201.27600000000001</v>
      </c>
      <c r="V351" s="201">
        <v>1</v>
      </c>
      <c r="W351" s="204">
        <v>188.51</v>
      </c>
      <c r="X351" s="201">
        <v>90909</v>
      </c>
      <c r="Y351" s="210">
        <v>15.04</v>
      </c>
      <c r="Z351" s="211" t="s">
        <v>3012</v>
      </c>
      <c r="AA351" s="212">
        <v>21.875</v>
      </c>
      <c r="AB351" s="213">
        <v>43.357299999999995</v>
      </c>
      <c r="AC351" s="213">
        <v>145.15270000000001</v>
      </c>
      <c r="AD351" s="212">
        <v>298.27100000000002</v>
      </c>
    </row>
    <row r="352" spans="1:30" s="214" customFormat="1" ht="15.75" customHeight="1" x14ac:dyDescent="0.2">
      <c r="A352" s="201">
        <v>1442</v>
      </c>
      <c r="B352" s="202" t="s">
        <v>877</v>
      </c>
      <c r="C352" s="202" t="s">
        <v>48</v>
      </c>
      <c r="D352" s="203">
        <v>0.02</v>
      </c>
      <c r="E352" s="204">
        <v>15.99</v>
      </c>
      <c r="F352" s="204">
        <v>13.18</v>
      </c>
      <c r="G352" s="205" t="s">
        <v>87</v>
      </c>
      <c r="H352" s="202" t="s">
        <v>94</v>
      </c>
      <c r="I352" s="202" t="s">
        <v>49</v>
      </c>
      <c r="J352" s="202" t="s">
        <v>72</v>
      </c>
      <c r="K352" s="202" t="s">
        <v>73</v>
      </c>
      <c r="L352" s="206" t="s">
        <v>295</v>
      </c>
      <c r="M352" s="207">
        <v>0.37</v>
      </c>
      <c r="N352" s="202" t="s">
        <v>33</v>
      </c>
      <c r="O352" s="202" t="s">
        <v>53</v>
      </c>
      <c r="P352" s="202" t="s">
        <v>80</v>
      </c>
      <c r="Q352" s="202" t="s">
        <v>878</v>
      </c>
      <c r="R352" s="208">
        <v>65807</v>
      </c>
      <c r="S352" s="209">
        <v>42034</v>
      </c>
      <c r="T352" s="209">
        <v>42038</v>
      </c>
      <c r="U352" s="204">
        <v>-76.992500000000007</v>
      </c>
      <c r="V352" s="201">
        <v>7</v>
      </c>
      <c r="W352" s="204">
        <v>123.03</v>
      </c>
      <c r="X352" s="201">
        <v>89077</v>
      </c>
      <c r="Y352" s="210">
        <v>15.97</v>
      </c>
      <c r="Z352" s="211" t="s">
        <v>3012</v>
      </c>
      <c r="AA352" s="212">
        <v>2.2386000000000004</v>
      </c>
      <c r="AB352" s="213">
        <v>77.508899999999997</v>
      </c>
      <c r="AC352" s="213">
        <v>6.5030142857142863</v>
      </c>
      <c r="AD352" s="212">
        <v>184.60390000000001</v>
      </c>
    </row>
    <row r="353" spans="1:30" s="214" customFormat="1" ht="15.75" customHeight="1" x14ac:dyDescent="0.2">
      <c r="A353" s="201">
        <v>551</v>
      </c>
      <c r="B353" s="202" t="s">
        <v>875</v>
      </c>
      <c r="C353" s="202" t="s">
        <v>38</v>
      </c>
      <c r="D353" s="203">
        <v>0</v>
      </c>
      <c r="E353" s="204">
        <v>15.04</v>
      </c>
      <c r="F353" s="204">
        <v>1.97</v>
      </c>
      <c r="G353" s="205" t="s">
        <v>39</v>
      </c>
      <c r="H353" s="202" t="s">
        <v>94</v>
      </c>
      <c r="I353" s="202" t="s">
        <v>49</v>
      </c>
      <c r="J353" s="202" t="s">
        <v>88</v>
      </c>
      <c r="K353" s="202" t="s">
        <v>51</v>
      </c>
      <c r="L353" s="206" t="s">
        <v>92</v>
      </c>
      <c r="M353" s="207">
        <v>0.39</v>
      </c>
      <c r="N353" s="202" t="s">
        <v>33</v>
      </c>
      <c r="O353" s="202" t="s">
        <v>53</v>
      </c>
      <c r="P353" s="202" t="s">
        <v>187</v>
      </c>
      <c r="Q353" s="202" t="s">
        <v>876</v>
      </c>
      <c r="R353" s="208">
        <v>75090</v>
      </c>
      <c r="S353" s="209">
        <v>42034</v>
      </c>
      <c r="T353" s="209">
        <v>42036</v>
      </c>
      <c r="U353" s="204">
        <v>21.514199999999999</v>
      </c>
      <c r="V353" s="201">
        <v>2</v>
      </c>
      <c r="W353" s="204">
        <v>31.18</v>
      </c>
      <c r="X353" s="201">
        <v>90909</v>
      </c>
      <c r="Y353" s="210">
        <v>46.849999999999994</v>
      </c>
      <c r="Z353" s="211" t="s">
        <v>3012</v>
      </c>
      <c r="AA353" s="212">
        <v>0</v>
      </c>
      <c r="AB353" s="213">
        <v>19.0198</v>
      </c>
      <c r="AC353" s="213">
        <v>6.0800999999999998</v>
      </c>
      <c r="AD353" s="212">
        <v>7.695800000000002</v>
      </c>
    </row>
    <row r="354" spans="1:30" s="214" customFormat="1" ht="15.75" customHeight="1" x14ac:dyDescent="0.2">
      <c r="A354" s="201">
        <v>550</v>
      </c>
      <c r="B354" s="202" t="s">
        <v>872</v>
      </c>
      <c r="C354" s="202" t="s">
        <v>38</v>
      </c>
      <c r="D354" s="203">
        <v>0.05</v>
      </c>
      <c r="E354" s="204">
        <v>1.68</v>
      </c>
      <c r="F354" s="204">
        <v>1.57</v>
      </c>
      <c r="G354" s="205" t="s">
        <v>39</v>
      </c>
      <c r="H354" s="202" t="s">
        <v>94</v>
      </c>
      <c r="I354" s="202" t="s">
        <v>49</v>
      </c>
      <c r="J354" s="202" t="s">
        <v>50</v>
      </c>
      <c r="K354" s="202" t="s">
        <v>51</v>
      </c>
      <c r="L354" s="206" t="s">
        <v>574</v>
      </c>
      <c r="M354" s="207">
        <v>0.59</v>
      </c>
      <c r="N354" s="202" t="s">
        <v>33</v>
      </c>
      <c r="O354" s="202" t="s">
        <v>53</v>
      </c>
      <c r="P354" s="202" t="s">
        <v>187</v>
      </c>
      <c r="Q354" s="202" t="s">
        <v>873</v>
      </c>
      <c r="R354" s="208">
        <v>78155</v>
      </c>
      <c r="S354" s="209">
        <v>42034</v>
      </c>
      <c r="T354" s="209">
        <v>42035</v>
      </c>
      <c r="U354" s="204">
        <v>-33.340000000000003</v>
      </c>
      <c r="V354" s="201">
        <v>11</v>
      </c>
      <c r="W354" s="204">
        <v>18.75</v>
      </c>
      <c r="X354" s="201">
        <v>90909</v>
      </c>
      <c r="Y354" s="210">
        <v>574.66999999999996</v>
      </c>
      <c r="Z354" s="211" t="s">
        <v>3012</v>
      </c>
      <c r="AA354" s="212">
        <v>0.92400000000000004</v>
      </c>
      <c r="AB354" s="213">
        <v>7.6875000000000009</v>
      </c>
      <c r="AC354" s="213">
        <v>1.0056818181818181</v>
      </c>
      <c r="AD354" s="212">
        <v>49.596000000000004</v>
      </c>
    </row>
    <row r="355" spans="1:30" s="37" customFormat="1" ht="15.75" customHeight="1" x14ac:dyDescent="0.2">
      <c r="A355" s="26">
        <v>2781</v>
      </c>
      <c r="B355" s="27" t="s">
        <v>895</v>
      </c>
      <c r="C355" s="27" t="s">
        <v>48</v>
      </c>
      <c r="D355" s="28">
        <v>0.03</v>
      </c>
      <c r="E355" s="29">
        <v>808.49</v>
      </c>
      <c r="F355" s="29">
        <v>55.3</v>
      </c>
      <c r="G355" s="30" t="s">
        <v>27</v>
      </c>
      <c r="H355" s="27" t="s">
        <v>40</v>
      </c>
      <c r="I355" s="27" t="s">
        <v>41</v>
      </c>
      <c r="J355" s="27" t="s">
        <v>57</v>
      </c>
      <c r="K355" s="27" t="s">
        <v>58</v>
      </c>
      <c r="L355" s="31" t="s">
        <v>898</v>
      </c>
      <c r="M355" s="32">
        <v>0.4</v>
      </c>
      <c r="N355" s="27" t="s">
        <v>33</v>
      </c>
      <c r="O355" s="27" t="s">
        <v>60</v>
      </c>
      <c r="P355" s="27" t="s">
        <v>139</v>
      </c>
      <c r="Q355" s="27" t="s">
        <v>897</v>
      </c>
      <c r="R355" s="33">
        <v>97071</v>
      </c>
      <c r="S355" s="34">
        <v>42035</v>
      </c>
      <c r="T355" s="34">
        <v>42042</v>
      </c>
      <c r="U355" s="29">
        <v>7576.11</v>
      </c>
      <c r="V355" s="26">
        <v>11</v>
      </c>
      <c r="W355" s="29">
        <v>8201.33</v>
      </c>
      <c r="X355" s="26">
        <v>87162</v>
      </c>
      <c r="Y355" s="35">
        <v>8.31</v>
      </c>
      <c r="Z355" s="1" t="s">
        <v>3013</v>
      </c>
      <c r="AA355" s="36">
        <v>266.80169999999998</v>
      </c>
      <c r="AB355" s="54">
        <v>4920.7979999999998</v>
      </c>
      <c r="AC355" s="54">
        <v>298.23018181818185</v>
      </c>
      <c r="AD355" s="36">
        <v>303.11830000000009</v>
      </c>
    </row>
    <row r="356" spans="1:30" s="37" customFormat="1" ht="15.75" customHeight="1" x14ac:dyDescent="0.2">
      <c r="A356" s="26">
        <v>911</v>
      </c>
      <c r="B356" s="27" t="s">
        <v>902</v>
      </c>
      <c r="C356" s="27" t="s">
        <v>3094</v>
      </c>
      <c r="D356" s="28">
        <v>0.04</v>
      </c>
      <c r="E356" s="29">
        <v>218.75</v>
      </c>
      <c r="F356" s="29">
        <v>69.64</v>
      </c>
      <c r="G356" s="30" t="s">
        <v>27</v>
      </c>
      <c r="H356" s="27" t="s">
        <v>94</v>
      </c>
      <c r="I356" s="27" t="s">
        <v>29</v>
      </c>
      <c r="J356" s="27" t="s">
        <v>30</v>
      </c>
      <c r="K356" s="27" t="s">
        <v>31</v>
      </c>
      <c r="L356" s="31" t="s">
        <v>874</v>
      </c>
      <c r="M356" s="32">
        <v>0.72</v>
      </c>
      <c r="N356" s="27" t="s">
        <v>33</v>
      </c>
      <c r="O356" s="27" t="s">
        <v>111</v>
      </c>
      <c r="P356" s="27" t="s">
        <v>903</v>
      </c>
      <c r="Q356" s="27" t="s">
        <v>904</v>
      </c>
      <c r="R356" s="33">
        <v>26003</v>
      </c>
      <c r="S356" s="34">
        <v>42035</v>
      </c>
      <c r="T356" s="34">
        <v>42036</v>
      </c>
      <c r="U356" s="29">
        <v>-655.52987499999995</v>
      </c>
      <c r="V356" s="26">
        <v>10</v>
      </c>
      <c r="W356" s="29">
        <v>2285.41</v>
      </c>
      <c r="X356" s="26">
        <v>90185</v>
      </c>
      <c r="Y356" s="35">
        <v>15.200000000000001</v>
      </c>
      <c r="Z356" s="1" t="s">
        <v>3014</v>
      </c>
      <c r="AA356" s="36">
        <v>87.5</v>
      </c>
      <c r="AB356" s="54">
        <v>639.91480000000001</v>
      </c>
      <c r="AC356" s="54">
        <v>164.54952</v>
      </c>
      <c r="AD356" s="36">
        <v>2783.7998749999997</v>
      </c>
    </row>
    <row r="357" spans="1:30" s="37" customFormat="1" ht="15.75" customHeight="1" x14ac:dyDescent="0.2">
      <c r="A357" s="26">
        <v>1723</v>
      </c>
      <c r="B357" s="27" t="s">
        <v>888</v>
      </c>
      <c r="C357" s="27" t="s">
        <v>48</v>
      </c>
      <c r="D357" s="28">
        <v>0.1</v>
      </c>
      <c r="E357" s="29">
        <v>49.99</v>
      </c>
      <c r="F357" s="29">
        <v>19.989999999999998</v>
      </c>
      <c r="G357" s="30" t="s">
        <v>87</v>
      </c>
      <c r="H357" s="27" t="s">
        <v>94</v>
      </c>
      <c r="I357" s="27" t="s">
        <v>41</v>
      </c>
      <c r="J357" s="27" t="s">
        <v>42</v>
      </c>
      <c r="K357" s="27" t="s">
        <v>73</v>
      </c>
      <c r="L357" s="31" t="s">
        <v>889</v>
      </c>
      <c r="M357" s="32">
        <v>0.45</v>
      </c>
      <c r="N357" s="27" t="s">
        <v>33</v>
      </c>
      <c r="O357" s="27" t="s">
        <v>60</v>
      </c>
      <c r="P357" s="27" t="s">
        <v>90</v>
      </c>
      <c r="Q357" s="27" t="s">
        <v>890</v>
      </c>
      <c r="R357" s="33">
        <v>92037</v>
      </c>
      <c r="S357" s="34">
        <v>42035</v>
      </c>
      <c r="T357" s="34">
        <v>42040</v>
      </c>
      <c r="U357" s="29">
        <v>13.507999999999999</v>
      </c>
      <c r="V357" s="26">
        <v>46</v>
      </c>
      <c r="W357" s="29">
        <v>2188.06</v>
      </c>
      <c r="X357" s="26">
        <v>40101</v>
      </c>
      <c r="Y357" s="35">
        <v>49.89</v>
      </c>
      <c r="Z357" s="1" t="s">
        <v>3013</v>
      </c>
      <c r="AA357" s="36">
        <v>229.95400000000004</v>
      </c>
      <c r="AB357" s="54">
        <v>1203.433</v>
      </c>
      <c r="AC357" s="54">
        <v>21.404934782608699</v>
      </c>
      <c r="AD357" s="36">
        <v>1924.6079999999999</v>
      </c>
    </row>
    <row r="358" spans="1:30" s="37" customFormat="1" ht="15.75" customHeight="1" x14ac:dyDescent="0.2">
      <c r="A358" s="26">
        <v>2202</v>
      </c>
      <c r="B358" s="27" t="s">
        <v>891</v>
      </c>
      <c r="C358" s="27" t="s">
        <v>48</v>
      </c>
      <c r="D358" s="28">
        <v>0.09</v>
      </c>
      <c r="E358" s="29">
        <v>160.97999999999999</v>
      </c>
      <c r="F358" s="29">
        <v>30</v>
      </c>
      <c r="G358" s="30" t="s">
        <v>27</v>
      </c>
      <c r="H358" s="27" t="s">
        <v>71</v>
      </c>
      <c r="I358" s="27" t="s">
        <v>29</v>
      </c>
      <c r="J358" s="27" t="s">
        <v>109</v>
      </c>
      <c r="K358" s="27" t="s">
        <v>58</v>
      </c>
      <c r="L358" s="31" t="s">
        <v>892</v>
      </c>
      <c r="M358" s="32">
        <v>0.62</v>
      </c>
      <c r="N358" s="27" t="s">
        <v>33</v>
      </c>
      <c r="O358" s="27" t="s">
        <v>53</v>
      </c>
      <c r="P358" s="27" t="s">
        <v>84</v>
      </c>
      <c r="Q358" s="27" t="s">
        <v>893</v>
      </c>
      <c r="R358" s="33">
        <v>55429</v>
      </c>
      <c r="S358" s="34">
        <v>42035</v>
      </c>
      <c r="T358" s="34">
        <v>42035</v>
      </c>
      <c r="U358" s="29">
        <v>357.428</v>
      </c>
      <c r="V358" s="26">
        <v>11</v>
      </c>
      <c r="W358" s="29">
        <v>1635.38</v>
      </c>
      <c r="X358" s="26">
        <v>86050</v>
      </c>
      <c r="Y358" s="35">
        <v>160.88999999999999</v>
      </c>
      <c r="Z358" s="1" t="s">
        <v>3012</v>
      </c>
      <c r="AA358" s="36">
        <v>159.37019999999998</v>
      </c>
      <c r="AB358" s="54">
        <v>621.44440000000009</v>
      </c>
      <c r="AC358" s="54">
        <v>92.175963636363647</v>
      </c>
      <c r="AD358" s="36">
        <v>1088.5818000000002</v>
      </c>
    </row>
    <row r="359" spans="1:30" s="37" customFormat="1" ht="15.75" customHeight="1" x14ac:dyDescent="0.2">
      <c r="A359" s="26">
        <v>1238</v>
      </c>
      <c r="B359" s="27" t="s">
        <v>900</v>
      </c>
      <c r="C359" s="27" t="s">
        <v>116</v>
      </c>
      <c r="D359" s="28">
        <v>0.01</v>
      </c>
      <c r="E359" s="29">
        <v>160.97999999999999</v>
      </c>
      <c r="F359" s="29">
        <v>30</v>
      </c>
      <c r="G359" s="30" t="s">
        <v>27</v>
      </c>
      <c r="H359" s="27" t="s">
        <v>94</v>
      </c>
      <c r="I359" s="27" t="s">
        <v>29</v>
      </c>
      <c r="J359" s="27" t="s">
        <v>109</v>
      </c>
      <c r="K359" s="27" t="s">
        <v>58</v>
      </c>
      <c r="L359" s="31" t="s">
        <v>892</v>
      </c>
      <c r="M359" s="32">
        <v>0.62</v>
      </c>
      <c r="N359" s="27" t="s">
        <v>33</v>
      </c>
      <c r="O359" s="27" t="s">
        <v>53</v>
      </c>
      <c r="P359" s="27" t="s">
        <v>187</v>
      </c>
      <c r="Q359" s="27" t="s">
        <v>901</v>
      </c>
      <c r="R359" s="33">
        <v>75104</v>
      </c>
      <c r="S359" s="34">
        <v>42035</v>
      </c>
      <c r="T359" s="34">
        <v>42037</v>
      </c>
      <c r="U359" s="29">
        <v>788.79</v>
      </c>
      <c r="V359" s="26">
        <v>10</v>
      </c>
      <c r="W359" s="29">
        <v>1634.67</v>
      </c>
      <c r="X359" s="26">
        <v>86075</v>
      </c>
      <c r="Y359" s="35">
        <v>6.21</v>
      </c>
      <c r="Z359" s="1" t="s">
        <v>3012</v>
      </c>
      <c r="AA359" s="36">
        <v>16.097999999999999</v>
      </c>
      <c r="AB359" s="54">
        <v>621.17460000000005</v>
      </c>
      <c r="AC359" s="54">
        <v>101.34954</v>
      </c>
      <c r="AD359" s="36">
        <v>799.78200000000015</v>
      </c>
    </row>
    <row r="360" spans="1:30" s="37" customFormat="1" ht="15.75" customHeight="1" x14ac:dyDescent="0.2">
      <c r="A360" s="26">
        <v>343</v>
      </c>
      <c r="B360" s="27" t="s">
        <v>885</v>
      </c>
      <c r="C360" s="27" t="s">
        <v>26</v>
      </c>
      <c r="D360" s="28">
        <v>0.03</v>
      </c>
      <c r="E360" s="29">
        <v>15.23</v>
      </c>
      <c r="F360" s="29">
        <v>27.75</v>
      </c>
      <c r="G360" s="30" t="s">
        <v>27</v>
      </c>
      <c r="H360" s="27" t="s">
        <v>94</v>
      </c>
      <c r="I360" s="27" t="s">
        <v>29</v>
      </c>
      <c r="J360" s="27" t="s">
        <v>30</v>
      </c>
      <c r="K360" s="27" t="s">
        <v>31</v>
      </c>
      <c r="L360" s="31" t="s">
        <v>886</v>
      </c>
      <c r="M360" s="32">
        <v>0.76</v>
      </c>
      <c r="N360" s="27" t="s">
        <v>33</v>
      </c>
      <c r="O360" s="27" t="s">
        <v>111</v>
      </c>
      <c r="P360" s="27" t="s">
        <v>331</v>
      </c>
      <c r="Q360" s="27" t="s">
        <v>887</v>
      </c>
      <c r="R360" s="33">
        <v>4401</v>
      </c>
      <c r="S360" s="34">
        <v>42035</v>
      </c>
      <c r="T360" s="34">
        <v>42036</v>
      </c>
      <c r="U360" s="29">
        <v>11.65095</v>
      </c>
      <c r="V360" s="26">
        <v>7</v>
      </c>
      <c r="W360" s="29">
        <v>111.86</v>
      </c>
      <c r="X360" s="26">
        <v>88151</v>
      </c>
      <c r="Y360" s="35">
        <v>4.9800000000000004</v>
      </c>
      <c r="Z360" s="1" t="s">
        <v>3014</v>
      </c>
      <c r="AA360" s="36">
        <v>3.1982999999999997</v>
      </c>
      <c r="AB360" s="54">
        <v>26.846399999999999</v>
      </c>
      <c r="AC360" s="54">
        <v>12.1448</v>
      </c>
      <c r="AD360" s="36">
        <v>69.260750000000002</v>
      </c>
    </row>
    <row r="361" spans="1:30" s="37" customFormat="1" ht="15.75" customHeight="1" x14ac:dyDescent="0.2">
      <c r="A361" s="26">
        <v>2137</v>
      </c>
      <c r="B361" s="27" t="s">
        <v>905</v>
      </c>
      <c r="C361" s="27" t="s">
        <v>3094</v>
      </c>
      <c r="D361" s="28">
        <v>0</v>
      </c>
      <c r="E361" s="29">
        <v>6.98</v>
      </c>
      <c r="F361" s="29">
        <v>1.6</v>
      </c>
      <c r="G361" s="30" t="s">
        <v>39</v>
      </c>
      <c r="H361" s="27" t="s">
        <v>94</v>
      </c>
      <c r="I361" s="27" t="s">
        <v>49</v>
      </c>
      <c r="J361" s="27" t="s">
        <v>88</v>
      </c>
      <c r="K361" s="27" t="s">
        <v>51</v>
      </c>
      <c r="L361" s="31" t="s">
        <v>722</v>
      </c>
      <c r="M361" s="32">
        <v>0.38</v>
      </c>
      <c r="N361" s="27" t="s">
        <v>33</v>
      </c>
      <c r="O361" s="27" t="s">
        <v>34</v>
      </c>
      <c r="P361" s="27" t="s">
        <v>123</v>
      </c>
      <c r="Q361" s="27" t="s">
        <v>906</v>
      </c>
      <c r="R361" s="33">
        <v>33407</v>
      </c>
      <c r="S361" s="34">
        <v>42035</v>
      </c>
      <c r="T361" s="34">
        <v>42037</v>
      </c>
      <c r="U361" s="29">
        <v>-343.86799999999999</v>
      </c>
      <c r="V361" s="26">
        <v>9</v>
      </c>
      <c r="W361" s="29">
        <v>64.48</v>
      </c>
      <c r="X361" s="26">
        <v>86002</v>
      </c>
      <c r="Y361" s="35">
        <v>2.0700000000000003</v>
      </c>
      <c r="Z361" s="1" t="s">
        <v>3011</v>
      </c>
      <c r="AA361" s="36">
        <v>0</v>
      </c>
      <c r="AB361" s="54">
        <v>39.977600000000002</v>
      </c>
      <c r="AC361" s="54">
        <v>2.7224888888888894</v>
      </c>
      <c r="AD361" s="36">
        <v>406.74799999999999</v>
      </c>
    </row>
    <row r="362" spans="1:30" s="37" customFormat="1" ht="15.75" customHeight="1" x14ac:dyDescent="0.2">
      <c r="A362" s="26">
        <v>2202</v>
      </c>
      <c r="B362" s="27" t="s">
        <v>891</v>
      </c>
      <c r="C362" s="27" t="s">
        <v>48</v>
      </c>
      <c r="D362" s="28">
        <v>0.09</v>
      </c>
      <c r="E362" s="29">
        <v>6.3</v>
      </c>
      <c r="F362" s="29">
        <v>0.5</v>
      </c>
      <c r="G362" s="30" t="s">
        <v>39</v>
      </c>
      <c r="H362" s="27" t="s">
        <v>71</v>
      </c>
      <c r="I362" s="27" t="s">
        <v>49</v>
      </c>
      <c r="J362" s="27" t="s">
        <v>152</v>
      </c>
      <c r="K362" s="27" t="s">
        <v>73</v>
      </c>
      <c r="L362" s="31" t="s">
        <v>422</v>
      </c>
      <c r="M362" s="32">
        <v>0.39</v>
      </c>
      <c r="N362" s="27" t="s">
        <v>33</v>
      </c>
      <c r="O362" s="27" t="s">
        <v>53</v>
      </c>
      <c r="P362" s="27" t="s">
        <v>84</v>
      </c>
      <c r="Q362" s="27" t="s">
        <v>893</v>
      </c>
      <c r="R362" s="33">
        <v>55429</v>
      </c>
      <c r="S362" s="34">
        <v>42035</v>
      </c>
      <c r="T362" s="34">
        <v>42035</v>
      </c>
      <c r="U362" s="29">
        <v>40.351199999999999</v>
      </c>
      <c r="V362" s="26">
        <v>10</v>
      </c>
      <c r="W362" s="29">
        <v>58.48</v>
      </c>
      <c r="X362" s="26">
        <v>86050</v>
      </c>
      <c r="Y362" s="35">
        <v>808.46</v>
      </c>
      <c r="Z362" s="1" t="s">
        <v>3012</v>
      </c>
      <c r="AA362" s="36">
        <v>5.67</v>
      </c>
      <c r="AB362" s="54">
        <v>35.672799999999995</v>
      </c>
      <c r="AC362" s="54">
        <v>2.2807200000000001</v>
      </c>
      <c r="AD362" s="36">
        <v>11.958799999999997</v>
      </c>
    </row>
    <row r="363" spans="1:30" s="37" customFormat="1" ht="15.75" customHeight="1" x14ac:dyDescent="0.2">
      <c r="A363" s="26">
        <v>2202</v>
      </c>
      <c r="B363" s="27" t="s">
        <v>891</v>
      </c>
      <c r="C363" s="27" t="s">
        <v>48</v>
      </c>
      <c r="D363" s="28">
        <v>0</v>
      </c>
      <c r="E363" s="29">
        <v>4.9800000000000004</v>
      </c>
      <c r="F363" s="29">
        <v>0.8</v>
      </c>
      <c r="G363" s="30" t="s">
        <v>39</v>
      </c>
      <c r="H363" s="27" t="s">
        <v>71</v>
      </c>
      <c r="I363" s="27" t="s">
        <v>49</v>
      </c>
      <c r="J363" s="27" t="s">
        <v>88</v>
      </c>
      <c r="K363" s="27" t="s">
        <v>51</v>
      </c>
      <c r="L363" s="31" t="s">
        <v>894</v>
      </c>
      <c r="M363" s="32">
        <v>0.36</v>
      </c>
      <c r="N363" s="27" t="s">
        <v>33</v>
      </c>
      <c r="O363" s="27" t="s">
        <v>53</v>
      </c>
      <c r="P363" s="27" t="s">
        <v>84</v>
      </c>
      <c r="Q363" s="27" t="s">
        <v>893</v>
      </c>
      <c r="R363" s="33">
        <v>55429</v>
      </c>
      <c r="S363" s="34">
        <v>42035</v>
      </c>
      <c r="T363" s="34">
        <v>42042</v>
      </c>
      <c r="U363" s="29">
        <v>27.634499999999999</v>
      </c>
      <c r="V363" s="26">
        <v>8</v>
      </c>
      <c r="W363" s="29">
        <v>40.049999999999997</v>
      </c>
      <c r="X363" s="26">
        <v>86050</v>
      </c>
      <c r="Y363" s="35">
        <v>6.48</v>
      </c>
      <c r="Z363" s="1" t="s">
        <v>3012</v>
      </c>
      <c r="AA363" s="36">
        <v>0</v>
      </c>
      <c r="AB363" s="54">
        <v>25.631999999999998</v>
      </c>
      <c r="AC363" s="54">
        <v>1.8022499999999999</v>
      </c>
      <c r="AD363" s="36">
        <v>11.615499999999997</v>
      </c>
    </row>
    <row r="364" spans="1:30" s="37" customFormat="1" ht="15.75" customHeight="1" x14ac:dyDescent="0.2">
      <c r="A364" s="26">
        <v>256</v>
      </c>
      <c r="B364" s="27" t="s">
        <v>882</v>
      </c>
      <c r="C364" s="27" t="s">
        <v>26</v>
      </c>
      <c r="D364" s="28">
        <v>0.03</v>
      </c>
      <c r="E364" s="29">
        <v>8.34</v>
      </c>
      <c r="F364" s="29">
        <v>2.64</v>
      </c>
      <c r="G364" s="30" t="s">
        <v>39</v>
      </c>
      <c r="H364" s="27" t="s">
        <v>71</v>
      </c>
      <c r="I364" s="27" t="s">
        <v>49</v>
      </c>
      <c r="J364" s="27" t="s">
        <v>568</v>
      </c>
      <c r="K364" s="27" t="s">
        <v>43</v>
      </c>
      <c r="L364" s="31" t="s">
        <v>883</v>
      </c>
      <c r="M364" s="32">
        <v>0.59</v>
      </c>
      <c r="N364" s="27" t="s">
        <v>33</v>
      </c>
      <c r="O364" s="27" t="s">
        <v>111</v>
      </c>
      <c r="P364" s="27" t="s">
        <v>320</v>
      </c>
      <c r="Q364" s="27" t="s">
        <v>884</v>
      </c>
      <c r="R364" s="33">
        <v>17331</v>
      </c>
      <c r="S364" s="34">
        <v>42035</v>
      </c>
      <c r="T364" s="34">
        <v>42037</v>
      </c>
      <c r="U364" s="29">
        <v>0.68400000000000005</v>
      </c>
      <c r="V364" s="26">
        <v>4</v>
      </c>
      <c r="W364" s="29">
        <v>34.64</v>
      </c>
      <c r="X364" s="26">
        <v>86267</v>
      </c>
      <c r="Y364" s="35">
        <v>160.97</v>
      </c>
      <c r="Z364" s="1" t="s">
        <v>3014</v>
      </c>
      <c r="AA364" s="36">
        <v>1.0007999999999999</v>
      </c>
      <c r="AB364" s="54">
        <v>14.202400000000001</v>
      </c>
      <c r="AC364" s="54">
        <v>5.1093999999999999</v>
      </c>
      <c r="AD364" s="36">
        <v>30.315200000000001</v>
      </c>
    </row>
    <row r="365" spans="1:30" s="37" customFormat="1" ht="15.75" customHeight="1" x14ac:dyDescent="0.2">
      <c r="A365" s="26">
        <v>2781</v>
      </c>
      <c r="B365" s="27" t="s">
        <v>895</v>
      </c>
      <c r="C365" s="27" t="s">
        <v>48</v>
      </c>
      <c r="D365" s="28">
        <v>0</v>
      </c>
      <c r="E365" s="29">
        <v>6.48</v>
      </c>
      <c r="F365" s="29">
        <v>8.19</v>
      </c>
      <c r="G365" s="30" t="s">
        <v>39</v>
      </c>
      <c r="H365" s="27" t="s">
        <v>40</v>
      </c>
      <c r="I365" s="27" t="s">
        <v>49</v>
      </c>
      <c r="J365" s="27" t="s">
        <v>88</v>
      </c>
      <c r="K365" s="27" t="s">
        <v>73</v>
      </c>
      <c r="L365" s="31" t="s">
        <v>899</v>
      </c>
      <c r="M365" s="32">
        <v>0.37</v>
      </c>
      <c r="N365" s="27" t="s">
        <v>33</v>
      </c>
      <c r="O365" s="27" t="s">
        <v>60</v>
      </c>
      <c r="P365" s="27" t="s">
        <v>139</v>
      </c>
      <c r="Q365" s="27" t="s">
        <v>897</v>
      </c>
      <c r="R365" s="33">
        <v>97071</v>
      </c>
      <c r="S365" s="34">
        <v>42035</v>
      </c>
      <c r="T365" s="34">
        <v>42042</v>
      </c>
      <c r="U365" s="29">
        <v>-43.26</v>
      </c>
      <c r="V365" s="26">
        <v>3</v>
      </c>
      <c r="W365" s="29">
        <v>22.67</v>
      </c>
      <c r="X365" s="26">
        <v>87162</v>
      </c>
      <c r="Y365" s="35">
        <v>7.59</v>
      </c>
      <c r="Z365" s="1" t="s">
        <v>3013</v>
      </c>
      <c r="AA365" s="36">
        <v>0</v>
      </c>
      <c r="AB365" s="54">
        <v>14.282100000000002</v>
      </c>
      <c r="AC365" s="54">
        <v>2.7959666666666672</v>
      </c>
      <c r="AD365" s="36">
        <v>57.74</v>
      </c>
    </row>
    <row r="366" spans="1:30" s="37" customFormat="1" ht="15.75" customHeight="1" x14ac:dyDescent="0.2">
      <c r="A366" s="26">
        <v>911</v>
      </c>
      <c r="B366" s="27" t="s">
        <v>902</v>
      </c>
      <c r="C366" s="27" t="s">
        <v>3094</v>
      </c>
      <c r="D366" s="28">
        <v>0.05</v>
      </c>
      <c r="E366" s="29">
        <v>7.64</v>
      </c>
      <c r="F366" s="29">
        <v>5.83</v>
      </c>
      <c r="G366" s="30" t="s">
        <v>39</v>
      </c>
      <c r="H366" s="27" t="s">
        <v>94</v>
      </c>
      <c r="I366" s="27" t="s">
        <v>49</v>
      </c>
      <c r="J366" s="27" t="s">
        <v>88</v>
      </c>
      <c r="K366" s="27" t="s">
        <v>51</v>
      </c>
      <c r="L366" s="31" t="s">
        <v>232</v>
      </c>
      <c r="M366" s="32">
        <v>0.36</v>
      </c>
      <c r="N366" s="27" t="s">
        <v>33</v>
      </c>
      <c r="O366" s="27" t="s">
        <v>111</v>
      </c>
      <c r="P366" s="27" t="s">
        <v>903</v>
      </c>
      <c r="Q366" s="27" t="s">
        <v>904</v>
      </c>
      <c r="R366" s="33">
        <v>26003</v>
      </c>
      <c r="S366" s="34">
        <v>42035</v>
      </c>
      <c r="T366" s="34">
        <v>42037</v>
      </c>
      <c r="U366" s="29">
        <v>-21.018000000000001</v>
      </c>
      <c r="V366" s="26">
        <v>2</v>
      </c>
      <c r="W366" s="29">
        <v>16.600000000000001</v>
      </c>
      <c r="X366" s="26">
        <v>90185</v>
      </c>
      <c r="Y366" s="35">
        <v>218.71</v>
      </c>
      <c r="Z366" s="1" t="s">
        <v>3014</v>
      </c>
      <c r="AA366" s="36">
        <v>0.76400000000000001</v>
      </c>
      <c r="AB366" s="54">
        <v>10.624000000000001</v>
      </c>
      <c r="AC366" s="54">
        <v>2.988</v>
      </c>
      <c r="AD366" s="36">
        <v>31.024000000000001</v>
      </c>
    </row>
    <row r="367" spans="1:30" s="37" customFormat="1" ht="15.75" customHeight="1" x14ac:dyDescent="0.2">
      <c r="A367" s="26">
        <v>2781</v>
      </c>
      <c r="B367" s="27" t="s">
        <v>895</v>
      </c>
      <c r="C367" s="27" t="s">
        <v>48</v>
      </c>
      <c r="D367" s="28">
        <v>0.09</v>
      </c>
      <c r="E367" s="29">
        <v>2.16</v>
      </c>
      <c r="F367" s="29">
        <v>6.05</v>
      </c>
      <c r="G367" s="30" t="s">
        <v>39</v>
      </c>
      <c r="H367" s="27" t="s">
        <v>40</v>
      </c>
      <c r="I367" s="27" t="s">
        <v>49</v>
      </c>
      <c r="J367" s="27" t="s">
        <v>72</v>
      </c>
      <c r="K367" s="27" t="s">
        <v>73</v>
      </c>
      <c r="L367" s="31" t="s">
        <v>896</v>
      </c>
      <c r="M367" s="32">
        <v>0.37</v>
      </c>
      <c r="N367" s="27" t="s">
        <v>33</v>
      </c>
      <c r="O367" s="27" t="s">
        <v>60</v>
      </c>
      <c r="P367" s="27" t="s">
        <v>139</v>
      </c>
      <c r="Q367" s="27" t="s">
        <v>897</v>
      </c>
      <c r="R367" s="33">
        <v>97071</v>
      </c>
      <c r="S367" s="34">
        <v>42035</v>
      </c>
      <c r="T367" s="34">
        <v>42039</v>
      </c>
      <c r="U367" s="29">
        <v>-37.789000000000001</v>
      </c>
      <c r="V367" s="26">
        <v>2</v>
      </c>
      <c r="W367" s="29">
        <v>5.48</v>
      </c>
      <c r="X367" s="26">
        <v>87162</v>
      </c>
      <c r="Y367" s="35">
        <v>6.98</v>
      </c>
      <c r="Z367" s="1" t="s">
        <v>3013</v>
      </c>
      <c r="AA367" s="36">
        <v>0.38880000000000003</v>
      </c>
      <c r="AB367" s="54">
        <v>3.4524000000000004</v>
      </c>
      <c r="AC367" s="54">
        <v>1.0138</v>
      </c>
      <c r="AD367" s="36">
        <v>36.830200000000005</v>
      </c>
    </row>
    <row r="368" spans="1:30" s="37" customFormat="1" ht="15.75" customHeight="1" x14ac:dyDescent="0.2">
      <c r="A368" s="26">
        <v>1949</v>
      </c>
      <c r="B368" s="27" t="s">
        <v>914</v>
      </c>
      <c r="C368" s="27" t="s">
        <v>48</v>
      </c>
      <c r="D368" s="28">
        <v>0.05</v>
      </c>
      <c r="E368" s="29">
        <v>424.21</v>
      </c>
      <c r="F368" s="29">
        <v>110.2</v>
      </c>
      <c r="G368" s="30" t="s">
        <v>27</v>
      </c>
      <c r="H368" s="27" t="s">
        <v>3095</v>
      </c>
      <c r="I368" s="27" t="s">
        <v>29</v>
      </c>
      <c r="J368" s="27" t="s">
        <v>30</v>
      </c>
      <c r="K368" s="27" t="s">
        <v>31</v>
      </c>
      <c r="L368" s="31" t="s">
        <v>915</v>
      </c>
      <c r="M368" s="32">
        <v>0.67</v>
      </c>
      <c r="N368" s="27" t="s">
        <v>33</v>
      </c>
      <c r="O368" s="27" t="s">
        <v>60</v>
      </c>
      <c r="P368" s="27" t="s">
        <v>277</v>
      </c>
      <c r="Q368" s="27" t="s">
        <v>916</v>
      </c>
      <c r="R368" s="33">
        <v>59715</v>
      </c>
      <c r="S368" s="34">
        <v>42036</v>
      </c>
      <c r="T368" s="34">
        <v>42040</v>
      </c>
      <c r="U368" s="29">
        <v>-213.40280000000001</v>
      </c>
      <c r="V368" s="26">
        <v>12</v>
      </c>
      <c r="W368" s="29">
        <v>4935.22</v>
      </c>
      <c r="X368" s="26">
        <v>90415</v>
      </c>
      <c r="Y368" s="35">
        <v>6.34</v>
      </c>
      <c r="Z368" s="1" t="s">
        <v>3013</v>
      </c>
      <c r="AA368" s="36">
        <v>254.52600000000001</v>
      </c>
      <c r="AB368" s="54">
        <v>1628.6225999999999</v>
      </c>
      <c r="AC368" s="54">
        <v>275.54978333333338</v>
      </c>
      <c r="AD368" s="36">
        <v>4783.8968000000004</v>
      </c>
    </row>
    <row r="369" spans="1:30" s="37" customFormat="1" ht="15.75" customHeight="1" x14ac:dyDescent="0.2">
      <c r="A369" s="26">
        <v>2071</v>
      </c>
      <c r="B369" s="27" t="s">
        <v>917</v>
      </c>
      <c r="C369" s="27" t="s">
        <v>3094</v>
      </c>
      <c r="D369" s="28">
        <v>0.03</v>
      </c>
      <c r="E369" s="29">
        <v>60.98</v>
      </c>
      <c r="F369" s="29">
        <v>1.99</v>
      </c>
      <c r="G369" s="30" t="s">
        <v>39</v>
      </c>
      <c r="H369" s="27" t="s">
        <v>94</v>
      </c>
      <c r="I369" s="27" t="s">
        <v>41</v>
      </c>
      <c r="J369" s="27" t="s">
        <v>42</v>
      </c>
      <c r="K369" s="27" t="s">
        <v>43</v>
      </c>
      <c r="L369" s="31" t="s">
        <v>918</v>
      </c>
      <c r="M369" s="32">
        <v>0.5</v>
      </c>
      <c r="N369" s="27" t="s">
        <v>33</v>
      </c>
      <c r="O369" s="27" t="s">
        <v>53</v>
      </c>
      <c r="P369" s="27" t="s">
        <v>289</v>
      </c>
      <c r="Q369" s="27" t="s">
        <v>919</v>
      </c>
      <c r="R369" s="33">
        <v>48336</v>
      </c>
      <c r="S369" s="34">
        <v>42036</v>
      </c>
      <c r="T369" s="34">
        <v>42036</v>
      </c>
      <c r="U369" s="29">
        <v>976.2672</v>
      </c>
      <c r="V369" s="26">
        <v>23</v>
      </c>
      <c r="W369" s="29">
        <v>1414.88</v>
      </c>
      <c r="X369" s="26">
        <v>88555</v>
      </c>
      <c r="Y369" s="35">
        <v>80.91</v>
      </c>
      <c r="Z369" s="1" t="s">
        <v>3012</v>
      </c>
      <c r="AA369" s="36">
        <v>42.0762</v>
      </c>
      <c r="AB369" s="54">
        <v>707.44</v>
      </c>
      <c r="AC369" s="54">
        <v>30.75826086956522</v>
      </c>
      <c r="AD369" s="36">
        <v>394.54660000000013</v>
      </c>
    </row>
    <row r="370" spans="1:30" s="37" customFormat="1" ht="15.75" customHeight="1" x14ac:dyDescent="0.2">
      <c r="A370" s="26">
        <v>2122</v>
      </c>
      <c r="B370" s="27" t="s">
        <v>908</v>
      </c>
      <c r="C370" s="27" t="s">
        <v>26</v>
      </c>
      <c r="D370" s="28">
        <v>0.06</v>
      </c>
      <c r="E370" s="29">
        <v>80.97</v>
      </c>
      <c r="F370" s="29">
        <v>33.6</v>
      </c>
      <c r="G370" s="30" t="s">
        <v>27</v>
      </c>
      <c r="H370" s="27" t="s">
        <v>40</v>
      </c>
      <c r="I370" s="27" t="s">
        <v>41</v>
      </c>
      <c r="J370" s="27" t="s">
        <v>57</v>
      </c>
      <c r="K370" s="27" t="s">
        <v>58</v>
      </c>
      <c r="L370" s="31" t="s">
        <v>909</v>
      </c>
      <c r="M370" s="32">
        <v>0.37</v>
      </c>
      <c r="N370" s="27" t="s">
        <v>33</v>
      </c>
      <c r="O370" s="27" t="s">
        <v>34</v>
      </c>
      <c r="P370" s="27" t="s">
        <v>45</v>
      </c>
      <c r="Q370" s="27" t="s">
        <v>910</v>
      </c>
      <c r="R370" s="33">
        <v>72116</v>
      </c>
      <c r="S370" s="34">
        <v>42036</v>
      </c>
      <c r="T370" s="34">
        <v>42038</v>
      </c>
      <c r="U370" s="29">
        <v>-15.1844</v>
      </c>
      <c r="V370" s="26">
        <v>10</v>
      </c>
      <c r="W370" s="29">
        <v>799.76</v>
      </c>
      <c r="X370" s="26">
        <v>89664</v>
      </c>
      <c r="Y370" s="35">
        <v>3.0700000000000003</v>
      </c>
      <c r="Z370" s="1" t="s">
        <v>3011</v>
      </c>
      <c r="AA370" s="36">
        <v>48.582000000000001</v>
      </c>
      <c r="AB370" s="54">
        <v>503.84879999999998</v>
      </c>
      <c r="AC370" s="54">
        <v>29.59112</v>
      </c>
      <c r="AD370" s="36">
        <v>732.76239999999996</v>
      </c>
    </row>
    <row r="371" spans="1:30" s="37" customFormat="1" ht="15.75" customHeight="1" x14ac:dyDescent="0.2">
      <c r="A371" s="26">
        <v>2072</v>
      </c>
      <c r="B371" s="27" t="s">
        <v>920</v>
      </c>
      <c r="C371" s="27" t="s">
        <v>3094</v>
      </c>
      <c r="D371" s="28">
        <v>0</v>
      </c>
      <c r="E371" s="29">
        <v>10.31</v>
      </c>
      <c r="F371" s="29">
        <v>1.79</v>
      </c>
      <c r="G371" s="30" t="s">
        <v>39</v>
      </c>
      <c r="H371" s="27" t="s">
        <v>94</v>
      </c>
      <c r="I371" s="27" t="s">
        <v>49</v>
      </c>
      <c r="J371" s="27" t="s">
        <v>88</v>
      </c>
      <c r="K371" s="27" t="s">
        <v>51</v>
      </c>
      <c r="L371" s="31" t="s">
        <v>921</v>
      </c>
      <c r="M371" s="32">
        <v>0.38</v>
      </c>
      <c r="N371" s="27" t="s">
        <v>33</v>
      </c>
      <c r="O371" s="27" t="s">
        <v>53</v>
      </c>
      <c r="P371" s="27" t="s">
        <v>289</v>
      </c>
      <c r="Q371" s="27" t="s">
        <v>922</v>
      </c>
      <c r="R371" s="33">
        <v>48505</v>
      </c>
      <c r="S371" s="34">
        <v>42036</v>
      </c>
      <c r="T371" s="34">
        <v>42038</v>
      </c>
      <c r="U371" s="29">
        <v>167.46299999999999</v>
      </c>
      <c r="V371" s="26">
        <v>23</v>
      </c>
      <c r="W371" s="29">
        <v>242.7</v>
      </c>
      <c r="X371" s="26">
        <v>88555</v>
      </c>
      <c r="Y371" s="35">
        <v>424.15999999999997</v>
      </c>
      <c r="Z371" s="1" t="s">
        <v>3012</v>
      </c>
      <c r="AA371" s="36">
        <v>0</v>
      </c>
      <c r="AB371" s="54">
        <v>150.47399999999999</v>
      </c>
      <c r="AC371" s="54">
        <v>4.0098260869565214</v>
      </c>
      <c r="AD371" s="36">
        <v>73.447000000000003</v>
      </c>
    </row>
    <row r="372" spans="1:30" s="37" customFormat="1" ht="15.75" customHeight="1" x14ac:dyDescent="0.2">
      <c r="A372" s="26">
        <v>510</v>
      </c>
      <c r="B372" s="27" t="s">
        <v>461</v>
      </c>
      <c r="C372" s="27" t="s">
        <v>26</v>
      </c>
      <c r="D372" s="28">
        <v>0.03</v>
      </c>
      <c r="E372" s="29">
        <v>6.37</v>
      </c>
      <c r="F372" s="29">
        <v>5.19</v>
      </c>
      <c r="G372" s="30" t="s">
        <v>39</v>
      </c>
      <c r="H372" s="27" t="s">
        <v>94</v>
      </c>
      <c r="I372" s="27" t="s">
        <v>49</v>
      </c>
      <c r="J372" s="27" t="s">
        <v>72</v>
      </c>
      <c r="K372" s="27" t="s">
        <v>73</v>
      </c>
      <c r="L372" s="31" t="s">
        <v>907</v>
      </c>
      <c r="M372" s="32">
        <v>0.38</v>
      </c>
      <c r="N372" s="27" t="s">
        <v>33</v>
      </c>
      <c r="O372" s="27" t="s">
        <v>60</v>
      </c>
      <c r="P372" s="27" t="s">
        <v>90</v>
      </c>
      <c r="Q372" s="27" t="s">
        <v>463</v>
      </c>
      <c r="R372" s="33">
        <v>95336</v>
      </c>
      <c r="S372" s="34">
        <v>42036</v>
      </c>
      <c r="T372" s="34">
        <v>42037</v>
      </c>
      <c r="U372" s="29">
        <v>-29.092700000000001</v>
      </c>
      <c r="V372" s="26">
        <v>14</v>
      </c>
      <c r="W372" s="29">
        <v>89.79</v>
      </c>
      <c r="X372" s="26">
        <v>90059</v>
      </c>
      <c r="Y372" s="35">
        <v>60.949999999999996</v>
      </c>
      <c r="Z372" s="1" t="s">
        <v>3013</v>
      </c>
      <c r="AA372" s="36">
        <v>2.6753999999999998</v>
      </c>
      <c r="AB372" s="54">
        <v>55.669800000000002</v>
      </c>
      <c r="AC372" s="54">
        <v>2.437157142857143</v>
      </c>
      <c r="AD372" s="36">
        <v>111.01730000000001</v>
      </c>
    </row>
    <row r="373" spans="1:30" s="37" customFormat="1" ht="15.75" customHeight="1" x14ac:dyDescent="0.2">
      <c r="A373" s="26">
        <v>2071</v>
      </c>
      <c r="B373" s="27" t="s">
        <v>917</v>
      </c>
      <c r="C373" s="27" t="s">
        <v>3094</v>
      </c>
      <c r="D373" s="28">
        <v>0.04</v>
      </c>
      <c r="E373" s="29">
        <v>3.08</v>
      </c>
      <c r="F373" s="29">
        <v>0.99</v>
      </c>
      <c r="G373" s="30" t="s">
        <v>39</v>
      </c>
      <c r="H373" s="27" t="s">
        <v>94</v>
      </c>
      <c r="I373" s="27" t="s">
        <v>49</v>
      </c>
      <c r="J373" s="27" t="s">
        <v>152</v>
      </c>
      <c r="K373" s="27" t="s">
        <v>73</v>
      </c>
      <c r="L373" s="31" t="s">
        <v>658</v>
      </c>
      <c r="M373" s="32">
        <v>0.37</v>
      </c>
      <c r="N373" s="27" t="s">
        <v>33</v>
      </c>
      <c r="O373" s="27" t="s">
        <v>53</v>
      </c>
      <c r="P373" s="27" t="s">
        <v>289</v>
      </c>
      <c r="Q373" s="27" t="s">
        <v>919</v>
      </c>
      <c r="R373" s="33">
        <v>48336</v>
      </c>
      <c r="S373" s="34">
        <v>42036</v>
      </c>
      <c r="T373" s="34">
        <v>42037</v>
      </c>
      <c r="U373" s="29">
        <v>23.204699999999999</v>
      </c>
      <c r="V373" s="26">
        <v>11</v>
      </c>
      <c r="W373" s="29">
        <v>33.630000000000003</v>
      </c>
      <c r="X373" s="26">
        <v>88555</v>
      </c>
      <c r="Y373" s="35">
        <v>3.04</v>
      </c>
      <c r="Z373" s="1" t="s">
        <v>3012</v>
      </c>
      <c r="AA373" s="36">
        <v>1.3552</v>
      </c>
      <c r="AB373" s="54">
        <v>21.186900000000001</v>
      </c>
      <c r="AC373" s="54">
        <v>1.1311909090909091</v>
      </c>
      <c r="AD373" s="36">
        <v>8.0801000000000052</v>
      </c>
    </row>
    <row r="374" spans="1:30" s="37" customFormat="1" ht="15.75" customHeight="1" x14ac:dyDescent="0.2">
      <c r="A374" s="26">
        <v>1211</v>
      </c>
      <c r="B374" s="27" t="s">
        <v>911</v>
      </c>
      <c r="C374" s="27" t="s">
        <v>48</v>
      </c>
      <c r="D374" s="28">
        <v>0.01</v>
      </c>
      <c r="E374" s="29">
        <v>3.08</v>
      </c>
      <c r="F374" s="29">
        <v>0.5</v>
      </c>
      <c r="G374" s="30" t="s">
        <v>39</v>
      </c>
      <c r="H374" s="27" t="s">
        <v>94</v>
      </c>
      <c r="I374" s="27" t="s">
        <v>49</v>
      </c>
      <c r="J374" s="27" t="s">
        <v>152</v>
      </c>
      <c r="K374" s="27" t="s">
        <v>73</v>
      </c>
      <c r="L374" s="31" t="s">
        <v>912</v>
      </c>
      <c r="M374" s="32">
        <v>0.37</v>
      </c>
      <c r="N374" s="27" t="s">
        <v>33</v>
      </c>
      <c r="O374" s="27" t="s">
        <v>53</v>
      </c>
      <c r="P374" s="27" t="s">
        <v>54</v>
      </c>
      <c r="Q374" s="27" t="s">
        <v>913</v>
      </c>
      <c r="R374" s="33">
        <v>46806</v>
      </c>
      <c r="S374" s="34">
        <v>42036</v>
      </c>
      <c r="T374" s="34">
        <v>42041</v>
      </c>
      <c r="U374" s="29">
        <v>9.0045000000000002</v>
      </c>
      <c r="V374" s="26">
        <v>4</v>
      </c>
      <c r="W374" s="29">
        <v>13.05</v>
      </c>
      <c r="X374" s="26">
        <v>88598</v>
      </c>
      <c r="Y374" s="35">
        <v>10.31</v>
      </c>
      <c r="Z374" s="1" t="s">
        <v>3012</v>
      </c>
      <c r="AA374" s="36">
        <v>0.1232</v>
      </c>
      <c r="AB374" s="54">
        <v>8.2215000000000007</v>
      </c>
      <c r="AC374" s="54">
        <v>1.207125</v>
      </c>
      <c r="AD374" s="36">
        <v>3.4222999999999999</v>
      </c>
    </row>
    <row r="375" spans="1:30" s="37" customFormat="1" ht="15.75" customHeight="1" x14ac:dyDescent="0.2">
      <c r="A375" s="26">
        <v>3196</v>
      </c>
      <c r="B375" s="27" t="s">
        <v>939</v>
      </c>
      <c r="C375" s="27" t="s">
        <v>3094</v>
      </c>
      <c r="D375" s="28">
        <v>0.03</v>
      </c>
      <c r="E375" s="29">
        <v>200.97</v>
      </c>
      <c r="F375" s="29">
        <v>15.59</v>
      </c>
      <c r="G375" s="30" t="s">
        <v>27</v>
      </c>
      <c r="H375" s="27" t="s">
        <v>71</v>
      </c>
      <c r="I375" s="27" t="s">
        <v>41</v>
      </c>
      <c r="J375" s="27" t="s">
        <v>57</v>
      </c>
      <c r="K375" s="27" t="s">
        <v>58</v>
      </c>
      <c r="L375" s="31" t="s">
        <v>940</v>
      </c>
      <c r="M375" s="32">
        <v>0.36</v>
      </c>
      <c r="N375" s="27" t="s">
        <v>33</v>
      </c>
      <c r="O375" s="27" t="s">
        <v>60</v>
      </c>
      <c r="P375" s="27" t="s">
        <v>90</v>
      </c>
      <c r="Q375" s="27" t="s">
        <v>941</v>
      </c>
      <c r="R375" s="33">
        <v>94109</v>
      </c>
      <c r="S375" s="34">
        <v>42037</v>
      </c>
      <c r="T375" s="34">
        <v>42038</v>
      </c>
      <c r="U375" s="29">
        <v>1951.3</v>
      </c>
      <c r="V375" s="26">
        <v>43</v>
      </c>
      <c r="W375" s="29">
        <v>8717.75</v>
      </c>
      <c r="X375" s="26">
        <v>24294</v>
      </c>
      <c r="Y375" s="35">
        <v>154.03</v>
      </c>
      <c r="Z375" s="1" t="s">
        <v>3013</v>
      </c>
      <c r="AA375" s="36">
        <v>259.25130000000001</v>
      </c>
      <c r="AB375" s="54">
        <v>5579.36</v>
      </c>
      <c r="AC375" s="54">
        <v>72.985813953488375</v>
      </c>
      <c r="AD375" s="36">
        <v>6491.6087000000007</v>
      </c>
    </row>
    <row r="376" spans="1:30" s="37" customFormat="1" ht="15.75" customHeight="1" x14ac:dyDescent="0.2">
      <c r="A376" s="26">
        <v>68</v>
      </c>
      <c r="B376" s="27" t="s">
        <v>108</v>
      </c>
      <c r="C376" s="27" t="s">
        <v>38</v>
      </c>
      <c r="D376" s="28">
        <v>0.09</v>
      </c>
      <c r="E376" s="29">
        <v>122.99</v>
      </c>
      <c r="F376" s="29">
        <v>70.2</v>
      </c>
      <c r="G376" s="30" t="s">
        <v>27</v>
      </c>
      <c r="H376" s="27" t="s">
        <v>94</v>
      </c>
      <c r="I376" s="27" t="s">
        <v>29</v>
      </c>
      <c r="J376" s="27" t="s">
        <v>109</v>
      </c>
      <c r="K376" s="27" t="s">
        <v>58</v>
      </c>
      <c r="L376" s="31" t="s">
        <v>804</v>
      </c>
      <c r="M376" s="32">
        <v>0.74</v>
      </c>
      <c r="N376" s="27" t="s">
        <v>33</v>
      </c>
      <c r="O376" s="27" t="s">
        <v>111</v>
      </c>
      <c r="P376" s="27" t="s">
        <v>112</v>
      </c>
      <c r="Q376" s="27" t="s">
        <v>113</v>
      </c>
      <c r="R376" s="33">
        <v>10177</v>
      </c>
      <c r="S376" s="34">
        <v>42037</v>
      </c>
      <c r="T376" s="34">
        <v>42039</v>
      </c>
      <c r="U376" s="29">
        <v>-2426.5500000000002</v>
      </c>
      <c r="V376" s="26">
        <v>49</v>
      </c>
      <c r="W376" s="29">
        <v>5718.85</v>
      </c>
      <c r="X376" s="26">
        <v>55713</v>
      </c>
      <c r="Y376" s="35">
        <v>12.97</v>
      </c>
      <c r="Z376" s="1" t="s">
        <v>3014</v>
      </c>
      <c r="AA376" s="36">
        <v>542.38589999999999</v>
      </c>
      <c r="AB376" s="54">
        <v>1486.9010000000001</v>
      </c>
      <c r="AC376" s="54">
        <v>86.366306122448989</v>
      </c>
      <c r="AD376" s="36">
        <v>7532.8141000000005</v>
      </c>
    </row>
    <row r="377" spans="1:30" s="37" customFormat="1" ht="15.75" customHeight="1" x14ac:dyDescent="0.2">
      <c r="A377" s="26">
        <v>3197</v>
      </c>
      <c r="B377" s="27" t="s">
        <v>942</v>
      </c>
      <c r="C377" s="27" t="s">
        <v>3094</v>
      </c>
      <c r="D377" s="28">
        <v>0.03</v>
      </c>
      <c r="E377" s="29">
        <v>200.97</v>
      </c>
      <c r="F377" s="29">
        <v>15.59</v>
      </c>
      <c r="G377" s="30" t="s">
        <v>27</v>
      </c>
      <c r="H377" s="27" t="s">
        <v>71</v>
      </c>
      <c r="I377" s="27" t="s">
        <v>41</v>
      </c>
      <c r="J377" s="27" t="s">
        <v>57</v>
      </c>
      <c r="K377" s="27" t="s">
        <v>58</v>
      </c>
      <c r="L377" s="31" t="s">
        <v>940</v>
      </c>
      <c r="M377" s="32">
        <v>0.36</v>
      </c>
      <c r="N377" s="27" t="s">
        <v>33</v>
      </c>
      <c r="O377" s="27" t="s">
        <v>53</v>
      </c>
      <c r="P377" s="27" t="s">
        <v>103</v>
      </c>
      <c r="Q377" s="27" t="s">
        <v>943</v>
      </c>
      <c r="R377" s="33">
        <v>60062</v>
      </c>
      <c r="S377" s="34">
        <v>42037</v>
      </c>
      <c r="T377" s="34">
        <v>42038</v>
      </c>
      <c r="U377" s="29">
        <v>1538.7828</v>
      </c>
      <c r="V377" s="26">
        <v>11</v>
      </c>
      <c r="W377" s="29">
        <v>2230.12</v>
      </c>
      <c r="X377" s="26">
        <v>90850</v>
      </c>
      <c r="Y377" s="35">
        <v>4.8500000000000005</v>
      </c>
      <c r="Z377" s="1" t="s">
        <v>3012</v>
      </c>
      <c r="AA377" s="36">
        <v>66.320099999999996</v>
      </c>
      <c r="AB377" s="54">
        <v>1427.2767999999999</v>
      </c>
      <c r="AC377" s="54">
        <v>72.985745454545452</v>
      </c>
      <c r="AD377" s="36">
        <v>609.42710000000011</v>
      </c>
    </row>
    <row r="378" spans="1:30" s="37" customFormat="1" ht="15.75" customHeight="1" x14ac:dyDescent="0.2">
      <c r="A378" s="26">
        <v>70</v>
      </c>
      <c r="B378" s="27" t="s">
        <v>927</v>
      </c>
      <c r="C378" s="27" t="s">
        <v>38</v>
      </c>
      <c r="D378" s="28">
        <v>0.09</v>
      </c>
      <c r="E378" s="29">
        <v>122.99</v>
      </c>
      <c r="F378" s="29">
        <v>70.2</v>
      </c>
      <c r="G378" s="30" t="s">
        <v>27</v>
      </c>
      <c r="H378" s="27" t="s">
        <v>94</v>
      </c>
      <c r="I378" s="27" t="s">
        <v>29</v>
      </c>
      <c r="J378" s="27" t="s">
        <v>109</v>
      </c>
      <c r="K378" s="27" t="s">
        <v>58</v>
      </c>
      <c r="L378" s="31" t="s">
        <v>804</v>
      </c>
      <c r="M378" s="32">
        <v>0.74</v>
      </c>
      <c r="N378" s="27" t="s">
        <v>33</v>
      </c>
      <c r="O378" s="27" t="s">
        <v>111</v>
      </c>
      <c r="P378" s="27" t="s">
        <v>633</v>
      </c>
      <c r="Q378" s="27" t="s">
        <v>928</v>
      </c>
      <c r="R378" s="33">
        <v>5401</v>
      </c>
      <c r="S378" s="34">
        <v>42037</v>
      </c>
      <c r="T378" s="34">
        <v>42039</v>
      </c>
      <c r="U378" s="29">
        <v>-2426.5500000000002</v>
      </c>
      <c r="V378" s="26">
        <v>12</v>
      </c>
      <c r="W378" s="29">
        <v>1400.53</v>
      </c>
      <c r="X378" s="26">
        <v>87947</v>
      </c>
      <c r="Y378" s="35">
        <v>122.89999999999999</v>
      </c>
      <c r="Z378" s="1" t="s">
        <v>3014</v>
      </c>
      <c r="AA378" s="36">
        <v>132.82919999999999</v>
      </c>
      <c r="AB378" s="54">
        <v>364.13780000000003</v>
      </c>
      <c r="AC378" s="54">
        <v>86.366016666666667</v>
      </c>
      <c r="AD378" s="36">
        <v>3624.0508</v>
      </c>
    </row>
    <row r="379" spans="1:30" s="37" customFormat="1" ht="15.75" customHeight="1" x14ac:dyDescent="0.2">
      <c r="A379" s="26">
        <v>397</v>
      </c>
      <c r="B379" s="27" t="s">
        <v>923</v>
      </c>
      <c r="C379" s="27" t="s">
        <v>26</v>
      </c>
      <c r="D379" s="28">
        <v>0.1</v>
      </c>
      <c r="E379" s="29">
        <v>154.13</v>
      </c>
      <c r="F379" s="29">
        <v>69</v>
      </c>
      <c r="G379" s="30" t="s">
        <v>39</v>
      </c>
      <c r="H379" s="27" t="s">
        <v>94</v>
      </c>
      <c r="I379" s="27" t="s">
        <v>29</v>
      </c>
      <c r="J379" s="27" t="s">
        <v>30</v>
      </c>
      <c r="K379" s="27" t="s">
        <v>65</v>
      </c>
      <c r="L379" s="31" t="s">
        <v>924</v>
      </c>
      <c r="M379" s="32">
        <v>0.68</v>
      </c>
      <c r="N379" s="27" t="s">
        <v>33</v>
      </c>
      <c r="O379" s="27" t="s">
        <v>111</v>
      </c>
      <c r="P379" s="27" t="s">
        <v>317</v>
      </c>
      <c r="Q379" s="27" t="s">
        <v>925</v>
      </c>
      <c r="R379" s="33">
        <v>44221</v>
      </c>
      <c r="S379" s="34">
        <v>42037</v>
      </c>
      <c r="T379" s="34">
        <v>42038</v>
      </c>
      <c r="U379" s="29">
        <v>-372.48597100000001</v>
      </c>
      <c r="V379" s="26">
        <v>8</v>
      </c>
      <c r="W379" s="29">
        <v>1216.32</v>
      </c>
      <c r="X379" s="26">
        <v>89319</v>
      </c>
      <c r="Y379" s="35">
        <v>122.89999999999999</v>
      </c>
      <c r="Z379" s="1" t="s">
        <v>3014</v>
      </c>
      <c r="AA379" s="36">
        <v>123.304</v>
      </c>
      <c r="AB379" s="54">
        <v>389.22239999999994</v>
      </c>
      <c r="AC379" s="54">
        <v>103.38720000000001</v>
      </c>
      <c r="AD379" s="36">
        <v>1396.5019709999999</v>
      </c>
    </row>
    <row r="380" spans="1:30" s="37" customFormat="1" ht="15.75" customHeight="1" x14ac:dyDescent="0.2">
      <c r="A380" s="26">
        <v>1413</v>
      </c>
      <c r="B380" s="27" t="s">
        <v>938</v>
      </c>
      <c r="C380" s="27" t="s">
        <v>3094</v>
      </c>
      <c r="D380" s="28">
        <v>0.02</v>
      </c>
      <c r="E380" s="29">
        <v>16.48</v>
      </c>
      <c r="F380" s="29">
        <v>1.99</v>
      </c>
      <c r="G380" s="30" t="s">
        <v>87</v>
      </c>
      <c r="H380" s="27" t="s">
        <v>94</v>
      </c>
      <c r="I380" s="27" t="s">
        <v>41</v>
      </c>
      <c r="J380" s="27" t="s">
        <v>42</v>
      </c>
      <c r="K380" s="27" t="s">
        <v>43</v>
      </c>
      <c r="L380" s="31" t="s">
        <v>601</v>
      </c>
      <c r="M380" s="32">
        <v>0.42</v>
      </c>
      <c r="N380" s="27" t="s">
        <v>33</v>
      </c>
      <c r="O380" s="27" t="s">
        <v>111</v>
      </c>
      <c r="P380" s="27" t="s">
        <v>403</v>
      </c>
      <c r="Q380" s="27" t="s">
        <v>788</v>
      </c>
      <c r="R380" s="33">
        <v>2113</v>
      </c>
      <c r="S380" s="34">
        <v>42037</v>
      </c>
      <c r="T380" s="34">
        <v>42039</v>
      </c>
      <c r="U380" s="29">
        <v>69.61</v>
      </c>
      <c r="V380" s="26">
        <v>27</v>
      </c>
      <c r="W380" s="29">
        <v>484.56</v>
      </c>
      <c r="X380" s="26">
        <v>45539</v>
      </c>
      <c r="Y380" s="35">
        <v>1.1199999999999999</v>
      </c>
      <c r="Z380" s="1" t="s">
        <v>3014</v>
      </c>
      <c r="AA380" s="36">
        <v>8.8992000000000004</v>
      </c>
      <c r="AB380" s="54">
        <v>281.04480000000001</v>
      </c>
      <c r="AC380" s="54">
        <v>7.5375999999999994</v>
      </c>
      <c r="AD380" s="36">
        <v>404.06079999999997</v>
      </c>
    </row>
    <row r="381" spans="1:30" s="37" customFormat="1" ht="15.75" customHeight="1" x14ac:dyDescent="0.2">
      <c r="A381" s="26">
        <v>2498</v>
      </c>
      <c r="B381" s="27" t="s">
        <v>929</v>
      </c>
      <c r="C381" s="27" t="s">
        <v>116</v>
      </c>
      <c r="D381" s="28">
        <v>0.09</v>
      </c>
      <c r="E381" s="29">
        <v>6.28</v>
      </c>
      <c r="F381" s="29">
        <v>5.41</v>
      </c>
      <c r="G381" s="30" t="s">
        <v>39</v>
      </c>
      <c r="H381" s="27" t="s">
        <v>3095</v>
      </c>
      <c r="I381" s="27" t="s">
        <v>29</v>
      </c>
      <c r="J381" s="27" t="s">
        <v>126</v>
      </c>
      <c r="K381" s="27" t="s">
        <v>73</v>
      </c>
      <c r="L381" s="31" t="s">
        <v>930</v>
      </c>
      <c r="M381" s="32">
        <v>0.53</v>
      </c>
      <c r="N381" s="27" t="s">
        <v>33</v>
      </c>
      <c r="O381" s="27" t="s">
        <v>60</v>
      </c>
      <c r="P381" s="27" t="s">
        <v>90</v>
      </c>
      <c r="Q381" s="27" t="s">
        <v>890</v>
      </c>
      <c r="R381" s="33">
        <v>92024</v>
      </c>
      <c r="S381" s="34">
        <v>42037</v>
      </c>
      <c r="T381" s="34">
        <v>42039</v>
      </c>
      <c r="U381" s="29">
        <v>-61.59</v>
      </c>
      <c r="V381" s="26">
        <v>56</v>
      </c>
      <c r="W381" s="29">
        <v>355.4</v>
      </c>
      <c r="X381" s="26">
        <v>54567</v>
      </c>
      <c r="Y381" s="35">
        <v>6.19</v>
      </c>
      <c r="Z381" s="1" t="s">
        <v>3013</v>
      </c>
      <c r="AA381" s="36">
        <v>31.651200000000003</v>
      </c>
      <c r="AB381" s="54">
        <v>167.03799999999998</v>
      </c>
      <c r="AC381" s="54">
        <v>3.3636071428571426</v>
      </c>
      <c r="AD381" s="36">
        <v>379.92879999999997</v>
      </c>
    </row>
    <row r="382" spans="1:30" s="37" customFormat="1" ht="15.75" customHeight="1" x14ac:dyDescent="0.2">
      <c r="A382" s="26">
        <v>2555</v>
      </c>
      <c r="B382" s="27" t="s">
        <v>355</v>
      </c>
      <c r="C382" s="27" t="s">
        <v>26</v>
      </c>
      <c r="D382" s="28">
        <v>0</v>
      </c>
      <c r="E382" s="29">
        <v>12.97</v>
      </c>
      <c r="F382" s="29">
        <v>1.49</v>
      </c>
      <c r="G382" s="30" t="s">
        <v>39</v>
      </c>
      <c r="H382" s="27" t="s">
        <v>71</v>
      </c>
      <c r="I382" s="27" t="s">
        <v>49</v>
      </c>
      <c r="J382" s="27" t="s">
        <v>72</v>
      </c>
      <c r="K382" s="27" t="s">
        <v>73</v>
      </c>
      <c r="L382" s="31" t="s">
        <v>926</v>
      </c>
      <c r="M382" s="32">
        <v>0.35</v>
      </c>
      <c r="N382" s="27" t="s">
        <v>33</v>
      </c>
      <c r="O382" s="27" t="s">
        <v>53</v>
      </c>
      <c r="P382" s="27" t="s">
        <v>357</v>
      </c>
      <c r="Q382" s="27" t="s">
        <v>358</v>
      </c>
      <c r="R382" s="33">
        <v>53711</v>
      </c>
      <c r="S382" s="34">
        <v>42037</v>
      </c>
      <c r="T382" s="34">
        <v>42038</v>
      </c>
      <c r="U382" s="29">
        <v>180.23490000000001</v>
      </c>
      <c r="V382" s="26">
        <v>19</v>
      </c>
      <c r="W382" s="29">
        <v>261.20999999999998</v>
      </c>
      <c r="X382" s="26">
        <v>86529</v>
      </c>
      <c r="Y382" s="35">
        <v>6.19</v>
      </c>
      <c r="Z382" s="1" t="s">
        <v>3012</v>
      </c>
      <c r="AA382" s="36">
        <v>0</v>
      </c>
      <c r="AB382" s="54">
        <v>169.78649999999999</v>
      </c>
      <c r="AC382" s="54">
        <v>4.8117631578947364</v>
      </c>
      <c r="AD382" s="36">
        <v>79.48509999999996</v>
      </c>
    </row>
    <row r="383" spans="1:30" s="37" customFormat="1" ht="15.75" customHeight="1" x14ac:dyDescent="0.2">
      <c r="A383" s="26">
        <v>84</v>
      </c>
      <c r="B383" s="27" t="s">
        <v>933</v>
      </c>
      <c r="C383" s="27" t="s">
        <v>3094</v>
      </c>
      <c r="D383" s="28">
        <v>0</v>
      </c>
      <c r="E383" s="29">
        <v>8.09</v>
      </c>
      <c r="F383" s="29">
        <v>7.96</v>
      </c>
      <c r="G383" s="30" t="s">
        <v>39</v>
      </c>
      <c r="H383" s="27" t="s">
        <v>40</v>
      </c>
      <c r="I383" s="27" t="s">
        <v>29</v>
      </c>
      <c r="J383" s="27" t="s">
        <v>126</v>
      </c>
      <c r="K383" s="27" t="s">
        <v>73</v>
      </c>
      <c r="L383" s="31" t="s">
        <v>522</v>
      </c>
      <c r="M383" s="32">
        <v>0.49</v>
      </c>
      <c r="N383" s="27" t="s">
        <v>33</v>
      </c>
      <c r="O383" s="27" t="s">
        <v>111</v>
      </c>
      <c r="P383" s="27" t="s">
        <v>317</v>
      </c>
      <c r="Q383" s="27" t="s">
        <v>934</v>
      </c>
      <c r="R383" s="33">
        <v>45231</v>
      </c>
      <c r="S383" s="34">
        <v>42037</v>
      </c>
      <c r="T383" s="34">
        <v>42038</v>
      </c>
      <c r="U383" s="29">
        <v>-144.56</v>
      </c>
      <c r="V383" s="26">
        <v>11</v>
      </c>
      <c r="W383" s="29">
        <v>90.98</v>
      </c>
      <c r="X383" s="26">
        <v>87364</v>
      </c>
      <c r="Y383" s="35">
        <v>8.09</v>
      </c>
      <c r="Z383" s="1" t="s">
        <v>3014</v>
      </c>
      <c r="AA383" s="36">
        <v>0</v>
      </c>
      <c r="AB383" s="54">
        <v>46.399800000000006</v>
      </c>
      <c r="AC383" s="54">
        <v>4.0527454545454544</v>
      </c>
      <c r="AD383" s="36">
        <v>227.57999999999998</v>
      </c>
    </row>
    <row r="384" spans="1:30" s="37" customFormat="1" ht="15.75" customHeight="1" x14ac:dyDescent="0.2">
      <c r="A384" s="26">
        <v>2500</v>
      </c>
      <c r="B384" s="27" t="s">
        <v>931</v>
      </c>
      <c r="C384" s="27" t="s">
        <v>116</v>
      </c>
      <c r="D384" s="28">
        <v>0.09</v>
      </c>
      <c r="E384" s="29">
        <v>6.28</v>
      </c>
      <c r="F384" s="29">
        <v>5.41</v>
      </c>
      <c r="G384" s="30" t="s">
        <v>39</v>
      </c>
      <c r="H384" s="27" t="s">
        <v>3095</v>
      </c>
      <c r="I384" s="27" t="s">
        <v>29</v>
      </c>
      <c r="J384" s="27" t="s">
        <v>126</v>
      </c>
      <c r="K384" s="27" t="s">
        <v>73</v>
      </c>
      <c r="L384" s="31" t="s">
        <v>930</v>
      </c>
      <c r="M384" s="32">
        <v>0.53</v>
      </c>
      <c r="N384" s="27" t="s">
        <v>33</v>
      </c>
      <c r="O384" s="27" t="s">
        <v>53</v>
      </c>
      <c r="P384" s="27" t="s">
        <v>103</v>
      </c>
      <c r="Q384" s="27" t="s">
        <v>932</v>
      </c>
      <c r="R384" s="33">
        <v>60102</v>
      </c>
      <c r="S384" s="34">
        <v>42037</v>
      </c>
      <c r="T384" s="34">
        <v>42039</v>
      </c>
      <c r="U384" s="29">
        <v>-32.026800000000001</v>
      </c>
      <c r="V384" s="26">
        <v>14</v>
      </c>
      <c r="W384" s="29">
        <v>88.85</v>
      </c>
      <c r="X384" s="26">
        <v>88320</v>
      </c>
      <c r="Y384" s="35">
        <v>3.3</v>
      </c>
      <c r="Z384" s="1" t="s">
        <v>3012</v>
      </c>
      <c r="AA384" s="36">
        <v>7.9128000000000007</v>
      </c>
      <c r="AB384" s="54">
        <v>41.759499999999996</v>
      </c>
      <c r="AC384" s="54">
        <v>3.3636071428571426</v>
      </c>
      <c r="AD384" s="36">
        <v>107.554</v>
      </c>
    </row>
    <row r="385" spans="1:30" s="37" customFormat="1" ht="15.75" customHeight="1" x14ac:dyDescent="0.2">
      <c r="A385" s="26">
        <v>894</v>
      </c>
      <c r="B385" s="27" t="s">
        <v>372</v>
      </c>
      <c r="C385" s="27" t="s">
        <v>48</v>
      </c>
      <c r="D385" s="28">
        <v>0.02</v>
      </c>
      <c r="E385" s="29">
        <v>1.1399999999999999</v>
      </c>
      <c r="F385" s="29">
        <v>0.7</v>
      </c>
      <c r="G385" s="30" t="s">
        <v>39</v>
      </c>
      <c r="H385" s="27" t="s">
        <v>94</v>
      </c>
      <c r="I385" s="27" t="s">
        <v>49</v>
      </c>
      <c r="J385" s="27" t="s">
        <v>176</v>
      </c>
      <c r="K385" s="27" t="s">
        <v>51</v>
      </c>
      <c r="L385" s="31" t="s">
        <v>824</v>
      </c>
      <c r="M385" s="32">
        <v>0.38</v>
      </c>
      <c r="N385" s="27" t="s">
        <v>33</v>
      </c>
      <c r="O385" s="27" t="s">
        <v>111</v>
      </c>
      <c r="P385" s="27" t="s">
        <v>374</v>
      </c>
      <c r="Q385" s="27" t="s">
        <v>67</v>
      </c>
      <c r="R385" s="33">
        <v>20024</v>
      </c>
      <c r="S385" s="34">
        <v>42037</v>
      </c>
      <c r="T385" s="34">
        <v>42037</v>
      </c>
      <c r="U385" s="29">
        <v>-0.49</v>
      </c>
      <c r="V385" s="26">
        <v>38</v>
      </c>
      <c r="W385" s="29">
        <v>44.85</v>
      </c>
      <c r="X385" s="26">
        <v>38529</v>
      </c>
      <c r="Y385" s="35">
        <v>16.46</v>
      </c>
      <c r="Z385" s="1" t="s">
        <v>3014</v>
      </c>
      <c r="AA385" s="36">
        <v>0.86639999999999995</v>
      </c>
      <c r="AB385" s="54">
        <v>27.807000000000002</v>
      </c>
      <c r="AC385" s="54">
        <v>0.44850000000000001</v>
      </c>
      <c r="AD385" s="36">
        <v>43.773600000000002</v>
      </c>
    </row>
    <row r="386" spans="1:30" s="37" customFormat="1" ht="15.75" customHeight="1" x14ac:dyDescent="0.2">
      <c r="A386" s="26">
        <v>2555</v>
      </c>
      <c r="B386" s="27" t="s">
        <v>355</v>
      </c>
      <c r="C386" s="27" t="s">
        <v>26</v>
      </c>
      <c r="D386" s="28">
        <v>0.06</v>
      </c>
      <c r="E386" s="29">
        <v>4.91</v>
      </c>
      <c r="F386" s="29">
        <v>0.5</v>
      </c>
      <c r="G386" s="30" t="s">
        <v>39</v>
      </c>
      <c r="H386" s="27" t="s">
        <v>71</v>
      </c>
      <c r="I386" s="27" t="s">
        <v>49</v>
      </c>
      <c r="J386" s="27" t="s">
        <v>152</v>
      </c>
      <c r="K386" s="27" t="s">
        <v>73</v>
      </c>
      <c r="L386" s="31" t="s">
        <v>577</v>
      </c>
      <c r="M386" s="32">
        <v>0.36</v>
      </c>
      <c r="N386" s="27" t="s">
        <v>33</v>
      </c>
      <c r="O386" s="27" t="s">
        <v>53</v>
      </c>
      <c r="P386" s="27" t="s">
        <v>357</v>
      </c>
      <c r="Q386" s="27" t="s">
        <v>358</v>
      </c>
      <c r="R386" s="33">
        <v>53711</v>
      </c>
      <c r="S386" s="34">
        <v>42037</v>
      </c>
      <c r="T386" s="34">
        <v>42037</v>
      </c>
      <c r="U386" s="29">
        <v>29.525099999999998</v>
      </c>
      <c r="V386" s="26">
        <v>9</v>
      </c>
      <c r="W386" s="29">
        <v>42.79</v>
      </c>
      <c r="X386" s="26">
        <v>86529</v>
      </c>
      <c r="Y386" s="35">
        <v>200.94</v>
      </c>
      <c r="Z386" s="1" t="s">
        <v>3012</v>
      </c>
      <c r="AA386" s="36">
        <v>2.6513999999999998</v>
      </c>
      <c r="AB386" s="54">
        <v>27.3856</v>
      </c>
      <c r="AC386" s="54">
        <v>1.7115999999999998</v>
      </c>
      <c r="AD386" s="36">
        <v>10.113500000000002</v>
      </c>
    </row>
    <row r="387" spans="1:30" s="37" customFormat="1" ht="15.75" customHeight="1" x14ac:dyDescent="0.2">
      <c r="A387" s="26">
        <v>1412</v>
      </c>
      <c r="B387" s="27" t="s">
        <v>935</v>
      </c>
      <c r="C387" s="27" t="s">
        <v>3094</v>
      </c>
      <c r="D387" s="28">
        <v>0.08</v>
      </c>
      <c r="E387" s="29">
        <v>3.38</v>
      </c>
      <c r="F387" s="29">
        <v>0.85</v>
      </c>
      <c r="G387" s="30" t="s">
        <v>39</v>
      </c>
      <c r="H387" s="27" t="s">
        <v>94</v>
      </c>
      <c r="I387" s="27" t="s">
        <v>49</v>
      </c>
      <c r="J387" s="27" t="s">
        <v>50</v>
      </c>
      <c r="K387" s="27" t="s">
        <v>51</v>
      </c>
      <c r="L387" s="31" t="s">
        <v>936</v>
      </c>
      <c r="M387" s="32">
        <v>0.48</v>
      </c>
      <c r="N387" s="27" t="s">
        <v>33</v>
      </c>
      <c r="O387" s="27" t="s">
        <v>60</v>
      </c>
      <c r="P387" s="27" t="s">
        <v>90</v>
      </c>
      <c r="Q387" s="27" t="s">
        <v>937</v>
      </c>
      <c r="R387" s="33">
        <v>94043</v>
      </c>
      <c r="S387" s="34">
        <v>42037</v>
      </c>
      <c r="T387" s="34">
        <v>42039</v>
      </c>
      <c r="U387" s="29">
        <v>20.453600000000002</v>
      </c>
      <c r="V387" s="26">
        <v>12</v>
      </c>
      <c r="W387" s="29">
        <v>38.81</v>
      </c>
      <c r="X387" s="26">
        <v>87087</v>
      </c>
      <c r="Y387" s="35">
        <v>200.94</v>
      </c>
      <c r="Z387" s="1" t="s">
        <v>3013</v>
      </c>
      <c r="AA387" s="36">
        <v>3.2447999999999997</v>
      </c>
      <c r="AB387" s="54">
        <v>20.1812</v>
      </c>
      <c r="AC387" s="54">
        <v>1.5524</v>
      </c>
      <c r="AD387" s="36">
        <v>14.261600000000001</v>
      </c>
    </row>
    <row r="388" spans="1:30" s="37" customFormat="1" ht="15.75" customHeight="1" x14ac:dyDescent="0.2">
      <c r="A388" s="26">
        <v>2486</v>
      </c>
      <c r="B388" s="27" t="s">
        <v>944</v>
      </c>
      <c r="C388" s="27" t="s">
        <v>48</v>
      </c>
      <c r="D388" s="28">
        <v>0</v>
      </c>
      <c r="E388" s="29">
        <v>180.98</v>
      </c>
      <c r="F388" s="29">
        <v>30</v>
      </c>
      <c r="G388" s="30" t="s">
        <v>27</v>
      </c>
      <c r="H388" s="27" t="s">
        <v>3095</v>
      </c>
      <c r="I388" s="27" t="s">
        <v>29</v>
      </c>
      <c r="J388" s="27" t="s">
        <v>109</v>
      </c>
      <c r="K388" s="27" t="s">
        <v>58</v>
      </c>
      <c r="L388" s="31" t="s">
        <v>945</v>
      </c>
      <c r="M388" s="32">
        <v>0.69</v>
      </c>
      <c r="N388" s="27" t="s">
        <v>33</v>
      </c>
      <c r="O388" s="27" t="s">
        <v>34</v>
      </c>
      <c r="P388" s="27" t="s">
        <v>75</v>
      </c>
      <c r="Q388" s="27" t="s">
        <v>946</v>
      </c>
      <c r="R388" s="33">
        <v>30458</v>
      </c>
      <c r="S388" s="34">
        <v>42038</v>
      </c>
      <c r="T388" s="34">
        <v>42040</v>
      </c>
      <c r="U388" s="29">
        <v>9.2040000000000006</v>
      </c>
      <c r="V388" s="26">
        <v>11</v>
      </c>
      <c r="W388" s="29">
        <v>2084.16</v>
      </c>
      <c r="X388" s="26">
        <v>91416</v>
      </c>
      <c r="Y388" s="35">
        <v>180.98</v>
      </c>
      <c r="Z388" s="1" t="s">
        <v>3011</v>
      </c>
      <c r="AA388" s="36">
        <v>0</v>
      </c>
      <c r="AB388" s="54">
        <v>646.08960000000002</v>
      </c>
      <c r="AC388" s="54">
        <v>130.7336727272727</v>
      </c>
      <c r="AD388" s="36">
        <v>2044.9559999999999</v>
      </c>
    </row>
    <row r="389" spans="1:30" s="37" customFormat="1" ht="15.75" customHeight="1" x14ac:dyDescent="0.2">
      <c r="A389" s="26">
        <v>3053</v>
      </c>
      <c r="B389" s="27" t="s">
        <v>947</v>
      </c>
      <c r="C389" s="27" t="s">
        <v>116</v>
      </c>
      <c r="D389" s="28">
        <v>0.06</v>
      </c>
      <c r="E389" s="29">
        <v>125.99</v>
      </c>
      <c r="F389" s="29">
        <v>2.5</v>
      </c>
      <c r="G389" s="30" t="s">
        <v>39</v>
      </c>
      <c r="H389" s="27" t="s">
        <v>94</v>
      </c>
      <c r="I389" s="27" t="s">
        <v>41</v>
      </c>
      <c r="J389" s="27" t="s">
        <v>135</v>
      </c>
      <c r="K389" s="27" t="s">
        <v>73</v>
      </c>
      <c r="L389" s="31" t="s">
        <v>948</v>
      </c>
      <c r="M389" s="32">
        <v>0.6</v>
      </c>
      <c r="N389" s="27" t="s">
        <v>33</v>
      </c>
      <c r="O389" s="27" t="s">
        <v>34</v>
      </c>
      <c r="P389" s="27" t="s">
        <v>388</v>
      </c>
      <c r="Q389" s="27" t="s">
        <v>949</v>
      </c>
      <c r="R389" s="33">
        <v>42071</v>
      </c>
      <c r="S389" s="34">
        <v>42038</v>
      </c>
      <c r="T389" s="34">
        <v>42040</v>
      </c>
      <c r="U389" s="29">
        <v>402.06599999999997</v>
      </c>
      <c r="V389" s="26">
        <v>11</v>
      </c>
      <c r="W389" s="29">
        <v>1173.76</v>
      </c>
      <c r="X389" s="26">
        <v>86662</v>
      </c>
      <c r="Y389" s="35">
        <v>125.92999999999999</v>
      </c>
      <c r="Z389" s="1" t="s">
        <v>3011</v>
      </c>
      <c r="AA389" s="36">
        <v>83.153399999999991</v>
      </c>
      <c r="AB389" s="54">
        <v>469.50400000000002</v>
      </c>
      <c r="AC389" s="54">
        <v>64.023272727272726</v>
      </c>
      <c r="AD389" s="36">
        <v>686.04060000000004</v>
      </c>
    </row>
    <row r="390" spans="1:30" s="37" customFormat="1" ht="15.75" customHeight="1" x14ac:dyDescent="0.2">
      <c r="A390" s="26">
        <v>603</v>
      </c>
      <c r="B390" s="27" t="s">
        <v>950</v>
      </c>
      <c r="C390" s="27" t="s">
        <v>3094</v>
      </c>
      <c r="D390" s="28">
        <v>0.02</v>
      </c>
      <c r="E390" s="29">
        <v>35.99</v>
      </c>
      <c r="F390" s="29">
        <v>5</v>
      </c>
      <c r="G390" s="30" t="s">
        <v>39</v>
      </c>
      <c r="H390" s="27" t="s">
        <v>71</v>
      </c>
      <c r="I390" s="27" t="s">
        <v>41</v>
      </c>
      <c r="J390" s="27" t="s">
        <v>135</v>
      </c>
      <c r="K390" s="27" t="s">
        <v>73</v>
      </c>
      <c r="L390" s="31" t="s">
        <v>951</v>
      </c>
      <c r="M390" s="32">
        <v>0.85</v>
      </c>
      <c r="N390" s="27" t="s">
        <v>33</v>
      </c>
      <c r="O390" s="27" t="s">
        <v>60</v>
      </c>
      <c r="P390" s="27" t="s">
        <v>61</v>
      </c>
      <c r="Q390" s="27" t="s">
        <v>952</v>
      </c>
      <c r="R390" s="33">
        <v>81001</v>
      </c>
      <c r="S390" s="34">
        <v>42038</v>
      </c>
      <c r="T390" s="34">
        <v>42040</v>
      </c>
      <c r="U390" s="29">
        <v>-120.934</v>
      </c>
      <c r="V390" s="26">
        <v>7</v>
      </c>
      <c r="W390" s="29">
        <v>227.79</v>
      </c>
      <c r="X390" s="26">
        <v>87020</v>
      </c>
      <c r="Y390" s="35">
        <v>35.97</v>
      </c>
      <c r="Z390" s="1" t="s">
        <v>3013</v>
      </c>
      <c r="AA390" s="36">
        <v>5.0386000000000006</v>
      </c>
      <c r="AB390" s="54">
        <v>34.168500000000002</v>
      </c>
      <c r="AC390" s="54">
        <v>27.660214285714282</v>
      </c>
      <c r="AD390" s="36">
        <v>338.68539999999996</v>
      </c>
    </row>
    <row r="391" spans="1:30" s="37" customFormat="1" ht="15.75" customHeight="1" x14ac:dyDescent="0.2">
      <c r="A391" s="26">
        <v>3151</v>
      </c>
      <c r="B391" s="27" t="s">
        <v>953</v>
      </c>
      <c r="C391" s="27" t="s">
        <v>26</v>
      </c>
      <c r="D391" s="28">
        <v>0.01</v>
      </c>
      <c r="E391" s="29">
        <v>3502.14</v>
      </c>
      <c r="F391" s="29">
        <v>8.73</v>
      </c>
      <c r="G391" s="30" t="s">
        <v>27</v>
      </c>
      <c r="H391" s="27" t="s">
        <v>94</v>
      </c>
      <c r="I391" s="27" t="s">
        <v>41</v>
      </c>
      <c r="J391" s="27" t="s">
        <v>57</v>
      </c>
      <c r="K391" s="27" t="s">
        <v>31</v>
      </c>
      <c r="L391" s="31" t="s">
        <v>841</v>
      </c>
      <c r="M391" s="32">
        <v>0.56999999999999995</v>
      </c>
      <c r="N391" s="27" t="s">
        <v>33</v>
      </c>
      <c r="O391" s="27" t="s">
        <v>60</v>
      </c>
      <c r="P391" s="27" t="s">
        <v>90</v>
      </c>
      <c r="Q391" s="27" t="s">
        <v>954</v>
      </c>
      <c r="R391" s="33">
        <v>92277</v>
      </c>
      <c r="S391" s="34">
        <v>42039</v>
      </c>
      <c r="T391" s="34">
        <v>42040</v>
      </c>
      <c r="U391" s="29">
        <v>-4075.9339920000002</v>
      </c>
      <c r="V391" s="26">
        <v>1</v>
      </c>
      <c r="W391" s="29">
        <v>3501.79</v>
      </c>
      <c r="X391" s="26">
        <v>88544</v>
      </c>
      <c r="Y391" s="35">
        <v>3502.1299999999997</v>
      </c>
      <c r="Z391" s="1" t="s">
        <v>3013</v>
      </c>
      <c r="AA391" s="36">
        <v>35.0214</v>
      </c>
      <c r="AB391" s="54">
        <v>1505.7697000000001</v>
      </c>
      <c r="AC391" s="54">
        <v>1996.0202999999999</v>
      </c>
      <c r="AD391" s="36">
        <v>7533.9725920000001</v>
      </c>
    </row>
    <row r="392" spans="1:30" s="37" customFormat="1" ht="15.75" customHeight="1" x14ac:dyDescent="0.2">
      <c r="A392" s="26">
        <v>1499</v>
      </c>
      <c r="B392" s="27" t="s">
        <v>969</v>
      </c>
      <c r="C392" s="27" t="s">
        <v>116</v>
      </c>
      <c r="D392" s="28">
        <v>0.08</v>
      </c>
      <c r="E392" s="29">
        <v>146.05000000000001</v>
      </c>
      <c r="F392" s="29">
        <v>80.2</v>
      </c>
      <c r="G392" s="30" t="s">
        <v>27</v>
      </c>
      <c r="H392" s="27" t="s">
        <v>71</v>
      </c>
      <c r="I392" s="27" t="s">
        <v>29</v>
      </c>
      <c r="J392" s="27" t="s">
        <v>30</v>
      </c>
      <c r="K392" s="27" t="s">
        <v>31</v>
      </c>
      <c r="L392" s="31" t="s">
        <v>971</v>
      </c>
      <c r="M392" s="32">
        <v>0.71</v>
      </c>
      <c r="N392" s="27" t="s">
        <v>33</v>
      </c>
      <c r="O392" s="27" t="s">
        <v>34</v>
      </c>
      <c r="P392" s="27" t="s">
        <v>123</v>
      </c>
      <c r="Q392" s="27" t="s">
        <v>970</v>
      </c>
      <c r="R392" s="33">
        <v>33134</v>
      </c>
      <c r="S392" s="34">
        <v>42039</v>
      </c>
      <c r="T392" s="34">
        <v>42040</v>
      </c>
      <c r="U392" s="29">
        <v>-27.951000000000001</v>
      </c>
      <c r="V392" s="26">
        <v>11</v>
      </c>
      <c r="W392" s="29">
        <v>1557.66</v>
      </c>
      <c r="X392" s="26">
        <v>90731</v>
      </c>
      <c r="Y392" s="35">
        <v>15.67</v>
      </c>
      <c r="Z392" s="1" t="s">
        <v>3011</v>
      </c>
      <c r="AA392" s="36">
        <v>128.524</v>
      </c>
      <c r="AB392" s="54">
        <v>451.72140000000007</v>
      </c>
      <c r="AC392" s="54">
        <v>100.53987272727274</v>
      </c>
      <c r="AD392" s="36">
        <v>1376.8870000000002</v>
      </c>
    </row>
    <row r="393" spans="1:30" s="37" customFormat="1" ht="15.75" customHeight="1" x14ac:dyDescent="0.2">
      <c r="A393" s="26">
        <v>2290</v>
      </c>
      <c r="B393" s="27" t="s">
        <v>279</v>
      </c>
      <c r="C393" s="27" t="s">
        <v>116</v>
      </c>
      <c r="D393" s="28">
        <v>7.0000000000000007E-2</v>
      </c>
      <c r="E393" s="29">
        <v>80.98</v>
      </c>
      <c r="F393" s="29">
        <v>7.18</v>
      </c>
      <c r="G393" s="30" t="s">
        <v>39</v>
      </c>
      <c r="H393" s="27" t="s">
        <v>94</v>
      </c>
      <c r="I393" s="27" t="s">
        <v>41</v>
      </c>
      <c r="J393" s="27" t="s">
        <v>42</v>
      </c>
      <c r="K393" s="27" t="s">
        <v>73</v>
      </c>
      <c r="L393" s="31" t="s">
        <v>977</v>
      </c>
      <c r="M393" s="32">
        <v>0.48</v>
      </c>
      <c r="N393" s="27" t="s">
        <v>33</v>
      </c>
      <c r="O393" s="27" t="s">
        <v>53</v>
      </c>
      <c r="P393" s="27" t="s">
        <v>84</v>
      </c>
      <c r="Q393" s="27" t="s">
        <v>281</v>
      </c>
      <c r="R393" s="33">
        <v>55433</v>
      </c>
      <c r="S393" s="34">
        <v>42039</v>
      </c>
      <c r="T393" s="34">
        <v>42041</v>
      </c>
      <c r="U393" s="29">
        <v>779.47230000000002</v>
      </c>
      <c r="V393" s="26">
        <v>15</v>
      </c>
      <c r="W393" s="29">
        <v>1129.67</v>
      </c>
      <c r="X393" s="26">
        <v>88164</v>
      </c>
      <c r="Y393" s="35">
        <v>10.790000000000001</v>
      </c>
      <c r="Z393" s="1" t="s">
        <v>3012</v>
      </c>
      <c r="AA393" s="36">
        <v>85.029000000000011</v>
      </c>
      <c r="AB393" s="54">
        <v>587.42840000000001</v>
      </c>
      <c r="AC393" s="54">
        <v>36.149439999999998</v>
      </c>
      <c r="AD393" s="36">
        <v>257.98870000000011</v>
      </c>
    </row>
    <row r="394" spans="1:30" s="37" customFormat="1" ht="15.75" customHeight="1" x14ac:dyDescent="0.2">
      <c r="A394" s="26">
        <v>2203</v>
      </c>
      <c r="B394" s="27" t="s">
        <v>182</v>
      </c>
      <c r="C394" s="27" t="s">
        <v>48</v>
      </c>
      <c r="D394" s="28">
        <v>0.08</v>
      </c>
      <c r="E394" s="29">
        <v>145.44999999999999</v>
      </c>
      <c r="F394" s="29">
        <v>17.850000000000001</v>
      </c>
      <c r="G394" s="30" t="s">
        <v>27</v>
      </c>
      <c r="H394" s="27" t="s">
        <v>71</v>
      </c>
      <c r="I394" s="27" t="s">
        <v>41</v>
      </c>
      <c r="J394" s="27" t="s">
        <v>57</v>
      </c>
      <c r="K394" s="27" t="s">
        <v>58</v>
      </c>
      <c r="L394" s="31" t="s">
        <v>210</v>
      </c>
      <c r="M394" s="32">
        <v>0.56000000000000005</v>
      </c>
      <c r="N394" s="27" t="s">
        <v>33</v>
      </c>
      <c r="O394" s="27" t="s">
        <v>53</v>
      </c>
      <c r="P394" s="27" t="s">
        <v>84</v>
      </c>
      <c r="Q394" s="27" t="s">
        <v>184</v>
      </c>
      <c r="R394" s="33">
        <v>55445</v>
      </c>
      <c r="S394" s="34">
        <v>42039</v>
      </c>
      <c r="T394" s="34">
        <v>42039</v>
      </c>
      <c r="U394" s="29">
        <v>751.58</v>
      </c>
      <c r="V394" s="26">
        <v>8</v>
      </c>
      <c r="W394" s="29">
        <v>1117.6600000000001</v>
      </c>
      <c r="X394" s="26">
        <v>86051</v>
      </c>
      <c r="Y394" s="35">
        <v>2.91</v>
      </c>
      <c r="Z394" s="1" t="s">
        <v>3012</v>
      </c>
      <c r="AA394" s="36">
        <v>93.087999999999994</v>
      </c>
      <c r="AB394" s="54">
        <v>491.7704</v>
      </c>
      <c r="AC394" s="54">
        <v>78.236200000000011</v>
      </c>
      <c r="AD394" s="36">
        <v>255.14200000000005</v>
      </c>
    </row>
    <row r="395" spans="1:30" s="37" customFormat="1" ht="15.75" customHeight="1" x14ac:dyDescent="0.2">
      <c r="A395" s="26">
        <v>1213</v>
      </c>
      <c r="B395" s="27" t="s">
        <v>519</v>
      </c>
      <c r="C395" s="27" t="s">
        <v>48</v>
      </c>
      <c r="D395" s="28">
        <v>7.0000000000000007E-2</v>
      </c>
      <c r="E395" s="29">
        <v>29.89</v>
      </c>
      <c r="F395" s="29">
        <v>1.99</v>
      </c>
      <c r="G395" s="30" t="s">
        <v>87</v>
      </c>
      <c r="H395" s="27" t="s">
        <v>94</v>
      </c>
      <c r="I395" s="27" t="s">
        <v>41</v>
      </c>
      <c r="J395" s="27" t="s">
        <v>42</v>
      </c>
      <c r="K395" s="27" t="s">
        <v>43</v>
      </c>
      <c r="L395" s="31" t="s">
        <v>443</v>
      </c>
      <c r="M395" s="32">
        <v>0.5</v>
      </c>
      <c r="N395" s="27" t="s">
        <v>33</v>
      </c>
      <c r="O395" s="27" t="s">
        <v>53</v>
      </c>
      <c r="P395" s="27" t="s">
        <v>54</v>
      </c>
      <c r="Q395" s="27" t="s">
        <v>520</v>
      </c>
      <c r="R395" s="33">
        <v>46530</v>
      </c>
      <c r="S395" s="34">
        <v>42039</v>
      </c>
      <c r="T395" s="34">
        <v>42044</v>
      </c>
      <c r="U395" s="29">
        <v>258.6189</v>
      </c>
      <c r="V395" s="26">
        <v>13</v>
      </c>
      <c r="W395" s="29">
        <v>374.81</v>
      </c>
      <c r="X395" s="26">
        <v>88599</v>
      </c>
      <c r="Y395" s="35">
        <v>2.91</v>
      </c>
      <c r="Z395" s="1" t="s">
        <v>3012</v>
      </c>
      <c r="AA395" s="36">
        <v>27.199900000000003</v>
      </c>
      <c r="AB395" s="54">
        <v>187.405</v>
      </c>
      <c r="AC395" s="54">
        <v>14.41576923076923</v>
      </c>
      <c r="AD395" s="36">
        <v>87.001199999999983</v>
      </c>
    </row>
    <row r="396" spans="1:30" s="37" customFormat="1" ht="15.75" customHeight="1" x14ac:dyDescent="0.2">
      <c r="A396" s="26">
        <v>3351</v>
      </c>
      <c r="B396" s="27" t="s">
        <v>956</v>
      </c>
      <c r="C396" s="27" t="s">
        <v>26</v>
      </c>
      <c r="D396" s="28">
        <v>0.1</v>
      </c>
      <c r="E396" s="29">
        <v>10.89</v>
      </c>
      <c r="F396" s="29">
        <v>4.5</v>
      </c>
      <c r="G396" s="30" t="s">
        <v>39</v>
      </c>
      <c r="H396" s="27" t="s">
        <v>3095</v>
      </c>
      <c r="I396" s="27" t="s">
        <v>49</v>
      </c>
      <c r="J396" s="27" t="s">
        <v>95</v>
      </c>
      <c r="K396" s="27" t="s">
        <v>73</v>
      </c>
      <c r="L396" s="31" t="s">
        <v>773</v>
      </c>
      <c r="M396" s="32">
        <v>0.59</v>
      </c>
      <c r="N396" s="27" t="s">
        <v>33</v>
      </c>
      <c r="O396" s="27" t="s">
        <v>60</v>
      </c>
      <c r="P396" s="27" t="s">
        <v>67</v>
      </c>
      <c r="Q396" s="27" t="s">
        <v>957</v>
      </c>
      <c r="R396" s="33">
        <v>99301</v>
      </c>
      <c r="S396" s="34">
        <v>42039</v>
      </c>
      <c r="T396" s="34">
        <v>42041</v>
      </c>
      <c r="U396" s="29">
        <v>-19.2972</v>
      </c>
      <c r="V396" s="26">
        <v>17</v>
      </c>
      <c r="W396" s="29">
        <v>178.68</v>
      </c>
      <c r="X396" s="26">
        <v>91297</v>
      </c>
      <c r="Y396" s="35">
        <v>29.82</v>
      </c>
      <c r="Z396" s="1" t="s">
        <v>3013</v>
      </c>
      <c r="AA396" s="36">
        <v>18.513000000000002</v>
      </c>
      <c r="AB396" s="54">
        <v>73.258800000000008</v>
      </c>
      <c r="AC396" s="54">
        <v>6.2012470588235296</v>
      </c>
      <c r="AD396" s="36">
        <v>174.96420000000001</v>
      </c>
    </row>
    <row r="397" spans="1:30" s="37" customFormat="1" ht="15.75" customHeight="1" x14ac:dyDescent="0.2">
      <c r="A397" s="26">
        <v>3042</v>
      </c>
      <c r="B397" s="27" t="s">
        <v>978</v>
      </c>
      <c r="C397" s="27" t="s">
        <v>116</v>
      </c>
      <c r="D397" s="28">
        <v>7.0000000000000007E-2</v>
      </c>
      <c r="E397" s="29">
        <v>14.48</v>
      </c>
      <c r="F397" s="29">
        <v>6.46</v>
      </c>
      <c r="G397" s="30" t="s">
        <v>39</v>
      </c>
      <c r="H397" s="27" t="s">
        <v>3095</v>
      </c>
      <c r="I397" s="27" t="s">
        <v>49</v>
      </c>
      <c r="J397" s="27" t="s">
        <v>72</v>
      </c>
      <c r="K397" s="27" t="s">
        <v>73</v>
      </c>
      <c r="L397" s="31" t="s">
        <v>979</v>
      </c>
      <c r="M397" s="32">
        <v>0.38</v>
      </c>
      <c r="N397" s="27" t="s">
        <v>33</v>
      </c>
      <c r="O397" s="27" t="s">
        <v>53</v>
      </c>
      <c r="P397" s="27" t="s">
        <v>537</v>
      </c>
      <c r="Q397" s="27" t="s">
        <v>980</v>
      </c>
      <c r="R397" s="33">
        <v>67501</v>
      </c>
      <c r="S397" s="34">
        <v>42039</v>
      </c>
      <c r="T397" s="34">
        <v>42040</v>
      </c>
      <c r="U397" s="29">
        <v>67.864000000000004</v>
      </c>
      <c r="V397" s="26">
        <v>12</v>
      </c>
      <c r="W397" s="29">
        <v>171.33</v>
      </c>
      <c r="X397" s="26">
        <v>86101</v>
      </c>
      <c r="Y397" s="35">
        <v>8.31</v>
      </c>
      <c r="Z397" s="1" t="s">
        <v>3012</v>
      </c>
      <c r="AA397" s="36">
        <v>12.1632</v>
      </c>
      <c r="AB397" s="54">
        <v>106.22460000000001</v>
      </c>
      <c r="AC397" s="54">
        <v>5.4254500000000005</v>
      </c>
      <c r="AD397" s="36">
        <v>84.842800000000011</v>
      </c>
    </row>
    <row r="398" spans="1:30" s="37" customFormat="1" ht="15.75" customHeight="1" x14ac:dyDescent="0.2">
      <c r="A398" s="26">
        <v>2204</v>
      </c>
      <c r="B398" s="27" t="s">
        <v>962</v>
      </c>
      <c r="C398" s="27" t="s">
        <v>48</v>
      </c>
      <c r="D398" s="28">
        <v>7.0000000000000007E-2</v>
      </c>
      <c r="E398" s="29">
        <v>33.94</v>
      </c>
      <c r="F398" s="29">
        <v>19.190000000000001</v>
      </c>
      <c r="G398" s="30" t="s">
        <v>27</v>
      </c>
      <c r="H398" s="27" t="s">
        <v>71</v>
      </c>
      <c r="I398" s="27" t="s">
        <v>29</v>
      </c>
      <c r="J398" s="27" t="s">
        <v>109</v>
      </c>
      <c r="K398" s="27" t="s">
        <v>58</v>
      </c>
      <c r="L398" s="31" t="s">
        <v>202</v>
      </c>
      <c r="M398" s="32">
        <v>0.57999999999999996</v>
      </c>
      <c r="N398" s="27" t="s">
        <v>33</v>
      </c>
      <c r="O398" s="27" t="s">
        <v>53</v>
      </c>
      <c r="P398" s="27" t="s">
        <v>84</v>
      </c>
      <c r="Q398" s="27" t="s">
        <v>963</v>
      </c>
      <c r="R398" s="33">
        <v>55337</v>
      </c>
      <c r="S398" s="34">
        <v>42039</v>
      </c>
      <c r="T398" s="34">
        <v>42043</v>
      </c>
      <c r="U398" s="29">
        <v>-157.56</v>
      </c>
      <c r="V398" s="26">
        <v>5</v>
      </c>
      <c r="W398" s="29">
        <v>169.46</v>
      </c>
      <c r="X398" s="26">
        <v>86051</v>
      </c>
      <c r="Y398" s="35">
        <v>145.36999999999998</v>
      </c>
      <c r="Z398" s="1" t="s">
        <v>3012</v>
      </c>
      <c r="AA398" s="36">
        <v>11.879</v>
      </c>
      <c r="AB398" s="54">
        <v>71.173200000000008</v>
      </c>
      <c r="AC398" s="54">
        <v>19.657360000000001</v>
      </c>
      <c r="AD398" s="36">
        <v>295.95100000000002</v>
      </c>
    </row>
    <row r="399" spans="1:30" s="37" customFormat="1" ht="15.75" customHeight="1" x14ac:dyDescent="0.2">
      <c r="A399" s="26">
        <v>2947</v>
      </c>
      <c r="B399" s="27" t="s">
        <v>983</v>
      </c>
      <c r="C399" s="27" t="s">
        <v>3094</v>
      </c>
      <c r="D399" s="28">
        <v>0.01</v>
      </c>
      <c r="E399" s="29">
        <v>7.64</v>
      </c>
      <c r="F399" s="29">
        <v>1.39</v>
      </c>
      <c r="G399" s="30" t="s">
        <v>39</v>
      </c>
      <c r="H399" s="27" t="s">
        <v>40</v>
      </c>
      <c r="I399" s="27" t="s">
        <v>49</v>
      </c>
      <c r="J399" s="27" t="s">
        <v>345</v>
      </c>
      <c r="K399" s="27" t="s">
        <v>73</v>
      </c>
      <c r="L399" s="31" t="s">
        <v>608</v>
      </c>
      <c r="M399" s="32">
        <v>0.36</v>
      </c>
      <c r="N399" s="27" t="s">
        <v>33</v>
      </c>
      <c r="O399" s="27" t="s">
        <v>111</v>
      </c>
      <c r="P399" s="27" t="s">
        <v>112</v>
      </c>
      <c r="Q399" s="27" t="s">
        <v>984</v>
      </c>
      <c r="R399" s="33">
        <v>14043</v>
      </c>
      <c r="S399" s="34">
        <v>42039</v>
      </c>
      <c r="T399" s="34">
        <v>42042</v>
      </c>
      <c r="U399" s="29">
        <v>112.1181</v>
      </c>
      <c r="V399" s="26">
        <v>20</v>
      </c>
      <c r="W399" s="29">
        <v>162.49</v>
      </c>
      <c r="X399" s="26">
        <v>87511</v>
      </c>
      <c r="Y399" s="35">
        <v>33.869999999999997</v>
      </c>
      <c r="Z399" s="1" t="s">
        <v>3014</v>
      </c>
      <c r="AA399" s="36">
        <v>1.528</v>
      </c>
      <c r="AB399" s="54">
        <v>103.99360000000001</v>
      </c>
      <c r="AC399" s="54">
        <v>2.9248200000000004</v>
      </c>
      <c r="AD399" s="36">
        <v>47.453900000000004</v>
      </c>
    </row>
    <row r="400" spans="1:30" s="37" customFormat="1" ht="15.75" customHeight="1" x14ac:dyDescent="0.2">
      <c r="A400" s="26">
        <v>1776</v>
      </c>
      <c r="B400" s="27" t="s">
        <v>981</v>
      </c>
      <c r="C400" s="27" t="s">
        <v>3094</v>
      </c>
      <c r="D400" s="28">
        <v>0.08</v>
      </c>
      <c r="E400" s="29">
        <v>5.78</v>
      </c>
      <c r="F400" s="29">
        <v>5.67</v>
      </c>
      <c r="G400" s="30" t="s">
        <v>39</v>
      </c>
      <c r="H400" s="27" t="s">
        <v>40</v>
      </c>
      <c r="I400" s="27" t="s">
        <v>49</v>
      </c>
      <c r="J400" s="27" t="s">
        <v>88</v>
      </c>
      <c r="K400" s="27" t="s">
        <v>73</v>
      </c>
      <c r="L400" s="31" t="s">
        <v>615</v>
      </c>
      <c r="M400" s="32">
        <v>0.36</v>
      </c>
      <c r="N400" s="27" t="s">
        <v>33</v>
      </c>
      <c r="O400" s="27" t="s">
        <v>53</v>
      </c>
      <c r="P400" s="27" t="s">
        <v>54</v>
      </c>
      <c r="Q400" s="27" t="s">
        <v>982</v>
      </c>
      <c r="R400" s="33">
        <v>47802</v>
      </c>
      <c r="S400" s="34">
        <v>42039</v>
      </c>
      <c r="T400" s="34">
        <v>42040</v>
      </c>
      <c r="U400" s="29">
        <v>-53.898000000000003</v>
      </c>
      <c r="V400" s="26">
        <v>19</v>
      </c>
      <c r="W400" s="29">
        <v>106.57</v>
      </c>
      <c r="X400" s="26">
        <v>89941</v>
      </c>
      <c r="Y400" s="35">
        <v>1.63</v>
      </c>
      <c r="Z400" s="1" t="s">
        <v>3012</v>
      </c>
      <c r="AA400" s="36">
        <v>8.7856000000000005</v>
      </c>
      <c r="AB400" s="54">
        <v>68.204799999999992</v>
      </c>
      <c r="AC400" s="54">
        <v>2.019221052631579</v>
      </c>
      <c r="AD400" s="36">
        <v>146.01239999999999</v>
      </c>
    </row>
    <row r="401" spans="1:30" s="37" customFormat="1" ht="15.75" customHeight="1" x14ac:dyDescent="0.2">
      <c r="A401" s="26">
        <v>3151</v>
      </c>
      <c r="B401" s="27" t="s">
        <v>953</v>
      </c>
      <c r="C401" s="27" t="s">
        <v>26</v>
      </c>
      <c r="D401" s="28">
        <v>0.06</v>
      </c>
      <c r="E401" s="29">
        <v>15.73</v>
      </c>
      <c r="F401" s="29">
        <v>7.42</v>
      </c>
      <c r="G401" s="30" t="s">
        <v>39</v>
      </c>
      <c r="H401" s="27" t="s">
        <v>94</v>
      </c>
      <c r="I401" s="27" t="s">
        <v>49</v>
      </c>
      <c r="J401" s="27" t="s">
        <v>568</v>
      </c>
      <c r="K401" s="27" t="s">
        <v>43</v>
      </c>
      <c r="L401" s="31" t="s">
        <v>955</v>
      </c>
      <c r="M401" s="32">
        <v>0.56000000000000005</v>
      </c>
      <c r="N401" s="27" t="s">
        <v>33</v>
      </c>
      <c r="O401" s="27" t="s">
        <v>60</v>
      </c>
      <c r="P401" s="27" t="s">
        <v>90</v>
      </c>
      <c r="Q401" s="27" t="s">
        <v>954</v>
      </c>
      <c r="R401" s="33">
        <v>92277</v>
      </c>
      <c r="S401" s="34">
        <v>42039</v>
      </c>
      <c r="T401" s="34">
        <v>42040</v>
      </c>
      <c r="U401" s="29">
        <v>-18.558800000000002</v>
      </c>
      <c r="V401" s="26">
        <v>4</v>
      </c>
      <c r="W401" s="29">
        <v>63.04</v>
      </c>
      <c r="X401" s="26">
        <v>88544</v>
      </c>
      <c r="Y401" s="35">
        <v>12.92</v>
      </c>
      <c r="Z401" s="1" t="s">
        <v>3013</v>
      </c>
      <c r="AA401" s="36">
        <v>3.7751999999999999</v>
      </c>
      <c r="AB401" s="54">
        <v>27.737599999999997</v>
      </c>
      <c r="AC401" s="54">
        <v>8.8256000000000014</v>
      </c>
      <c r="AD401" s="36">
        <v>70.403599999999997</v>
      </c>
    </row>
    <row r="402" spans="1:30" s="37" customFormat="1" ht="15.75" customHeight="1" x14ac:dyDescent="0.2">
      <c r="A402" s="26">
        <v>2286</v>
      </c>
      <c r="B402" s="27" t="s">
        <v>972</v>
      </c>
      <c r="C402" s="27" t="s">
        <v>116</v>
      </c>
      <c r="D402" s="28">
        <v>0</v>
      </c>
      <c r="E402" s="29">
        <v>4.91</v>
      </c>
      <c r="F402" s="29">
        <v>0.5</v>
      </c>
      <c r="G402" s="30" t="s">
        <v>39</v>
      </c>
      <c r="H402" s="27" t="s">
        <v>94</v>
      </c>
      <c r="I402" s="27" t="s">
        <v>49</v>
      </c>
      <c r="J402" s="27" t="s">
        <v>152</v>
      </c>
      <c r="K402" s="27" t="s">
        <v>73</v>
      </c>
      <c r="L402" s="31" t="s">
        <v>973</v>
      </c>
      <c r="M402" s="32">
        <v>0.36</v>
      </c>
      <c r="N402" s="27" t="s">
        <v>33</v>
      </c>
      <c r="O402" s="27" t="s">
        <v>34</v>
      </c>
      <c r="P402" s="27" t="s">
        <v>271</v>
      </c>
      <c r="Q402" s="27" t="s">
        <v>974</v>
      </c>
      <c r="R402" s="33">
        <v>29301</v>
      </c>
      <c r="S402" s="34">
        <v>42039</v>
      </c>
      <c r="T402" s="34">
        <v>42041</v>
      </c>
      <c r="U402" s="29">
        <v>99.197999999999993</v>
      </c>
      <c r="V402" s="26">
        <v>12</v>
      </c>
      <c r="W402" s="29">
        <v>61.87</v>
      </c>
      <c r="X402" s="26">
        <v>90145</v>
      </c>
      <c r="Y402" s="35">
        <v>5.75</v>
      </c>
      <c r="Z402" s="1" t="s">
        <v>3011</v>
      </c>
      <c r="AA402" s="36">
        <v>0</v>
      </c>
      <c r="AB402" s="54">
        <v>39.596800000000002</v>
      </c>
      <c r="AC402" s="54">
        <v>1.8560999999999996</v>
      </c>
      <c r="AD402" s="36">
        <v>-37.827999999999996</v>
      </c>
    </row>
    <row r="403" spans="1:30" s="37" customFormat="1" ht="15.75" customHeight="1" x14ac:dyDescent="0.2">
      <c r="A403" s="26">
        <v>1499</v>
      </c>
      <c r="B403" s="27" t="s">
        <v>969</v>
      </c>
      <c r="C403" s="27" t="s">
        <v>116</v>
      </c>
      <c r="D403" s="28">
        <v>0.03</v>
      </c>
      <c r="E403" s="29">
        <v>6.48</v>
      </c>
      <c r="F403" s="29">
        <v>6.6</v>
      </c>
      <c r="G403" s="30" t="s">
        <v>39</v>
      </c>
      <c r="H403" s="27" t="s">
        <v>71</v>
      </c>
      <c r="I403" s="27" t="s">
        <v>49</v>
      </c>
      <c r="J403" s="27" t="s">
        <v>88</v>
      </c>
      <c r="K403" s="27" t="s">
        <v>73</v>
      </c>
      <c r="L403" s="31" t="s">
        <v>648</v>
      </c>
      <c r="M403" s="32">
        <v>0.37</v>
      </c>
      <c r="N403" s="27" t="s">
        <v>33</v>
      </c>
      <c r="O403" s="27" t="s">
        <v>34</v>
      </c>
      <c r="P403" s="27" t="s">
        <v>123</v>
      </c>
      <c r="Q403" s="27" t="s">
        <v>970</v>
      </c>
      <c r="R403" s="33">
        <v>33134</v>
      </c>
      <c r="S403" s="34">
        <v>42039</v>
      </c>
      <c r="T403" s="34">
        <v>42040</v>
      </c>
      <c r="U403" s="29">
        <v>-145.852</v>
      </c>
      <c r="V403" s="26">
        <v>9</v>
      </c>
      <c r="W403" s="29">
        <v>58.83</v>
      </c>
      <c r="X403" s="26">
        <v>90731</v>
      </c>
      <c r="Y403" s="35">
        <v>2.1100000000000003</v>
      </c>
      <c r="Z403" s="1" t="s">
        <v>3011</v>
      </c>
      <c r="AA403" s="36">
        <v>1.7496</v>
      </c>
      <c r="AB403" s="54">
        <v>37.062899999999999</v>
      </c>
      <c r="AC403" s="54">
        <v>2.4185666666666665</v>
      </c>
      <c r="AD403" s="36">
        <v>196.33240000000001</v>
      </c>
    </row>
    <row r="404" spans="1:30" s="37" customFormat="1" ht="15.75" customHeight="1" x14ac:dyDescent="0.2">
      <c r="A404" s="26">
        <v>1363</v>
      </c>
      <c r="B404" s="27" t="s">
        <v>966</v>
      </c>
      <c r="C404" s="27" t="s">
        <v>116</v>
      </c>
      <c r="D404" s="28">
        <v>0.06</v>
      </c>
      <c r="E404" s="29">
        <v>5.81</v>
      </c>
      <c r="F404" s="29">
        <v>3.37</v>
      </c>
      <c r="G404" s="30" t="s">
        <v>39</v>
      </c>
      <c r="H404" s="27" t="s">
        <v>40</v>
      </c>
      <c r="I404" s="27" t="s">
        <v>49</v>
      </c>
      <c r="J404" s="27" t="s">
        <v>176</v>
      </c>
      <c r="K404" s="27" t="s">
        <v>51</v>
      </c>
      <c r="L404" s="31" t="s">
        <v>968</v>
      </c>
      <c r="M404" s="32">
        <v>0.54</v>
      </c>
      <c r="N404" s="27" t="s">
        <v>33</v>
      </c>
      <c r="O404" s="27" t="s">
        <v>34</v>
      </c>
      <c r="P404" s="27" t="s">
        <v>123</v>
      </c>
      <c r="Q404" s="27" t="s">
        <v>967</v>
      </c>
      <c r="R404" s="33">
        <v>32707</v>
      </c>
      <c r="S404" s="34">
        <v>42039</v>
      </c>
      <c r="T404" s="34">
        <v>42041</v>
      </c>
      <c r="U404" s="29">
        <v>-149.1182</v>
      </c>
      <c r="V404" s="26">
        <v>9</v>
      </c>
      <c r="W404" s="29">
        <v>53.44</v>
      </c>
      <c r="X404" s="26">
        <v>89993</v>
      </c>
      <c r="Y404" s="35">
        <v>6.45</v>
      </c>
      <c r="Z404" s="1" t="s">
        <v>3011</v>
      </c>
      <c r="AA404" s="36">
        <v>3.1373999999999995</v>
      </c>
      <c r="AB404" s="54">
        <v>24.582399999999996</v>
      </c>
      <c r="AC404" s="54">
        <v>3.2064000000000004</v>
      </c>
      <c r="AD404" s="36">
        <v>196.05079999999998</v>
      </c>
    </row>
    <row r="405" spans="1:30" s="37" customFormat="1" ht="15.75" customHeight="1" x14ac:dyDescent="0.2">
      <c r="A405" s="26">
        <v>2286</v>
      </c>
      <c r="B405" s="27" t="s">
        <v>972</v>
      </c>
      <c r="C405" s="27" t="s">
        <v>116</v>
      </c>
      <c r="D405" s="28">
        <v>0.01</v>
      </c>
      <c r="E405" s="29">
        <v>7.28</v>
      </c>
      <c r="F405" s="29">
        <v>11.15</v>
      </c>
      <c r="G405" s="30" t="s">
        <v>39</v>
      </c>
      <c r="H405" s="27" t="s">
        <v>94</v>
      </c>
      <c r="I405" s="27" t="s">
        <v>49</v>
      </c>
      <c r="J405" s="27" t="s">
        <v>88</v>
      </c>
      <c r="K405" s="27" t="s">
        <v>73</v>
      </c>
      <c r="L405" s="31" t="s">
        <v>975</v>
      </c>
      <c r="M405" s="32">
        <v>0.37</v>
      </c>
      <c r="N405" s="27" t="s">
        <v>33</v>
      </c>
      <c r="O405" s="27" t="s">
        <v>34</v>
      </c>
      <c r="P405" s="27" t="s">
        <v>271</v>
      </c>
      <c r="Q405" s="27" t="s">
        <v>974</v>
      </c>
      <c r="R405" s="33">
        <v>29301</v>
      </c>
      <c r="S405" s="34">
        <v>42039</v>
      </c>
      <c r="T405" s="34">
        <v>42040</v>
      </c>
      <c r="U405" s="29">
        <v>136.03139999999999</v>
      </c>
      <c r="V405" s="26">
        <v>6</v>
      </c>
      <c r="W405" s="29">
        <v>48.88</v>
      </c>
      <c r="X405" s="26">
        <v>90145</v>
      </c>
      <c r="Y405" s="35">
        <v>145.97</v>
      </c>
      <c r="Z405" s="1" t="s">
        <v>3011</v>
      </c>
      <c r="AA405" s="36">
        <v>0.43680000000000002</v>
      </c>
      <c r="AB405" s="54">
        <v>30.794400000000003</v>
      </c>
      <c r="AC405" s="54">
        <v>3.0142666666666664</v>
      </c>
      <c r="AD405" s="36">
        <v>-98.738200000000006</v>
      </c>
    </row>
    <row r="406" spans="1:30" s="37" customFormat="1" ht="15.75" customHeight="1" x14ac:dyDescent="0.2">
      <c r="A406" s="26">
        <v>1213</v>
      </c>
      <c r="B406" s="27" t="s">
        <v>519</v>
      </c>
      <c r="C406" s="27" t="s">
        <v>48</v>
      </c>
      <c r="D406" s="28">
        <v>0.03</v>
      </c>
      <c r="E406" s="29">
        <v>8.34</v>
      </c>
      <c r="F406" s="29">
        <v>4.82</v>
      </c>
      <c r="G406" s="30" t="s">
        <v>39</v>
      </c>
      <c r="H406" s="27" t="s">
        <v>94</v>
      </c>
      <c r="I406" s="27" t="s">
        <v>49</v>
      </c>
      <c r="J406" s="27" t="s">
        <v>88</v>
      </c>
      <c r="K406" s="27" t="s">
        <v>73</v>
      </c>
      <c r="L406" s="31" t="s">
        <v>961</v>
      </c>
      <c r="M406" s="32">
        <v>0.4</v>
      </c>
      <c r="N406" s="27" t="s">
        <v>33</v>
      </c>
      <c r="O406" s="27" t="s">
        <v>53</v>
      </c>
      <c r="P406" s="27" t="s">
        <v>54</v>
      </c>
      <c r="Q406" s="27" t="s">
        <v>520</v>
      </c>
      <c r="R406" s="33">
        <v>46530</v>
      </c>
      <c r="S406" s="34">
        <v>42039</v>
      </c>
      <c r="T406" s="34">
        <v>42043</v>
      </c>
      <c r="U406" s="29">
        <v>-6.71</v>
      </c>
      <c r="V406" s="26">
        <v>5</v>
      </c>
      <c r="W406" s="29">
        <v>43.27</v>
      </c>
      <c r="X406" s="26">
        <v>88599</v>
      </c>
      <c r="Y406" s="35">
        <v>4.91</v>
      </c>
      <c r="Z406" s="1" t="s">
        <v>3012</v>
      </c>
      <c r="AA406" s="36">
        <v>1.2509999999999999</v>
      </c>
      <c r="AB406" s="54">
        <v>25.962</v>
      </c>
      <c r="AC406" s="54">
        <v>3.4616000000000002</v>
      </c>
      <c r="AD406" s="36">
        <v>43.909000000000006</v>
      </c>
    </row>
    <row r="407" spans="1:30" s="37" customFormat="1" ht="15.75" customHeight="1" x14ac:dyDescent="0.2">
      <c r="A407" s="26">
        <v>1363</v>
      </c>
      <c r="B407" s="27" t="s">
        <v>966</v>
      </c>
      <c r="C407" s="27" t="s">
        <v>116</v>
      </c>
      <c r="D407" s="28">
        <v>0.05</v>
      </c>
      <c r="E407" s="29">
        <v>12.97</v>
      </c>
      <c r="F407" s="29">
        <v>1.49</v>
      </c>
      <c r="G407" s="30" t="s">
        <v>39</v>
      </c>
      <c r="H407" s="27" t="s">
        <v>40</v>
      </c>
      <c r="I407" s="27" t="s">
        <v>49</v>
      </c>
      <c r="J407" s="27" t="s">
        <v>72</v>
      </c>
      <c r="K407" s="27" t="s">
        <v>73</v>
      </c>
      <c r="L407" s="31" t="s">
        <v>926</v>
      </c>
      <c r="M407" s="32">
        <v>0.35</v>
      </c>
      <c r="N407" s="27" t="s">
        <v>33</v>
      </c>
      <c r="O407" s="27" t="s">
        <v>34</v>
      </c>
      <c r="P407" s="27" t="s">
        <v>123</v>
      </c>
      <c r="Q407" s="27" t="s">
        <v>967</v>
      </c>
      <c r="R407" s="33">
        <v>32707</v>
      </c>
      <c r="S407" s="34">
        <v>42039</v>
      </c>
      <c r="T407" s="34">
        <v>42041</v>
      </c>
      <c r="U407" s="29">
        <v>5.4660000000000002</v>
      </c>
      <c r="V407" s="26">
        <v>2</v>
      </c>
      <c r="W407" s="29">
        <v>26.37</v>
      </c>
      <c r="X407" s="26">
        <v>89993</v>
      </c>
      <c r="Y407" s="35">
        <v>7.2700000000000005</v>
      </c>
      <c r="Z407" s="1" t="s">
        <v>3011</v>
      </c>
      <c r="AA407" s="36">
        <v>1.2970000000000002</v>
      </c>
      <c r="AB407" s="54">
        <v>17.140500000000003</v>
      </c>
      <c r="AC407" s="54">
        <v>4.6147499999999999</v>
      </c>
      <c r="AD407" s="36">
        <v>18.117000000000001</v>
      </c>
    </row>
    <row r="408" spans="1:30" s="37" customFormat="1" ht="15.75" customHeight="1" x14ac:dyDescent="0.2">
      <c r="A408" s="26">
        <v>2286</v>
      </c>
      <c r="B408" s="27" t="s">
        <v>972</v>
      </c>
      <c r="C408" s="27" t="s">
        <v>116</v>
      </c>
      <c r="D408" s="28">
        <v>0.1</v>
      </c>
      <c r="E408" s="29">
        <v>6.68</v>
      </c>
      <c r="F408" s="29">
        <v>6.93</v>
      </c>
      <c r="G408" s="30" t="s">
        <v>39</v>
      </c>
      <c r="H408" s="27" t="s">
        <v>94</v>
      </c>
      <c r="I408" s="27" t="s">
        <v>49</v>
      </c>
      <c r="J408" s="27" t="s">
        <v>88</v>
      </c>
      <c r="K408" s="27" t="s">
        <v>73</v>
      </c>
      <c r="L408" s="31" t="s">
        <v>976</v>
      </c>
      <c r="M408" s="32">
        <v>0.37</v>
      </c>
      <c r="N408" s="27" t="s">
        <v>33</v>
      </c>
      <c r="O408" s="27" t="s">
        <v>34</v>
      </c>
      <c r="P408" s="27" t="s">
        <v>271</v>
      </c>
      <c r="Q408" s="27" t="s">
        <v>974</v>
      </c>
      <c r="R408" s="33">
        <v>29301</v>
      </c>
      <c r="S408" s="34">
        <v>42039</v>
      </c>
      <c r="T408" s="34">
        <v>42042</v>
      </c>
      <c r="U408" s="29">
        <v>-100.072</v>
      </c>
      <c r="V408" s="26">
        <v>3</v>
      </c>
      <c r="W408" s="29">
        <v>21.56</v>
      </c>
      <c r="X408" s="26">
        <v>90145</v>
      </c>
      <c r="Y408" s="35">
        <v>6.58</v>
      </c>
      <c r="Z408" s="1" t="s">
        <v>3011</v>
      </c>
      <c r="AA408" s="36">
        <v>2.004</v>
      </c>
      <c r="AB408" s="54">
        <v>13.582799999999999</v>
      </c>
      <c r="AC408" s="54">
        <v>2.6590666666666665</v>
      </c>
      <c r="AD408" s="36">
        <v>112.69799999999999</v>
      </c>
    </row>
    <row r="409" spans="1:30" s="37" customFormat="1" ht="15.75" customHeight="1" x14ac:dyDescent="0.2">
      <c r="A409" s="26">
        <v>1499</v>
      </c>
      <c r="B409" s="27" t="s">
        <v>969</v>
      </c>
      <c r="C409" s="27" t="s">
        <v>116</v>
      </c>
      <c r="D409" s="28">
        <v>0.05</v>
      </c>
      <c r="E409" s="29">
        <v>2.16</v>
      </c>
      <c r="F409" s="29">
        <v>6.05</v>
      </c>
      <c r="G409" s="30" t="s">
        <v>39</v>
      </c>
      <c r="H409" s="27" t="s">
        <v>71</v>
      </c>
      <c r="I409" s="27" t="s">
        <v>49</v>
      </c>
      <c r="J409" s="27" t="s">
        <v>72</v>
      </c>
      <c r="K409" s="27" t="s">
        <v>73</v>
      </c>
      <c r="L409" s="31" t="s">
        <v>896</v>
      </c>
      <c r="M409" s="32">
        <v>0.37</v>
      </c>
      <c r="N409" s="27" t="s">
        <v>33</v>
      </c>
      <c r="O409" s="27" t="s">
        <v>34</v>
      </c>
      <c r="P409" s="27" t="s">
        <v>123</v>
      </c>
      <c r="Q409" s="27" t="s">
        <v>970</v>
      </c>
      <c r="R409" s="33">
        <v>33134</v>
      </c>
      <c r="S409" s="34">
        <v>42039</v>
      </c>
      <c r="T409" s="34">
        <v>42040</v>
      </c>
      <c r="U409" s="29">
        <v>-298.88600000000002</v>
      </c>
      <c r="V409" s="26">
        <v>8</v>
      </c>
      <c r="W409" s="29">
        <v>18.59</v>
      </c>
      <c r="X409" s="26">
        <v>90731</v>
      </c>
      <c r="Y409" s="35">
        <v>80.910000000000011</v>
      </c>
      <c r="Z409" s="1" t="s">
        <v>3011</v>
      </c>
      <c r="AA409" s="36">
        <v>0.8640000000000001</v>
      </c>
      <c r="AB409" s="54">
        <v>11.7117</v>
      </c>
      <c r="AC409" s="54">
        <v>0.85978750000000004</v>
      </c>
      <c r="AD409" s="36">
        <v>310.56200000000001</v>
      </c>
    </row>
    <row r="410" spans="1:30" s="37" customFormat="1" ht="15.75" customHeight="1" x14ac:dyDescent="0.2">
      <c r="A410" s="26">
        <v>689</v>
      </c>
      <c r="B410" s="27" t="s">
        <v>964</v>
      </c>
      <c r="C410" s="27" t="s">
        <v>116</v>
      </c>
      <c r="D410" s="28">
        <v>7.0000000000000007E-2</v>
      </c>
      <c r="E410" s="29">
        <v>1.7</v>
      </c>
      <c r="F410" s="29">
        <v>1.99</v>
      </c>
      <c r="G410" s="30" t="s">
        <v>39</v>
      </c>
      <c r="H410" s="27" t="s">
        <v>3095</v>
      </c>
      <c r="I410" s="27" t="s">
        <v>41</v>
      </c>
      <c r="J410" s="27" t="s">
        <v>42</v>
      </c>
      <c r="K410" s="27" t="s">
        <v>43</v>
      </c>
      <c r="L410" s="31" t="s">
        <v>284</v>
      </c>
      <c r="M410" s="32">
        <v>0.51</v>
      </c>
      <c r="N410" s="27" t="s">
        <v>33</v>
      </c>
      <c r="O410" s="27" t="s">
        <v>53</v>
      </c>
      <c r="P410" s="27" t="s">
        <v>80</v>
      </c>
      <c r="Q410" s="27" t="s">
        <v>965</v>
      </c>
      <c r="R410" s="33">
        <v>63376</v>
      </c>
      <c r="S410" s="34">
        <v>42039</v>
      </c>
      <c r="T410" s="34">
        <v>42040</v>
      </c>
      <c r="U410" s="29">
        <v>-51.42</v>
      </c>
      <c r="V410" s="26">
        <v>10</v>
      </c>
      <c r="W410" s="29">
        <v>17.420000000000002</v>
      </c>
      <c r="X410" s="26">
        <v>88502</v>
      </c>
      <c r="Y410" s="35">
        <v>14.41</v>
      </c>
      <c r="Z410" s="1" t="s">
        <v>3012</v>
      </c>
      <c r="AA410" s="36">
        <v>1.1900000000000002</v>
      </c>
      <c r="AB410" s="54">
        <v>8.5358000000000001</v>
      </c>
      <c r="AC410" s="54">
        <v>0.8884200000000001</v>
      </c>
      <c r="AD410" s="36">
        <v>65.66</v>
      </c>
    </row>
    <row r="411" spans="1:30" s="37" customFormat="1" ht="15.75" customHeight="1" x14ac:dyDescent="0.2">
      <c r="A411" s="26">
        <v>962</v>
      </c>
      <c r="B411" s="27" t="s">
        <v>960</v>
      </c>
      <c r="C411" s="27" t="s">
        <v>48</v>
      </c>
      <c r="D411" s="28">
        <v>0.03</v>
      </c>
      <c r="E411" s="29">
        <v>2.94</v>
      </c>
      <c r="F411" s="29">
        <v>0.96</v>
      </c>
      <c r="G411" s="30" t="s">
        <v>39</v>
      </c>
      <c r="H411" s="27" t="s">
        <v>71</v>
      </c>
      <c r="I411" s="27" t="s">
        <v>49</v>
      </c>
      <c r="J411" s="27" t="s">
        <v>50</v>
      </c>
      <c r="K411" s="27" t="s">
        <v>51</v>
      </c>
      <c r="L411" s="31" t="s">
        <v>829</v>
      </c>
      <c r="M411" s="32">
        <v>0.57999999999999996</v>
      </c>
      <c r="N411" s="27" t="s">
        <v>33</v>
      </c>
      <c r="O411" s="27" t="s">
        <v>53</v>
      </c>
      <c r="P411" s="27" t="s">
        <v>103</v>
      </c>
      <c r="Q411" s="27" t="s">
        <v>533</v>
      </c>
      <c r="R411" s="33">
        <v>60610</v>
      </c>
      <c r="S411" s="34">
        <v>42039</v>
      </c>
      <c r="T411" s="34">
        <v>42043</v>
      </c>
      <c r="U411" s="29">
        <v>-4.2</v>
      </c>
      <c r="V411" s="26">
        <v>2</v>
      </c>
      <c r="W411" s="29">
        <v>7.01</v>
      </c>
      <c r="X411" s="26">
        <v>17636</v>
      </c>
      <c r="Y411" s="35">
        <v>5.7</v>
      </c>
      <c r="Z411" s="1" t="s">
        <v>3012</v>
      </c>
      <c r="AA411" s="36">
        <v>0.1764</v>
      </c>
      <c r="AB411" s="54">
        <v>2.9442000000000004</v>
      </c>
      <c r="AC411" s="54">
        <v>2.0328999999999997</v>
      </c>
      <c r="AD411" s="36">
        <v>10.073599999999999</v>
      </c>
    </row>
    <row r="412" spans="1:30" s="37" customFormat="1" ht="15.75" customHeight="1" x14ac:dyDescent="0.2">
      <c r="A412" s="26">
        <v>960</v>
      </c>
      <c r="B412" s="27" t="s">
        <v>958</v>
      </c>
      <c r="C412" s="27" t="s">
        <v>48</v>
      </c>
      <c r="D412" s="28">
        <v>0.03</v>
      </c>
      <c r="E412" s="29">
        <v>2.94</v>
      </c>
      <c r="F412" s="29">
        <v>0.96</v>
      </c>
      <c r="G412" s="30" t="s">
        <v>39</v>
      </c>
      <c r="H412" s="27" t="s">
        <v>71</v>
      </c>
      <c r="I412" s="27" t="s">
        <v>49</v>
      </c>
      <c r="J412" s="27" t="s">
        <v>50</v>
      </c>
      <c r="K412" s="27" t="s">
        <v>51</v>
      </c>
      <c r="L412" s="31" t="s">
        <v>829</v>
      </c>
      <c r="M412" s="32">
        <v>0.57999999999999996</v>
      </c>
      <c r="N412" s="27" t="s">
        <v>33</v>
      </c>
      <c r="O412" s="27" t="s">
        <v>60</v>
      </c>
      <c r="P412" s="27" t="s">
        <v>90</v>
      </c>
      <c r="Q412" s="27" t="s">
        <v>959</v>
      </c>
      <c r="R412" s="33">
        <v>90278</v>
      </c>
      <c r="S412" s="34">
        <v>42039</v>
      </c>
      <c r="T412" s="34">
        <v>42043</v>
      </c>
      <c r="U412" s="29">
        <v>-4.2</v>
      </c>
      <c r="V412" s="26">
        <v>1</v>
      </c>
      <c r="W412" s="29">
        <v>3.51</v>
      </c>
      <c r="X412" s="26">
        <v>89401</v>
      </c>
      <c r="Y412" s="35">
        <v>7.63</v>
      </c>
      <c r="Z412" s="1" t="s">
        <v>3013</v>
      </c>
      <c r="AA412" s="36">
        <v>8.8200000000000001E-2</v>
      </c>
      <c r="AB412" s="54">
        <v>1.4742</v>
      </c>
      <c r="AC412" s="54">
        <v>2.0357999999999996</v>
      </c>
      <c r="AD412" s="36">
        <v>6.6617999999999995</v>
      </c>
    </row>
    <row r="413" spans="1:30" s="37" customFormat="1" ht="15.75" customHeight="1" x14ac:dyDescent="0.2">
      <c r="A413" s="26">
        <v>2094</v>
      </c>
      <c r="B413" s="27" t="s">
        <v>1001</v>
      </c>
      <c r="C413" s="27" t="s">
        <v>116</v>
      </c>
      <c r="D413" s="28">
        <v>0.08</v>
      </c>
      <c r="E413" s="29">
        <v>400.98</v>
      </c>
      <c r="F413" s="29">
        <v>42.52</v>
      </c>
      <c r="G413" s="30" t="s">
        <v>27</v>
      </c>
      <c r="H413" s="27" t="s">
        <v>94</v>
      </c>
      <c r="I413" s="27" t="s">
        <v>29</v>
      </c>
      <c r="J413" s="27" t="s">
        <v>30</v>
      </c>
      <c r="K413" s="27" t="s">
        <v>31</v>
      </c>
      <c r="L413" s="31" t="s">
        <v>1002</v>
      </c>
      <c r="M413" s="32">
        <v>0.71</v>
      </c>
      <c r="N413" s="27" t="s">
        <v>33</v>
      </c>
      <c r="O413" s="27" t="s">
        <v>60</v>
      </c>
      <c r="P413" s="27" t="s">
        <v>90</v>
      </c>
      <c r="Q413" s="27" t="s">
        <v>1003</v>
      </c>
      <c r="R413" s="33">
        <v>95928</v>
      </c>
      <c r="S413" s="34">
        <v>42040</v>
      </c>
      <c r="T413" s="34">
        <v>42041</v>
      </c>
      <c r="U413" s="29">
        <v>3031.9724000000001</v>
      </c>
      <c r="V413" s="26">
        <v>20</v>
      </c>
      <c r="W413" s="29">
        <v>7840.04</v>
      </c>
      <c r="X413" s="26">
        <v>86629</v>
      </c>
      <c r="Y413" s="35">
        <v>279.75</v>
      </c>
      <c r="Z413" s="1" t="s">
        <v>3013</v>
      </c>
      <c r="AA413" s="36">
        <v>641.56799999999998</v>
      </c>
      <c r="AB413" s="54">
        <v>2273.6116000000002</v>
      </c>
      <c r="AC413" s="54">
        <v>278.32141999999999</v>
      </c>
      <c r="AD413" s="36">
        <v>4123.9795999999997</v>
      </c>
    </row>
    <row r="414" spans="1:30" s="37" customFormat="1" ht="15.75" customHeight="1" x14ac:dyDescent="0.2">
      <c r="A414" s="26">
        <v>2803</v>
      </c>
      <c r="B414" s="27" t="s">
        <v>1008</v>
      </c>
      <c r="C414" s="27" t="s">
        <v>116</v>
      </c>
      <c r="D414" s="28">
        <v>7.0000000000000007E-2</v>
      </c>
      <c r="E414" s="29">
        <v>500.98</v>
      </c>
      <c r="F414" s="29">
        <v>28.14</v>
      </c>
      <c r="G414" s="30" t="s">
        <v>27</v>
      </c>
      <c r="H414" s="27" t="s">
        <v>3095</v>
      </c>
      <c r="I414" s="27" t="s">
        <v>41</v>
      </c>
      <c r="J414" s="27" t="s">
        <v>57</v>
      </c>
      <c r="K414" s="27" t="s">
        <v>58</v>
      </c>
      <c r="L414" s="31" t="s">
        <v>1009</v>
      </c>
      <c r="M414" s="32">
        <v>0.38</v>
      </c>
      <c r="N414" s="27" t="s">
        <v>33</v>
      </c>
      <c r="O414" s="27" t="s">
        <v>60</v>
      </c>
      <c r="P414" s="27" t="s">
        <v>90</v>
      </c>
      <c r="Q414" s="27" t="s">
        <v>1010</v>
      </c>
      <c r="R414" s="33">
        <v>90022</v>
      </c>
      <c r="S414" s="34">
        <v>42040</v>
      </c>
      <c r="T414" s="34">
        <v>42041</v>
      </c>
      <c r="U414" s="29">
        <v>2699.9838</v>
      </c>
      <c r="V414" s="26">
        <v>10</v>
      </c>
      <c r="W414" s="29">
        <v>3913.02</v>
      </c>
      <c r="X414" s="26">
        <v>86227</v>
      </c>
      <c r="Y414" s="35">
        <v>7.28</v>
      </c>
      <c r="Z414" s="1" t="s">
        <v>3013</v>
      </c>
      <c r="AA414" s="36">
        <v>350.68600000000004</v>
      </c>
      <c r="AB414" s="54">
        <v>2426.0724</v>
      </c>
      <c r="AC414" s="54">
        <v>148.69476</v>
      </c>
      <c r="AD414" s="36">
        <v>834.21019999999999</v>
      </c>
    </row>
    <row r="415" spans="1:30" s="37" customFormat="1" ht="15.75" customHeight="1" x14ac:dyDescent="0.2">
      <c r="A415" s="26">
        <v>1427</v>
      </c>
      <c r="B415" s="27" t="s">
        <v>993</v>
      </c>
      <c r="C415" s="27" t="s">
        <v>48</v>
      </c>
      <c r="D415" s="28">
        <v>0.09</v>
      </c>
      <c r="E415" s="29">
        <v>125.99</v>
      </c>
      <c r="F415" s="29">
        <v>2.5</v>
      </c>
      <c r="G415" s="30" t="s">
        <v>39</v>
      </c>
      <c r="H415" s="27" t="s">
        <v>71</v>
      </c>
      <c r="I415" s="27" t="s">
        <v>41</v>
      </c>
      <c r="J415" s="27" t="s">
        <v>135</v>
      </c>
      <c r="K415" s="27" t="s">
        <v>73</v>
      </c>
      <c r="L415" s="31" t="s">
        <v>948</v>
      </c>
      <c r="M415" s="32">
        <v>0.6</v>
      </c>
      <c r="N415" s="27" t="s">
        <v>33</v>
      </c>
      <c r="O415" s="27" t="s">
        <v>53</v>
      </c>
      <c r="P415" s="27" t="s">
        <v>289</v>
      </c>
      <c r="Q415" s="27" t="s">
        <v>994</v>
      </c>
      <c r="R415" s="33">
        <v>48708</v>
      </c>
      <c r="S415" s="34">
        <v>42040</v>
      </c>
      <c r="T415" s="34">
        <v>42044</v>
      </c>
      <c r="U415" s="29">
        <v>1258.7877000000001</v>
      </c>
      <c r="V415" s="26">
        <v>18</v>
      </c>
      <c r="W415" s="29">
        <v>1824.33</v>
      </c>
      <c r="X415" s="26">
        <v>90905</v>
      </c>
      <c r="Y415" s="35">
        <v>2.81</v>
      </c>
      <c r="Z415" s="1" t="s">
        <v>3012</v>
      </c>
      <c r="AA415" s="36">
        <v>204.10379999999998</v>
      </c>
      <c r="AB415" s="54">
        <v>729.73199999999997</v>
      </c>
      <c r="AC415" s="54">
        <v>60.810999999999993</v>
      </c>
      <c r="AD415" s="36">
        <v>358.93849999999975</v>
      </c>
    </row>
    <row r="416" spans="1:30" s="37" customFormat="1" ht="15.75" customHeight="1" x14ac:dyDescent="0.2">
      <c r="A416" s="26">
        <v>234</v>
      </c>
      <c r="B416" s="27" t="s">
        <v>985</v>
      </c>
      <c r="C416" s="27" t="s">
        <v>26</v>
      </c>
      <c r="D416" s="28">
        <v>0.06</v>
      </c>
      <c r="E416" s="29">
        <v>279.81</v>
      </c>
      <c r="F416" s="29">
        <v>23.19</v>
      </c>
      <c r="G416" s="30" t="s">
        <v>27</v>
      </c>
      <c r="H416" s="27" t="s">
        <v>3095</v>
      </c>
      <c r="I416" s="27" t="s">
        <v>49</v>
      </c>
      <c r="J416" s="27" t="s">
        <v>95</v>
      </c>
      <c r="K416" s="27" t="s">
        <v>58</v>
      </c>
      <c r="L416" s="31" t="s">
        <v>986</v>
      </c>
      <c r="M416" s="32">
        <v>0.59</v>
      </c>
      <c r="N416" s="27" t="s">
        <v>33</v>
      </c>
      <c r="O416" s="27" t="s">
        <v>53</v>
      </c>
      <c r="P416" s="27" t="s">
        <v>213</v>
      </c>
      <c r="Q416" s="27" t="s">
        <v>737</v>
      </c>
      <c r="R416" s="33">
        <v>50208</v>
      </c>
      <c r="S416" s="34">
        <v>42040</v>
      </c>
      <c r="T416" s="34">
        <v>42041</v>
      </c>
      <c r="U416" s="29">
        <v>1103.9724000000001</v>
      </c>
      <c r="V416" s="26">
        <v>6</v>
      </c>
      <c r="W416" s="29">
        <v>1599.96</v>
      </c>
      <c r="X416" s="26">
        <v>90236</v>
      </c>
      <c r="Y416" s="35">
        <v>195.89000000000001</v>
      </c>
      <c r="Z416" s="1" t="s">
        <v>3012</v>
      </c>
      <c r="AA416" s="36">
        <v>100.73159999999999</v>
      </c>
      <c r="AB416" s="54">
        <v>655.98360000000002</v>
      </c>
      <c r="AC416" s="54">
        <v>157.32939999999999</v>
      </c>
      <c r="AD416" s="36">
        <v>372.0659999999998</v>
      </c>
    </row>
    <row r="417" spans="1:30" s="37" customFormat="1" ht="15.75" customHeight="1" x14ac:dyDescent="0.2">
      <c r="A417" s="26">
        <v>1821</v>
      </c>
      <c r="B417" s="27" t="s">
        <v>998</v>
      </c>
      <c r="C417" s="27" t="s">
        <v>48</v>
      </c>
      <c r="D417" s="28">
        <v>0.01</v>
      </c>
      <c r="E417" s="29">
        <v>10.48</v>
      </c>
      <c r="F417" s="29">
        <v>2.89</v>
      </c>
      <c r="G417" s="30" t="s">
        <v>39</v>
      </c>
      <c r="H417" s="27" t="s">
        <v>40</v>
      </c>
      <c r="I417" s="27" t="s">
        <v>49</v>
      </c>
      <c r="J417" s="27" t="s">
        <v>50</v>
      </c>
      <c r="K417" s="27" t="s">
        <v>43</v>
      </c>
      <c r="L417" s="31" t="s">
        <v>996</v>
      </c>
      <c r="M417" s="32">
        <v>0.6</v>
      </c>
      <c r="N417" s="27" t="s">
        <v>33</v>
      </c>
      <c r="O417" s="27" t="s">
        <v>111</v>
      </c>
      <c r="P417" s="27" t="s">
        <v>112</v>
      </c>
      <c r="Q417" s="27" t="s">
        <v>113</v>
      </c>
      <c r="R417" s="33">
        <v>10177</v>
      </c>
      <c r="S417" s="34">
        <v>42040</v>
      </c>
      <c r="T417" s="34">
        <v>42042</v>
      </c>
      <c r="U417" s="29">
        <v>40.92</v>
      </c>
      <c r="V417" s="26">
        <v>76</v>
      </c>
      <c r="W417" s="29">
        <v>809.51</v>
      </c>
      <c r="X417" s="26">
        <v>34435</v>
      </c>
      <c r="Y417" s="35">
        <v>125.89999999999999</v>
      </c>
      <c r="Z417" s="1" t="s">
        <v>3014</v>
      </c>
      <c r="AA417" s="36">
        <v>7.9648000000000003</v>
      </c>
      <c r="AB417" s="54">
        <v>323.80400000000003</v>
      </c>
      <c r="AC417" s="54">
        <v>6.3908684210526312</v>
      </c>
      <c r="AD417" s="36">
        <v>757.73519999999996</v>
      </c>
    </row>
    <row r="418" spans="1:30" s="37" customFormat="1" ht="15.75" customHeight="1" x14ac:dyDescent="0.2">
      <c r="A418" s="26">
        <v>980</v>
      </c>
      <c r="B418" s="27" t="s">
        <v>999</v>
      </c>
      <c r="C418" s="27" t="s">
        <v>116</v>
      </c>
      <c r="D418" s="28">
        <v>0</v>
      </c>
      <c r="E418" s="29">
        <v>37.76</v>
      </c>
      <c r="F418" s="29">
        <v>12.9</v>
      </c>
      <c r="G418" s="30" t="s">
        <v>39</v>
      </c>
      <c r="H418" s="27" t="s">
        <v>94</v>
      </c>
      <c r="I418" s="27" t="s">
        <v>49</v>
      </c>
      <c r="J418" s="27" t="s">
        <v>78</v>
      </c>
      <c r="K418" s="27" t="s">
        <v>73</v>
      </c>
      <c r="L418" s="31" t="s">
        <v>1000</v>
      </c>
      <c r="M418" s="32">
        <v>0.56999999999999995</v>
      </c>
      <c r="N418" s="27" t="s">
        <v>33</v>
      </c>
      <c r="O418" s="27" t="s">
        <v>111</v>
      </c>
      <c r="P418" s="27" t="s">
        <v>633</v>
      </c>
      <c r="Q418" s="27" t="s">
        <v>634</v>
      </c>
      <c r="R418" s="33">
        <v>5403</v>
      </c>
      <c r="S418" s="34">
        <v>42040</v>
      </c>
      <c r="T418" s="34">
        <v>42041</v>
      </c>
      <c r="U418" s="29">
        <v>93.846800000000002</v>
      </c>
      <c r="V418" s="26">
        <v>12</v>
      </c>
      <c r="W418" s="29">
        <v>477.2</v>
      </c>
      <c r="X418" s="26">
        <v>87258</v>
      </c>
      <c r="Y418" s="35">
        <v>10.47</v>
      </c>
      <c r="Z418" s="1" t="s">
        <v>3014</v>
      </c>
      <c r="AA418" s="36">
        <v>0</v>
      </c>
      <c r="AB418" s="54">
        <v>205.19600000000003</v>
      </c>
      <c r="AC418" s="54">
        <v>22.666999999999998</v>
      </c>
      <c r="AD418" s="36">
        <v>370.45319999999998</v>
      </c>
    </row>
    <row r="419" spans="1:30" s="37" customFormat="1" ht="15.75" customHeight="1" x14ac:dyDescent="0.2">
      <c r="A419" s="26">
        <v>672</v>
      </c>
      <c r="B419" s="27" t="s">
        <v>990</v>
      </c>
      <c r="C419" s="27" t="s">
        <v>48</v>
      </c>
      <c r="D419" s="28">
        <v>0.1</v>
      </c>
      <c r="E419" s="29">
        <v>195.99</v>
      </c>
      <c r="F419" s="29">
        <v>3.99</v>
      </c>
      <c r="G419" s="30" t="s">
        <v>39</v>
      </c>
      <c r="H419" s="27" t="s">
        <v>3095</v>
      </c>
      <c r="I419" s="27" t="s">
        <v>41</v>
      </c>
      <c r="J419" s="27" t="s">
        <v>135</v>
      </c>
      <c r="K419" s="27" t="s">
        <v>73</v>
      </c>
      <c r="L419" s="31" t="s">
        <v>992</v>
      </c>
      <c r="M419" s="32">
        <v>0.57999999999999996</v>
      </c>
      <c r="N419" s="27" t="s">
        <v>33</v>
      </c>
      <c r="O419" s="27" t="s">
        <v>53</v>
      </c>
      <c r="P419" s="27" t="s">
        <v>213</v>
      </c>
      <c r="Q419" s="27" t="s">
        <v>737</v>
      </c>
      <c r="R419" s="33">
        <v>50208</v>
      </c>
      <c r="S419" s="34">
        <v>42040</v>
      </c>
      <c r="T419" s="34">
        <v>42047</v>
      </c>
      <c r="U419" s="29">
        <v>-655.42399999999998</v>
      </c>
      <c r="V419" s="26">
        <v>2</v>
      </c>
      <c r="W419" s="29">
        <v>308.86</v>
      </c>
      <c r="X419" s="26">
        <v>88173</v>
      </c>
      <c r="Y419" s="35">
        <v>10.47</v>
      </c>
      <c r="Z419" s="1" t="s">
        <v>3012</v>
      </c>
      <c r="AA419" s="36">
        <v>39.198000000000008</v>
      </c>
      <c r="AB419" s="54">
        <v>129.72120000000001</v>
      </c>
      <c r="AC419" s="54">
        <v>89.569400000000002</v>
      </c>
      <c r="AD419" s="36">
        <v>921.096</v>
      </c>
    </row>
    <row r="420" spans="1:30" s="37" customFormat="1" ht="15.75" customHeight="1" x14ac:dyDescent="0.2">
      <c r="A420" s="26">
        <v>1117</v>
      </c>
      <c r="B420" s="27" t="s">
        <v>1012</v>
      </c>
      <c r="C420" s="27" t="s">
        <v>3094</v>
      </c>
      <c r="D420" s="28">
        <v>0.06</v>
      </c>
      <c r="E420" s="29">
        <v>64.650000000000006</v>
      </c>
      <c r="F420" s="29">
        <v>35</v>
      </c>
      <c r="G420" s="30" t="s">
        <v>39</v>
      </c>
      <c r="H420" s="27" t="s">
        <v>71</v>
      </c>
      <c r="I420" s="27" t="s">
        <v>49</v>
      </c>
      <c r="J420" s="27" t="s">
        <v>78</v>
      </c>
      <c r="K420" s="27" t="s">
        <v>65</v>
      </c>
      <c r="L420" s="31" t="s">
        <v>1013</v>
      </c>
      <c r="M420" s="32">
        <v>0.8</v>
      </c>
      <c r="N420" s="27" t="s">
        <v>33</v>
      </c>
      <c r="O420" s="27" t="s">
        <v>60</v>
      </c>
      <c r="P420" s="27" t="s">
        <v>588</v>
      </c>
      <c r="Q420" s="27" t="s">
        <v>1014</v>
      </c>
      <c r="R420" s="33">
        <v>85705</v>
      </c>
      <c r="S420" s="34">
        <v>42040</v>
      </c>
      <c r="T420" s="34">
        <v>42041</v>
      </c>
      <c r="U420" s="29">
        <v>-139.28720000000001</v>
      </c>
      <c r="V420" s="26">
        <v>4</v>
      </c>
      <c r="W420" s="29">
        <v>277.60000000000002</v>
      </c>
      <c r="X420" s="26">
        <v>86768</v>
      </c>
      <c r="Y420" s="35">
        <v>37.76</v>
      </c>
      <c r="Z420" s="1" t="s">
        <v>3013</v>
      </c>
      <c r="AA420" s="36">
        <v>15.516</v>
      </c>
      <c r="AB420" s="54">
        <v>55.519999999999989</v>
      </c>
      <c r="AC420" s="54">
        <v>55.52000000000001</v>
      </c>
      <c r="AD420" s="36">
        <v>366.37120000000004</v>
      </c>
    </row>
    <row r="421" spans="1:30" s="37" customFormat="1" ht="15.75" customHeight="1" x14ac:dyDescent="0.2">
      <c r="A421" s="26">
        <v>1816</v>
      </c>
      <c r="B421" s="27" t="s">
        <v>995</v>
      </c>
      <c r="C421" s="27" t="s">
        <v>48</v>
      </c>
      <c r="D421" s="28">
        <v>0.01</v>
      </c>
      <c r="E421" s="29">
        <v>10.48</v>
      </c>
      <c r="F421" s="29">
        <v>2.89</v>
      </c>
      <c r="G421" s="30" t="s">
        <v>39</v>
      </c>
      <c r="H421" s="27" t="s">
        <v>40</v>
      </c>
      <c r="I421" s="27" t="s">
        <v>49</v>
      </c>
      <c r="J421" s="27" t="s">
        <v>50</v>
      </c>
      <c r="K421" s="27" t="s">
        <v>43</v>
      </c>
      <c r="L421" s="31" t="s">
        <v>996</v>
      </c>
      <c r="M421" s="32">
        <v>0.6</v>
      </c>
      <c r="N421" s="27" t="s">
        <v>33</v>
      </c>
      <c r="O421" s="27" t="s">
        <v>53</v>
      </c>
      <c r="P421" s="27" t="s">
        <v>289</v>
      </c>
      <c r="Q421" s="27" t="s">
        <v>997</v>
      </c>
      <c r="R421" s="33">
        <v>48187</v>
      </c>
      <c r="S421" s="34">
        <v>42040</v>
      </c>
      <c r="T421" s="34">
        <v>42042</v>
      </c>
      <c r="U421" s="29">
        <v>60.561599999999999</v>
      </c>
      <c r="V421" s="26">
        <v>19</v>
      </c>
      <c r="W421" s="29">
        <v>202.38</v>
      </c>
      <c r="X421" s="26">
        <v>85990</v>
      </c>
      <c r="Y421" s="35">
        <v>400.90000000000003</v>
      </c>
      <c r="Z421" s="1" t="s">
        <v>3012</v>
      </c>
      <c r="AA421" s="36">
        <v>1.9912000000000001</v>
      </c>
      <c r="AB421" s="54">
        <v>80.951999999999998</v>
      </c>
      <c r="AC421" s="54">
        <v>6.3909473684210525</v>
      </c>
      <c r="AD421" s="36">
        <v>136.93719999999999</v>
      </c>
    </row>
    <row r="422" spans="1:30" s="37" customFormat="1" ht="15.75" customHeight="1" x14ac:dyDescent="0.2">
      <c r="A422" s="26">
        <v>2803</v>
      </c>
      <c r="B422" s="27" t="s">
        <v>1008</v>
      </c>
      <c r="C422" s="27" t="s">
        <v>116</v>
      </c>
      <c r="D422" s="28">
        <v>0.1</v>
      </c>
      <c r="E422" s="29">
        <v>178.47</v>
      </c>
      <c r="F422" s="29">
        <v>19.989999999999998</v>
      </c>
      <c r="G422" s="30" t="s">
        <v>39</v>
      </c>
      <c r="H422" s="27" t="s">
        <v>3095</v>
      </c>
      <c r="I422" s="27" t="s">
        <v>49</v>
      </c>
      <c r="J422" s="27" t="s">
        <v>78</v>
      </c>
      <c r="K422" s="27" t="s">
        <v>73</v>
      </c>
      <c r="L422" s="31" t="s">
        <v>1011</v>
      </c>
      <c r="M422" s="32">
        <v>0.55000000000000004</v>
      </c>
      <c r="N422" s="27" t="s">
        <v>33</v>
      </c>
      <c r="O422" s="27" t="s">
        <v>60</v>
      </c>
      <c r="P422" s="27" t="s">
        <v>90</v>
      </c>
      <c r="Q422" s="27" t="s">
        <v>1010</v>
      </c>
      <c r="R422" s="33">
        <v>90022</v>
      </c>
      <c r="S422" s="34">
        <v>42040</v>
      </c>
      <c r="T422" s="34">
        <v>42042</v>
      </c>
      <c r="U422" s="29">
        <v>-170.98</v>
      </c>
      <c r="V422" s="26">
        <v>1</v>
      </c>
      <c r="W422" s="29">
        <v>180.14</v>
      </c>
      <c r="X422" s="26">
        <v>86227</v>
      </c>
      <c r="Y422" s="35">
        <v>5.94</v>
      </c>
      <c r="Z422" s="1" t="s">
        <v>3013</v>
      </c>
      <c r="AA422" s="36">
        <v>17.847000000000001</v>
      </c>
      <c r="AB422" s="54">
        <v>81.062999999999988</v>
      </c>
      <c r="AC422" s="54">
        <v>99.076999999999998</v>
      </c>
      <c r="AD422" s="36">
        <v>313.28299999999996</v>
      </c>
    </row>
    <row r="423" spans="1:30" s="37" customFormat="1" ht="15.75" customHeight="1" x14ac:dyDescent="0.2">
      <c r="A423" s="26">
        <v>2747</v>
      </c>
      <c r="B423" s="27" t="s">
        <v>1006</v>
      </c>
      <c r="C423" s="27" t="s">
        <v>116</v>
      </c>
      <c r="D423" s="28">
        <v>0.08</v>
      </c>
      <c r="E423" s="29">
        <v>9.98</v>
      </c>
      <c r="F423" s="29">
        <v>12.52</v>
      </c>
      <c r="G423" s="30" t="s">
        <v>39</v>
      </c>
      <c r="H423" s="27" t="s">
        <v>94</v>
      </c>
      <c r="I423" s="27" t="s">
        <v>29</v>
      </c>
      <c r="J423" s="27" t="s">
        <v>126</v>
      </c>
      <c r="K423" s="27" t="s">
        <v>73</v>
      </c>
      <c r="L423" s="31" t="s">
        <v>1007</v>
      </c>
      <c r="M423" s="32">
        <v>0.56999999999999995</v>
      </c>
      <c r="N423" s="27" t="s">
        <v>33</v>
      </c>
      <c r="O423" s="27" t="s">
        <v>111</v>
      </c>
      <c r="P423" s="27" t="s">
        <v>112</v>
      </c>
      <c r="Q423" s="27" t="s">
        <v>113</v>
      </c>
      <c r="R423" s="33">
        <v>10115</v>
      </c>
      <c r="S423" s="34">
        <v>42040</v>
      </c>
      <c r="T423" s="34">
        <v>42042</v>
      </c>
      <c r="U423" s="29">
        <v>-102.93</v>
      </c>
      <c r="V423" s="26">
        <v>15</v>
      </c>
      <c r="W423" s="29">
        <v>150.24</v>
      </c>
      <c r="X423" s="26">
        <v>35200</v>
      </c>
      <c r="Y423" s="35">
        <v>9.9</v>
      </c>
      <c r="Z423" s="1" t="s">
        <v>3014</v>
      </c>
      <c r="AA423" s="36">
        <v>11.975999999999999</v>
      </c>
      <c r="AB423" s="54">
        <v>64.603200000000015</v>
      </c>
      <c r="AC423" s="54">
        <v>5.7091199999999995</v>
      </c>
      <c r="AD423" s="36">
        <v>228.67400000000004</v>
      </c>
    </row>
    <row r="424" spans="1:30" s="37" customFormat="1" ht="15.75" customHeight="1" x14ac:dyDescent="0.2">
      <c r="A424" s="26">
        <v>2498</v>
      </c>
      <c r="B424" s="27" t="s">
        <v>929</v>
      </c>
      <c r="C424" s="27" t="s">
        <v>3094</v>
      </c>
      <c r="D424" s="28">
        <v>0.08</v>
      </c>
      <c r="E424" s="29">
        <v>1.68</v>
      </c>
      <c r="F424" s="29">
        <v>1.57</v>
      </c>
      <c r="G424" s="30" t="s">
        <v>39</v>
      </c>
      <c r="H424" s="27" t="s">
        <v>3095</v>
      </c>
      <c r="I424" s="27" t="s">
        <v>49</v>
      </c>
      <c r="J424" s="27" t="s">
        <v>50</v>
      </c>
      <c r="K424" s="27" t="s">
        <v>51</v>
      </c>
      <c r="L424" s="31" t="s">
        <v>574</v>
      </c>
      <c r="M424" s="32">
        <v>0.59</v>
      </c>
      <c r="N424" s="27" t="s">
        <v>33</v>
      </c>
      <c r="O424" s="27" t="s">
        <v>60</v>
      </c>
      <c r="P424" s="27" t="s">
        <v>90</v>
      </c>
      <c r="Q424" s="27" t="s">
        <v>890</v>
      </c>
      <c r="R424" s="33">
        <v>92024</v>
      </c>
      <c r="S424" s="34">
        <v>42040</v>
      </c>
      <c r="T424" s="34">
        <v>42041</v>
      </c>
      <c r="U424" s="29">
        <v>-46.25</v>
      </c>
      <c r="V424" s="26">
        <v>88</v>
      </c>
      <c r="W424" s="29">
        <v>148.36000000000001</v>
      </c>
      <c r="X424" s="26">
        <v>20007</v>
      </c>
      <c r="Y424" s="35">
        <v>500.91</v>
      </c>
      <c r="Z424" s="1" t="s">
        <v>3013</v>
      </c>
      <c r="AA424" s="36">
        <v>11.827199999999999</v>
      </c>
      <c r="AB424" s="54">
        <v>60.827600000000011</v>
      </c>
      <c r="AC424" s="54">
        <v>0.99468636363636365</v>
      </c>
      <c r="AD424" s="36">
        <v>181.21280000000002</v>
      </c>
    </row>
    <row r="425" spans="1:30" s="37" customFormat="1" ht="15.75" customHeight="1" x14ac:dyDescent="0.2">
      <c r="A425" s="26">
        <v>2282</v>
      </c>
      <c r="B425" s="27" t="s">
        <v>1004</v>
      </c>
      <c r="C425" s="27" t="s">
        <v>116</v>
      </c>
      <c r="D425" s="28">
        <v>0.04</v>
      </c>
      <c r="E425" s="29">
        <v>5.98</v>
      </c>
      <c r="F425" s="29">
        <v>5.79</v>
      </c>
      <c r="G425" s="30" t="s">
        <v>39</v>
      </c>
      <c r="H425" s="27" t="s">
        <v>71</v>
      </c>
      <c r="I425" s="27" t="s">
        <v>49</v>
      </c>
      <c r="J425" s="27" t="s">
        <v>88</v>
      </c>
      <c r="K425" s="27" t="s">
        <v>73</v>
      </c>
      <c r="L425" s="31" t="s">
        <v>471</v>
      </c>
      <c r="M425" s="32">
        <v>0.36</v>
      </c>
      <c r="N425" s="27" t="s">
        <v>33</v>
      </c>
      <c r="O425" s="27" t="s">
        <v>53</v>
      </c>
      <c r="P425" s="27" t="s">
        <v>357</v>
      </c>
      <c r="Q425" s="27" t="s">
        <v>1005</v>
      </c>
      <c r="R425" s="33">
        <v>53713</v>
      </c>
      <c r="S425" s="34">
        <v>42040</v>
      </c>
      <c r="T425" s="34">
        <v>42042</v>
      </c>
      <c r="U425" s="29">
        <v>-36.030799999999999</v>
      </c>
      <c r="V425" s="26">
        <v>14</v>
      </c>
      <c r="W425" s="29">
        <v>86.12</v>
      </c>
      <c r="X425" s="26">
        <v>85950</v>
      </c>
      <c r="Y425" s="35">
        <v>178.37</v>
      </c>
      <c r="Z425" s="1" t="s">
        <v>3012</v>
      </c>
      <c r="AA425" s="36">
        <v>3.3488000000000002</v>
      </c>
      <c r="AB425" s="54">
        <v>55.116800000000005</v>
      </c>
      <c r="AC425" s="54">
        <v>2.2145142857142859</v>
      </c>
      <c r="AD425" s="36">
        <v>113.012</v>
      </c>
    </row>
    <row r="426" spans="1:30" s="37" customFormat="1" ht="15.75" customHeight="1" x14ac:dyDescent="0.2">
      <c r="A426" s="26">
        <v>2359</v>
      </c>
      <c r="B426" s="27" t="s">
        <v>987</v>
      </c>
      <c r="C426" s="27" t="s">
        <v>26</v>
      </c>
      <c r="D426" s="28">
        <v>0</v>
      </c>
      <c r="E426" s="29">
        <v>7.28</v>
      </c>
      <c r="F426" s="29">
        <v>1.77</v>
      </c>
      <c r="G426" s="30" t="s">
        <v>39</v>
      </c>
      <c r="H426" s="27" t="s">
        <v>71</v>
      </c>
      <c r="I426" s="27" t="s">
        <v>49</v>
      </c>
      <c r="J426" s="27" t="s">
        <v>88</v>
      </c>
      <c r="K426" s="27" t="s">
        <v>51</v>
      </c>
      <c r="L426" s="31" t="s">
        <v>988</v>
      </c>
      <c r="M426" s="32">
        <v>0.37</v>
      </c>
      <c r="N426" s="27" t="s">
        <v>33</v>
      </c>
      <c r="O426" s="27" t="s">
        <v>34</v>
      </c>
      <c r="P426" s="27" t="s">
        <v>123</v>
      </c>
      <c r="Q426" s="27" t="s">
        <v>989</v>
      </c>
      <c r="R426" s="33">
        <v>33917</v>
      </c>
      <c r="S426" s="34">
        <v>42040</v>
      </c>
      <c r="T426" s="34">
        <v>42040</v>
      </c>
      <c r="U426" s="29">
        <v>167.16</v>
      </c>
      <c r="V426" s="26">
        <v>7</v>
      </c>
      <c r="W426" s="29">
        <v>53.42</v>
      </c>
      <c r="X426" s="26">
        <v>88265</v>
      </c>
      <c r="Y426" s="35">
        <v>64.59</v>
      </c>
      <c r="Z426" s="1" t="s">
        <v>3011</v>
      </c>
      <c r="AA426" s="36">
        <v>0</v>
      </c>
      <c r="AB426" s="54">
        <v>33.654600000000002</v>
      </c>
      <c r="AC426" s="54">
        <v>2.8236285714285714</v>
      </c>
      <c r="AD426" s="36">
        <v>-115.51</v>
      </c>
    </row>
    <row r="427" spans="1:30" s="37" customFormat="1" ht="15.75" customHeight="1" x14ac:dyDescent="0.2">
      <c r="A427" s="26">
        <v>672</v>
      </c>
      <c r="B427" s="27" t="s">
        <v>990</v>
      </c>
      <c r="C427" s="27" t="s">
        <v>48</v>
      </c>
      <c r="D427" s="28">
        <v>7.0000000000000007E-2</v>
      </c>
      <c r="E427" s="29">
        <v>2.88</v>
      </c>
      <c r="F427" s="29">
        <v>1.01</v>
      </c>
      <c r="G427" s="30" t="s">
        <v>39</v>
      </c>
      <c r="H427" s="27" t="s">
        <v>3095</v>
      </c>
      <c r="I427" s="27" t="s">
        <v>49</v>
      </c>
      <c r="J427" s="27" t="s">
        <v>50</v>
      </c>
      <c r="K427" s="27" t="s">
        <v>51</v>
      </c>
      <c r="L427" s="31" t="s">
        <v>991</v>
      </c>
      <c r="M427" s="32">
        <v>0.55000000000000004</v>
      </c>
      <c r="N427" s="27" t="s">
        <v>33</v>
      </c>
      <c r="O427" s="27" t="s">
        <v>53</v>
      </c>
      <c r="P427" s="27" t="s">
        <v>213</v>
      </c>
      <c r="Q427" s="27" t="s">
        <v>737</v>
      </c>
      <c r="R427" s="33">
        <v>50208</v>
      </c>
      <c r="S427" s="34">
        <v>42040</v>
      </c>
      <c r="T427" s="34">
        <v>42044</v>
      </c>
      <c r="U427" s="29">
        <v>9.59</v>
      </c>
      <c r="V427" s="26">
        <v>12</v>
      </c>
      <c r="W427" s="29">
        <v>34.97</v>
      </c>
      <c r="X427" s="26">
        <v>88173</v>
      </c>
      <c r="Y427" s="35">
        <v>1.5999999999999999</v>
      </c>
      <c r="Z427" s="1" t="s">
        <v>3012</v>
      </c>
      <c r="AA427" s="36">
        <v>2.4192</v>
      </c>
      <c r="AB427" s="54">
        <v>15.736499999999998</v>
      </c>
      <c r="AC427" s="54">
        <v>1.6027916666666668</v>
      </c>
      <c r="AD427" s="36">
        <v>21.950800000000001</v>
      </c>
    </row>
    <row r="428" spans="1:30" s="37" customFormat="1" ht="15.75" customHeight="1" x14ac:dyDescent="0.2">
      <c r="A428" s="26">
        <v>2270</v>
      </c>
      <c r="B428" s="27" t="s">
        <v>1038</v>
      </c>
      <c r="C428" s="27" t="s">
        <v>48</v>
      </c>
      <c r="D428" s="28">
        <v>0.08</v>
      </c>
      <c r="E428" s="29">
        <v>205.99</v>
      </c>
      <c r="F428" s="29">
        <v>2.5</v>
      </c>
      <c r="G428" s="30" t="s">
        <v>39</v>
      </c>
      <c r="H428" s="27" t="s">
        <v>3095</v>
      </c>
      <c r="I428" s="27" t="s">
        <v>41</v>
      </c>
      <c r="J428" s="27" t="s">
        <v>135</v>
      </c>
      <c r="K428" s="27" t="s">
        <v>73</v>
      </c>
      <c r="L428" s="31" t="s">
        <v>838</v>
      </c>
      <c r="M428" s="32">
        <v>0.59</v>
      </c>
      <c r="N428" s="27" t="s">
        <v>33</v>
      </c>
      <c r="O428" s="27" t="s">
        <v>34</v>
      </c>
      <c r="P428" s="27" t="s">
        <v>271</v>
      </c>
      <c r="Q428" s="27" t="s">
        <v>1040</v>
      </c>
      <c r="R428" s="33">
        <v>29662</v>
      </c>
      <c r="S428" s="34">
        <v>42041</v>
      </c>
      <c r="T428" s="34">
        <v>42046</v>
      </c>
      <c r="U428" s="29">
        <v>-156.77199999999999</v>
      </c>
      <c r="V428" s="26">
        <v>17</v>
      </c>
      <c r="W428" s="29">
        <v>2875.35</v>
      </c>
      <c r="X428" s="26">
        <v>89572</v>
      </c>
      <c r="Y428" s="35">
        <v>999.9</v>
      </c>
      <c r="Z428" s="1" t="s">
        <v>3011</v>
      </c>
      <c r="AA428" s="36">
        <v>280.14640000000003</v>
      </c>
      <c r="AB428" s="54">
        <v>1178.8935000000001</v>
      </c>
      <c r="AC428" s="54">
        <v>99.7915588235294</v>
      </c>
      <c r="AD428" s="36">
        <v>2749.4755999999998</v>
      </c>
    </row>
    <row r="429" spans="1:30" s="37" customFormat="1" ht="15.75" customHeight="1" x14ac:dyDescent="0.2">
      <c r="A429" s="26">
        <v>389</v>
      </c>
      <c r="B429" s="27" t="s">
        <v>1033</v>
      </c>
      <c r="C429" s="27" t="s">
        <v>48</v>
      </c>
      <c r="D429" s="28">
        <v>0.03</v>
      </c>
      <c r="E429" s="29">
        <v>160.97999999999999</v>
      </c>
      <c r="F429" s="29">
        <v>30</v>
      </c>
      <c r="G429" s="30" t="s">
        <v>27</v>
      </c>
      <c r="H429" s="27" t="s">
        <v>94</v>
      </c>
      <c r="I429" s="27" t="s">
        <v>29</v>
      </c>
      <c r="J429" s="27" t="s">
        <v>109</v>
      </c>
      <c r="K429" s="27" t="s">
        <v>58</v>
      </c>
      <c r="L429" s="31" t="s">
        <v>892</v>
      </c>
      <c r="M429" s="32">
        <v>0.62</v>
      </c>
      <c r="N429" s="27" t="s">
        <v>33</v>
      </c>
      <c r="O429" s="27" t="s">
        <v>53</v>
      </c>
      <c r="P429" s="27" t="s">
        <v>133</v>
      </c>
      <c r="Q429" s="27" t="s">
        <v>1034</v>
      </c>
      <c r="R429" s="33">
        <v>68502</v>
      </c>
      <c r="S429" s="34">
        <v>42041</v>
      </c>
      <c r="T429" s="34">
        <v>42045</v>
      </c>
      <c r="U429" s="29">
        <v>1273.2086999999999</v>
      </c>
      <c r="V429" s="26">
        <v>11</v>
      </c>
      <c r="W429" s="29">
        <v>1845.23</v>
      </c>
      <c r="X429" s="26">
        <v>90338</v>
      </c>
      <c r="Y429" s="35">
        <v>4.0599999999999996</v>
      </c>
      <c r="Z429" s="1" t="s">
        <v>3012</v>
      </c>
      <c r="AA429" s="36">
        <v>53.123399999999997</v>
      </c>
      <c r="AB429" s="54">
        <v>701.18740000000003</v>
      </c>
      <c r="AC429" s="54">
        <v>104.00387272727272</v>
      </c>
      <c r="AD429" s="36">
        <v>488.89790000000016</v>
      </c>
    </row>
    <row r="430" spans="1:30" s="37" customFormat="1" ht="15.75" customHeight="1" x14ac:dyDescent="0.2">
      <c r="A430" s="26">
        <v>1927</v>
      </c>
      <c r="B430" s="27" t="s">
        <v>1025</v>
      </c>
      <c r="C430" s="27" t="s">
        <v>38</v>
      </c>
      <c r="D430" s="28">
        <v>0.02</v>
      </c>
      <c r="E430" s="29">
        <v>259.70999999999998</v>
      </c>
      <c r="F430" s="29">
        <v>66.67</v>
      </c>
      <c r="G430" s="30" t="s">
        <v>27</v>
      </c>
      <c r="H430" s="27" t="s">
        <v>71</v>
      </c>
      <c r="I430" s="27" t="s">
        <v>29</v>
      </c>
      <c r="J430" s="27" t="s">
        <v>30</v>
      </c>
      <c r="K430" s="27" t="s">
        <v>31</v>
      </c>
      <c r="L430" s="31" t="s">
        <v>1026</v>
      </c>
      <c r="M430" s="32">
        <v>0.65</v>
      </c>
      <c r="N430" s="27" t="s">
        <v>33</v>
      </c>
      <c r="O430" s="27" t="s">
        <v>34</v>
      </c>
      <c r="P430" s="27" t="s">
        <v>271</v>
      </c>
      <c r="Q430" s="27" t="s">
        <v>1027</v>
      </c>
      <c r="R430" s="33">
        <v>29611</v>
      </c>
      <c r="S430" s="34">
        <v>42041</v>
      </c>
      <c r="T430" s="34">
        <v>42041</v>
      </c>
      <c r="U430" s="29">
        <v>-14.448</v>
      </c>
      <c r="V430" s="26">
        <v>8</v>
      </c>
      <c r="W430" s="29">
        <v>1757.15</v>
      </c>
      <c r="X430" s="26">
        <v>88579</v>
      </c>
      <c r="Y430" s="35">
        <v>4.4800000000000004</v>
      </c>
      <c r="Z430" s="1" t="s">
        <v>3011</v>
      </c>
      <c r="AA430" s="36">
        <v>41.553599999999996</v>
      </c>
      <c r="AB430" s="54">
        <v>615.00249999999994</v>
      </c>
      <c r="AC430" s="54">
        <v>142.7684375</v>
      </c>
      <c r="AD430" s="36">
        <v>1663.3744000000002</v>
      </c>
    </row>
    <row r="431" spans="1:30" s="37" customFormat="1" ht="15.75" customHeight="1" x14ac:dyDescent="0.2">
      <c r="A431" s="26">
        <v>421</v>
      </c>
      <c r="B431" s="27" t="s">
        <v>1015</v>
      </c>
      <c r="C431" s="27" t="s">
        <v>26</v>
      </c>
      <c r="D431" s="28">
        <v>0.09</v>
      </c>
      <c r="E431" s="29">
        <v>999.99</v>
      </c>
      <c r="F431" s="29">
        <v>13.99</v>
      </c>
      <c r="G431" s="30" t="s">
        <v>39</v>
      </c>
      <c r="H431" s="27" t="s">
        <v>3095</v>
      </c>
      <c r="I431" s="27" t="s">
        <v>41</v>
      </c>
      <c r="J431" s="27" t="s">
        <v>57</v>
      </c>
      <c r="K431" s="27" t="s">
        <v>144</v>
      </c>
      <c r="L431" s="31" t="s">
        <v>1016</v>
      </c>
      <c r="M431" s="32">
        <v>0.36</v>
      </c>
      <c r="N431" s="27" t="s">
        <v>33</v>
      </c>
      <c r="O431" s="27" t="s">
        <v>111</v>
      </c>
      <c r="P431" s="27" t="s">
        <v>397</v>
      </c>
      <c r="Q431" s="27" t="s">
        <v>1017</v>
      </c>
      <c r="R431" s="33">
        <v>7201</v>
      </c>
      <c r="S431" s="34">
        <v>42041</v>
      </c>
      <c r="T431" s="34">
        <v>42043</v>
      </c>
      <c r="U431" s="29">
        <v>-2531.4825000000001</v>
      </c>
      <c r="V431" s="26">
        <v>1</v>
      </c>
      <c r="W431" s="29">
        <v>919.09</v>
      </c>
      <c r="X431" s="26">
        <v>87700</v>
      </c>
      <c r="Y431" s="35">
        <v>4.87</v>
      </c>
      <c r="Z431" s="1" t="s">
        <v>3014</v>
      </c>
      <c r="AA431" s="36">
        <v>89.999099999999999</v>
      </c>
      <c r="AB431" s="54">
        <v>588.21760000000006</v>
      </c>
      <c r="AC431" s="54">
        <v>330.87240000000003</v>
      </c>
      <c r="AD431" s="36">
        <v>3346.5834000000004</v>
      </c>
    </row>
    <row r="432" spans="1:30" s="37" customFormat="1" ht="15.75" customHeight="1" x14ac:dyDescent="0.2">
      <c r="A432" s="26">
        <v>2135</v>
      </c>
      <c r="B432" s="27" t="s">
        <v>1028</v>
      </c>
      <c r="C432" s="27" t="s">
        <v>38</v>
      </c>
      <c r="D432" s="28">
        <v>0.01</v>
      </c>
      <c r="E432" s="29">
        <v>28.99</v>
      </c>
      <c r="F432" s="29">
        <v>8.59</v>
      </c>
      <c r="G432" s="30" t="s">
        <v>39</v>
      </c>
      <c r="H432" s="27" t="s">
        <v>71</v>
      </c>
      <c r="I432" s="27" t="s">
        <v>41</v>
      </c>
      <c r="J432" s="27" t="s">
        <v>135</v>
      </c>
      <c r="K432" s="27" t="s">
        <v>144</v>
      </c>
      <c r="L432" s="31" t="s">
        <v>1029</v>
      </c>
      <c r="M432" s="32">
        <v>0.56000000000000005</v>
      </c>
      <c r="N432" s="27" t="s">
        <v>33</v>
      </c>
      <c r="O432" s="27" t="s">
        <v>60</v>
      </c>
      <c r="P432" s="27" t="s">
        <v>640</v>
      </c>
      <c r="Q432" s="27" t="s">
        <v>1030</v>
      </c>
      <c r="R432" s="33">
        <v>88101</v>
      </c>
      <c r="S432" s="34">
        <v>42041</v>
      </c>
      <c r="T432" s="34">
        <v>42042</v>
      </c>
      <c r="U432" s="29">
        <v>196.52328</v>
      </c>
      <c r="V432" s="26">
        <v>21</v>
      </c>
      <c r="W432" s="29">
        <v>556.61</v>
      </c>
      <c r="X432" s="26">
        <v>91583</v>
      </c>
      <c r="Y432" s="35">
        <v>9.99</v>
      </c>
      <c r="Z432" s="1" t="s">
        <v>3013</v>
      </c>
      <c r="AA432" s="36">
        <v>6.0878999999999994</v>
      </c>
      <c r="AB432" s="54">
        <v>244.90839999999997</v>
      </c>
      <c r="AC432" s="54">
        <v>14.842933333333335</v>
      </c>
      <c r="AD432" s="36">
        <v>345.40881999999999</v>
      </c>
    </row>
    <row r="433" spans="1:30" s="37" customFormat="1" ht="15.75" customHeight="1" x14ac:dyDescent="0.2">
      <c r="A433" s="26">
        <v>2270</v>
      </c>
      <c r="B433" s="27" t="s">
        <v>1038</v>
      </c>
      <c r="C433" s="27" t="s">
        <v>48</v>
      </c>
      <c r="D433" s="28">
        <v>0.01</v>
      </c>
      <c r="E433" s="29">
        <v>20.48</v>
      </c>
      <c r="F433" s="29">
        <v>6.32</v>
      </c>
      <c r="G433" s="30" t="s">
        <v>39</v>
      </c>
      <c r="H433" s="27" t="s">
        <v>3095</v>
      </c>
      <c r="I433" s="27" t="s">
        <v>49</v>
      </c>
      <c r="J433" s="27" t="s">
        <v>95</v>
      </c>
      <c r="K433" s="27" t="s">
        <v>73</v>
      </c>
      <c r="L433" s="31" t="s">
        <v>1039</v>
      </c>
      <c r="M433" s="32">
        <v>0.57999999999999996</v>
      </c>
      <c r="N433" s="27" t="s">
        <v>33</v>
      </c>
      <c r="O433" s="27" t="s">
        <v>34</v>
      </c>
      <c r="P433" s="27" t="s">
        <v>271</v>
      </c>
      <c r="Q433" s="27" t="s">
        <v>1040</v>
      </c>
      <c r="R433" s="33">
        <v>29662</v>
      </c>
      <c r="S433" s="34">
        <v>42041</v>
      </c>
      <c r="T433" s="34">
        <v>42043</v>
      </c>
      <c r="U433" s="29">
        <v>711.24480000000005</v>
      </c>
      <c r="V433" s="26">
        <v>18</v>
      </c>
      <c r="W433" s="29">
        <v>375.03</v>
      </c>
      <c r="X433" s="26">
        <v>89572</v>
      </c>
      <c r="Y433" s="35">
        <v>259.69</v>
      </c>
      <c r="Z433" s="1" t="s">
        <v>3011</v>
      </c>
      <c r="AA433" s="36">
        <v>3.6864000000000003</v>
      </c>
      <c r="AB433" s="54">
        <v>157.51259999999999</v>
      </c>
      <c r="AC433" s="54">
        <v>12.084299999999997</v>
      </c>
      <c r="AD433" s="36">
        <v>-346.22120000000018</v>
      </c>
    </row>
    <row r="434" spans="1:30" s="37" customFormat="1" ht="15.75" customHeight="1" x14ac:dyDescent="0.2">
      <c r="A434" s="26">
        <v>2486</v>
      </c>
      <c r="B434" s="27" t="s">
        <v>944</v>
      </c>
      <c r="C434" s="27" t="s">
        <v>38</v>
      </c>
      <c r="D434" s="28">
        <v>0.02</v>
      </c>
      <c r="E434" s="29">
        <v>71.37</v>
      </c>
      <c r="F434" s="29">
        <v>69</v>
      </c>
      <c r="G434" s="30" t="s">
        <v>39</v>
      </c>
      <c r="H434" s="27" t="s">
        <v>3095</v>
      </c>
      <c r="I434" s="27" t="s">
        <v>29</v>
      </c>
      <c r="J434" s="27" t="s">
        <v>30</v>
      </c>
      <c r="K434" s="27" t="s">
        <v>65</v>
      </c>
      <c r="L434" s="31" t="s">
        <v>1031</v>
      </c>
      <c r="M434" s="32">
        <v>0.68</v>
      </c>
      <c r="N434" s="27" t="s">
        <v>33</v>
      </c>
      <c r="O434" s="27" t="s">
        <v>34</v>
      </c>
      <c r="P434" s="27" t="s">
        <v>75</v>
      </c>
      <c r="Q434" s="27" t="s">
        <v>946</v>
      </c>
      <c r="R434" s="33">
        <v>30458</v>
      </c>
      <c r="S434" s="34">
        <v>42041</v>
      </c>
      <c r="T434" s="34">
        <v>42042</v>
      </c>
      <c r="U434" s="29">
        <v>-439.90800000000002</v>
      </c>
      <c r="V434" s="26">
        <v>4</v>
      </c>
      <c r="W434" s="29">
        <v>237.62</v>
      </c>
      <c r="X434" s="26">
        <v>91414</v>
      </c>
      <c r="Y434" s="35">
        <v>28.979999999999997</v>
      </c>
      <c r="Z434" s="1" t="s">
        <v>3011</v>
      </c>
      <c r="AA434" s="36">
        <v>5.7096000000000009</v>
      </c>
      <c r="AB434" s="54">
        <v>76.038399999999996</v>
      </c>
      <c r="AC434" s="54">
        <v>40.395400000000002</v>
      </c>
      <c r="AD434" s="36">
        <v>602.8184</v>
      </c>
    </row>
    <row r="435" spans="1:30" s="37" customFormat="1" ht="15.75" customHeight="1" x14ac:dyDescent="0.2">
      <c r="A435" s="26">
        <v>2486</v>
      </c>
      <c r="B435" s="27" t="s">
        <v>944</v>
      </c>
      <c r="C435" s="27" t="s">
        <v>38</v>
      </c>
      <c r="D435" s="28">
        <v>0.03</v>
      </c>
      <c r="E435" s="29">
        <v>205.99</v>
      </c>
      <c r="F435" s="29">
        <v>8.99</v>
      </c>
      <c r="G435" s="30" t="s">
        <v>87</v>
      </c>
      <c r="H435" s="27" t="s">
        <v>3095</v>
      </c>
      <c r="I435" s="27" t="s">
        <v>41</v>
      </c>
      <c r="J435" s="27" t="s">
        <v>135</v>
      </c>
      <c r="K435" s="27" t="s">
        <v>73</v>
      </c>
      <c r="L435" s="31" t="s">
        <v>1032</v>
      </c>
      <c r="M435" s="32">
        <v>0.6</v>
      </c>
      <c r="N435" s="27" t="s">
        <v>33</v>
      </c>
      <c r="O435" s="27" t="s">
        <v>34</v>
      </c>
      <c r="P435" s="27" t="s">
        <v>75</v>
      </c>
      <c r="Q435" s="27" t="s">
        <v>946</v>
      </c>
      <c r="R435" s="33">
        <v>30458</v>
      </c>
      <c r="S435" s="34">
        <v>42041</v>
      </c>
      <c r="T435" s="34">
        <v>42043</v>
      </c>
      <c r="U435" s="29">
        <v>1087.7159999999999</v>
      </c>
      <c r="V435" s="26">
        <v>1</v>
      </c>
      <c r="W435" s="29">
        <v>176.42</v>
      </c>
      <c r="X435" s="26">
        <v>91414</v>
      </c>
      <c r="Y435" s="35">
        <v>71.350000000000009</v>
      </c>
      <c r="Z435" s="1" t="s">
        <v>3011</v>
      </c>
      <c r="AA435" s="36">
        <v>6.1797000000000004</v>
      </c>
      <c r="AB435" s="54">
        <v>70.567999999999998</v>
      </c>
      <c r="AC435" s="54">
        <v>105.85199999999999</v>
      </c>
      <c r="AD435" s="36">
        <v>-926.46569999999986</v>
      </c>
    </row>
    <row r="436" spans="1:30" s="37" customFormat="1" ht="15.75" customHeight="1" x14ac:dyDescent="0.2">
      <c r="A436" s="26">
        <v>1607</v>
      </c>
      <c r="B436" s="27" t="s">
        <v>1035</v>
      </c>
      <c r="C436" s="27" t="s">
        <v>48</v>
      </c>
      <c r="D436" s="28">
        <v>0.1</v>
      </c>
      <c r="E436" s="29">
        <v>5.68</v>
      </c>
      <c r="F436" s="29">
        <v>3.6</v>
      </c>
      <c r="G436" s="30" t="s">
        <v>87</v>
      </c>
      <c r="H436" s="27" t="s">
        <v>71</v>
      </c>
      <c r="I436" s="27" t="s">
        <v>49</v>
      </c>
      <c r="J436" s="27" t="s">
        <v>568</v>
      </c>
      <c r="K436" s="27" t="s">
        <v>43</v>
      </c>
      <c r="L436" s="31" t="s">
        <v>1036</v>
      </c>
      <c r="M436" s="32">
        <v>0.56000000000000005</v>
      </c>
      <c r="N436" s="27" t="s">
        <v>33</v>
      </c>
      <c r="O436" s="27" t="s">
        <v>111</v>
      </c>
      <c r="P436" s="27" t="s">
        <v>112</v>
      </c>
      <c r="Q436" s="27" t="s">
        <v>1037</v>
      </c>
      <c r="R436" s="33">
        <v>11520</v>
      </c>
      <c r="S436" s="34">
        <v>42041</v>
      </c>
      <c r="T436" s="34">
        <v>42045</v>
      </c>
      <c r="U436" s="29">
        <v>-33.2956</v>
      </c>
      <c r="V436" s="26">
        <v>21</v>
      </c>
      <c r="W436" s="29">
        <v>118.35</v>
      </c>
      <c r="X436" s="26">
        <v>87995</v>
      </c>
      <c r="Y436" s="35">
        <v>205.96</v>
      </c>
      <c r="Z436" s="1" t="s">
        <v>3014</v>
      </c>
      <c r="AA436" s="36">
        <v>11.927999999999999</v>
      </c>
      <c r="AB436" s="54">
        <v>52.073999999999991</v>
      </c>
      <c r="AC436" s="54">
        <v>3.1560000000000001</v>
      </c>
      <c r="AD436" s="36">
        <v>136.11759999999998</v>
      </c>
    </row>
    <row r="437" spans="1:30" s="37" customFormat="1" ht="15.75" customHeight="1" x14ac:dyDescent="0.2">
      <c r="A437" s="26">
        <v>1020</v>
      </c>
      <c r="B437" s="27" t="s">
        <v>1018</v>
      </c>
      <c r="C437" s="27" t="s">
        <v>26</v>
      </c>
      <c r="D437" s="28">
        <v>7.0000000000000007E-2</v>
      </c>
      <c r="E437" s="29">
        <v>4.13</v>
      </c>
      <c r="F437" s="29">
        <v>5.04</v>
      </c>
      <c r="G437" s="30" t="s">
        <v>39</v>
      </c>
      <c r="H437" s="27" t="s">
        <v>3095</v>
      </c>
      <c r="I437" s="27" t="s">
        <v>49</v>
      </c>
      <c r="J437" s="27" t="s">
        <v>72</v>
      </c>
      <c r="K437" s="27" t="s">
        <v>73</v>
      </c>
      <c r="L437" s="31" t="s">
        <v>1019</v>
      </c>
      <c r="M437" s="32">
        <v>0.38</v>
      </c>
      <c r="N437" s="27" t="s">
        <v>33</v>
      </c>
      <c r="O437" s="27" t="s">
        <v>53</v>
      </c>
      <c r="P437" s="27" t="s">
        <v>537</v>
      </c>
      <c r="Q437" s="27" t="s">
        <v>1020</v>
      </c>
      <c r="R437" s="33">
        <v>66762</v>
      </c>
      <c r="S437" s="34">
        <v>42041</v>
      </c>
      <c r="T437" s="34">
        <v>42042</v>
      </c>
      <c r="U437" s="29">
        <v>-76.424400000000006</v>
      </c>
      <c r="V437" s="26">
        <v>20</v>
      </c>
      <c r="W437" s="29">
        <v>79.06</v>
      </c>
      <c r="X437" s="26">
        <v>88634</v>
      </c>
      <c r="Y437" s="35">
        <v>160.94999999999999</v>
      </c>
      <c r="Z437" s="1" t="s">
        <v>3012</v>
      </c>
      <c r="AA437" s="36">
        <v>5.782</v>
      </c>
      <c r="AB437" s="54">
        <v>49.017200000000003</v>
      </c>
      <c r="AC437" s="54">
        <v>1.50214</v>
      </c>
      <c r="AD437" s="36">
        <v>144.66239999999999</v>
      </c>
    </row>
    <row r="438" spans="1:30" s="37" customFormat="1" ht="15.75" customHeight="1" x14ac:dyDescent="0.2">
      <c r="A438" s="26">
        <v>1533</v>
      </c>
      <c r="B438" s="27" t="s">
        <v>1022</v>
      </c>
      <c r="C438" s="27" t="s">
        <v>38</v>
      </c>
      <c r="D438" s="28">
        <v>0.02</v>
      </c>
      <c r="E438" s="29">
        <v>4.8899999999999997</v>
      </c>
      <c r="F438" s="29">
        <v>4.93</v>
      </c>
      <c r="G438" s="30" t="s">
        <v>39</v>
      </c>
      <c r="H438" s="27" t="s">
        <v>94</v>
      </c>
      <c r="I438" s="27" t="s">
        <v>41</v>
      </c>
      <c r="J438" s="27" t="s">
        <v>42</v>
      </c>
      <c r="K438" s="27" t="s">
        <v>43</v>
      </c>
      <c r="L438" s="31" t="s">
        <v>1023</v>
      </c>
      <c r="M438" s="32">
        <v>0.66</v>
      </c>
      <c r="N438" s="27" t="s">
        <v>33</v>
      </c>
      <c r="O438" s="27" t="s">
        <v>53</v>
      </c>
      <c r="P438" s="27" t="s">
        <v>80</v>
      </c>
      <c r="Q438" s="27" t="s">
        <v>1024</v>
      </c>
      <c r="R438" s="33">
        <v>63130</v>
      </c>
      <c r="S438" s="34">
        <v>42041</v>
      </c>
      <c r="T438" s="34">
        <v>42042</v>
      </c>
      <c r="U438" s="29">
        <v>-56.445999999999998</v>
      </c>
      <c r="V438" s="26">
        <v>14</v>
      </c>
      <c r="W438" s="29">
        <v>74.010000000000005</v>
      </c>
      <c r="X438" s="26">
        <v>91328</v>
      </c>
      <c r="Y438" s="35">
        <v>5.58</v>
      </c>
      <c r="Z438" s="1" t="s">
        <v>3012</v>
      </c>
      <c r="AA438" s="36">
        <v>1.3692</v>
      </c>
      <c r="AB438" s="54">
        <v>25.163399999999999</v>
      </c>
      <c r="AC438" s="54">
        <v>3.4890428571428576</v>
      </c>
      <c r="AD438" s="36">
        <v>124.1568</v>
      </c>
    </row>
    <row r="439" spans="1:30" s="37" customFormat="1" ht="15.75" customHeight="1" x14ac:dyDescent="0.2">
      <c r="A439" s="26">
        <v>1020</v>
      </c>
      <c r="B439" s="27" t="s">
        <v>1018</v>
      </c>
      <c r="C439" s="27" t="s">
        <v>26</v>
      </c>
      <c r="D439" s="28">
        <v>0</v>
      </c>
      <c r="E439" s="29">
        <v>4.4800000000000004</v>
      </c>
      <c r="F439" s="29">
        <v>2.5</v>
      </c>
      <c r="G439" s="30" t="s">
        <v>39</v>
      </c>
      <c r="H439" s="27" t="s">
        <v>3095</v>
      </c>
      <c r="I439" s="27" t="s">
        <v>49</v>
      </c>
      <c r="J439" s="27" t="s">
        <v>345</v>
      </c>
      <c r="K439" s="27" t="s">
        <v>73</v>
      </c>
      <c r="L439" s="31" t="s">
        <v>1021</v>
      </c>
      <c r="M439" s="32">
        <v>0.37</v>
      </c>
      <c r="N439" s="27" t="s">
        <v>33</v>
      </c>
      <c r="O439" s="27" t="s">
        <v>53</v>
      </c>
      <c r="P439" s="27" t="s">
        <v>537</v>
      </c>
      <c r="Q439" s="27" t="s">
        <v>1020</v>
      </c>
      <c r="R439" s="33">
        <v>66762</v>
      </c>
      <c r="S439" s="34">
        <v>42041</v>
      </c>
      <c r="T439" s="34">
        <v>42043</v>
      </c>
      <c r="U439" s="29">
        <v>8.7319999999999993</v>
      </c>
      <c r="V439" s="26">
        <v>14</v>
      </c>
      <c r="W439" s="29">
        <v>65.14</v>
      </c>
      <c r="X439" s="26">
        <v>88634</v>
      </c>
      <c r="Y439" s="35">
        <v>20.47</v>
      </c>
      <c r="Z439" s="1" t="s">
        <v>3012</v>
      </c>
      <c r="AA439" s="36">
        <v>0</v>
      </c>
      <c r="AB439" s="54">
        <v>41.038200000000003</v>
      </c>
      <c r="AC439" s="54">
        <v>1.721557142857143</v>
      </c>
      <c r="AD439" s="36">
        <v>53.908000000000001</v>
      </c>
    </row>
    <row r="440" spans="1:30" s="37" customFormat="1" ht="15.75" customHeight="1" x14ac:dyDescent="0.2">
      <c r="A440" s="26">
        <v>1533</v>
      </c>
      <c r="B440" s="27" t="s">
        <v>1022</v>
      </c>
      <c r="C440" s="27" t="s">
        <v>38</v>
      </c>
      <c r="D440" s="28">
        <v>7.0000000000000007E-2</v>
      </c>
      <c r="E440" s="29">
        <v>10.06</v>
      </c>
      <c r="F440" s="29">
        <v>2.06</v>
      </c>
      <c r="G440" s="30" t="s">
        <v>39</v>
      </c>
      <c r="H440" s="27" t="s">
        <v>94</v>
      </c>
      <c r="I440" s="27" t="s">
        <v>49</v>
      </c>
      <c r="J440" s="27" t="s">
        <v>88</v>
      </c>
      <c r="K440" s="27" t="s">
        <v>51</v>
      </c>
      <c r="L440" s="31" t="s">
        <v>173</v>
      </c>
      <c r="M440" s="32">
        <v>0.39</v>
      </c>
      <c r="N440" s="27" t="s">
        <v>33</v>
      </c>
      <c r="O440" s="27" t="s">
        <v>53</v>
      </c>
      <c r="P440" s="27" t="s">
        <v>80</v>
      </c>
      <c r="Q440" s="27" t="s">
        <v>1024</v>
      </c>
      <c r="R440" s="33">
        <v>63130</v>
      </c>
      <c r="S440" s="34">
        <v>42041</v>
      </c>
      <c r="T440" s="34">
        <v>42042</v>
      </c>
      <c r="U440" s="29">
        <v>33.189</v>
      </c>
      <c r="V440" s="26">
        <v>5</v>
      </c>
      <c r="W440" s="29">
        <v>48.1</v>
      </c>
      <c r="X440" s="26">
        <v>91328</v>
      </c>
      <c r="Y440" s="35">
        <v>1.77</v>
      </c>
      <c r="Z440" s="1" t="s">
        <v>3012</v>
      </c>
      <c r="AA440" s="36">
        <v>3.5210000000000004</v>
      </c>
      <c r="AB440" s="54">
        <v>29.341000000000001</v>
      </c>
      <c r="AC440" s="54">
        <v>3.7518000000000007</v>
      </c>
      <c r="AD440" s="36">
        <v>9.3299999999999983</v>
      </c>
    </row>
    <row r="441" spans="1:30" s="37" customFormat="1" ht="15.75" customHeight="1" x14ac:dyDescent="0.2">
      <c r="A441" s="26">
        <v>2270</v>
      </c>
      <c r="B441" s="27" t="s">
        <v>1038</v>
      </c>
      <c r="C441" s="27" t="s">
        <v>48</v>
      </c>
      <c r="D441" s="28">
        <v>0.09</v>
      </c>
      <c r="E441" s="29">
        <v>1.86</v>
      </c>
      <c r="F441" s="29">
        <v>2.58</v>
      </c>
      <c r="G441" s="30" t="s">
        <v>39</v>
      </c>
      <c r="H441" s="27" t="s">
        <v>3095</v>
      </c>
      <c r="I441" s="27" t="s">
        <v>49</v>
      </c>
      <c r="J441" s="27" t="s">
        <v>176</v>
      </c>
      <c r="K441" s="27" t="s">
        <v>51</v>
      </c>
      <c r="L441" s="31" t="s">
        <v>580</v>
      </c>
      <c r="M441" s="32">
        <v>0.82</v>
      </c>
      <c r="N441" s="27" t="s">
        <v>33</v>
      </c>
      <c r="O441" s="27" t="s">
        <v>34</v>
      </c>
      <c r="P441" s="27" t="s">
        <v>271</v>
      </c>
      <c r="Q441" s="27" t="s">
        <v>1040</v>
      </c>
      <c r="R441" s="33">
        <v>29662</v>
      </c>
      <c r="S441" s="34">
        <v>42041</v>
      </c>
      <c r="T441" s="34">
        <v>42046</v>
      </c>
      <c r="U441" s="29">
        <v>-1084.8469631999999</v>
      </c>
      <c r="V441" s="26">
        <v>12</v>
      </c>
      <c r="W441" s="29">
        <v>22.11</v>
      </c>
      <c r="X441" s="26">
        <v>89572</v>
      </c>
      <c r="Y441" s="35">
        <v>205.91</v>
      </c>
      <c r="Z441" s="1" t="s">
        <v>3011</v>
      </c>
      <c r="AA441" s="36">
        <v>2.0087999999999999</v>
      </c>
      <c r="AB441" s="54">
        <v>3.9798000000000009</v>
      </c>
      <c r="AC441" s="54">
        <v>1.51085</v>
      </c>
      <c r="AD441" s="36">
        <v>1102.3681631999998</v>
      </c>
    </row>
    <row r="442" spans="1:30" s="37" customFormat="1" ht="15.75" customHeight="1" x14ac:dyDescent="0.2">
      <c r="A442" s="26">
        <v>698</v>
      </c>
      <c r="B442" s="27" t="s">
        <v>1043</v>
      </c>
      <c r="C442" s="27" t="s">
        <v>26</v>
      </c>
      <c r="D442" s="28">
        <v>0.08</v>
      </c>
      <c r="E442" s="29">
        <v>14.81</v>
      </c>
      <c r="F442" s="29">
        <v>13.32</v>
      </c>
      <c r="G442" s="30" t="s">
        <v>39</v>
      </c>
      <c r="H442" s="27" t="s">
        <v>94</v>
      </c>
      <c r="I442" s="27" t="s">
        <v>49</v>
      </c>
      <c r="J442" s="27" t="s">
        <v>95</v>
      </c>
      <c r="K442" s="27" t="s">
        <v>73</v>
      </c>
      <c r="L442" s="31" t="s">
        <v>594</v>
      </c>
      <c r="M442" s="32">
        <v>0.43</v>
      </c>
      <c r="N442" s="27" t="s">
        <v>33</v>
      </c>
      <c r="O442" s="27" t="s">
        <v>60</v>
      </c>
      <c r="P442" s="27" t="s">
        <v>67</v>
      </c>
      <c r="Q442" s="27" t="s">
        <v>142</v>
      </c>
      <c r="R442" s="33">
        <v>98105</v>
      </c>
      <c r="S442" s="34">
        <v>42042</v>
      </c>
      <c r="T442" s="34">
        <v>42044</v>
      </c>
      <c r="U442" s="29">
        <v>-253.11</v>
      </c>
      <c r="V442" s="26">
        <v>79</v>
      </c>
      <c r="W442" s="29">
        <v>1154.1199999999999</v>
      </c>
      <c r="X442" s="26">
        <v>53410</v>
      </c>
      <c r="Y442" s="35">
        <v>14.73</v>
      </c>
      <c r="Z442" s="1" t="s">
        <v>3013</v>
      </c>
      <c r="AA442" s="36">
        <v>93.59920000000001</v>
      </c>
      <c r="AB442" s="54">
        <v>657.84839999999997</v>
      </c>
      <c r="AC442" s="54">
        <v>6.281918987341772</v>
      </c>
      <c r="AD442" s="36">
        <v>1300.3108</v>
      </c>
    </row>
    <row r="443" spans="1:30" s="37" customFormat="1" ht="15.75" customHeight="1" x14ac:dyDescent="0.2">
      <c r="A443" s="26">
        <v>1026</v>
      </c>
      <c r="B443" s="27" t="s">
        <v>1055</v>
      </c>
      <c r="C443" s="27" t="s">
        <v>3094</v>
      </c>
      <c r="D443" s="28">
        <v>0.08</v>
      </c>
      <c r="E443" s="29">
        <v>65.989999999999995</v>
      </c>
      <c r="F443" s="29">
        <v>5.92</v>
      </c>
      <c r="G443" s="30" t="s">
        <v>39</v>
      </c>
      <c r="H443" s="27" t="s">
        <v>3095</v>
      </c>
      <c r="I443" s="27" t="s">
        <v>41</v>
      </c>
      <c r="J443" s="27" t="s">
        <v>135</v>
      </c>
      <c r="K443" s="27" t="s">
        <v>73</v>
      </c>
      <c r="L443" s="31" t="s">
        <v>1056</v>
      </c>
      <c r="M443" s="32">
        <v>0.57999999999999996</v>
      </c>
      <c r="N443" s="27" t="s">
        <v>33</v>
      </c>
      <c r="O443" s="27" t="s">
        <v>111</v>
      </c>
      <c r="P443" s="27" t="s">
        <v>112</v>
      </c>
      <c r="Q443" s="27" t="s">
        <v>1057</v>
      </c>
      <c r="R443" s="33">
        <v>11722</v>
      </c>
      <c r="S443" s="34">
        <v>42042</v>
      </c>
      <c r="T443" s="34">
        <v>42042</v>
      </c>
      <c r="U443" s="29">
        <v>624.40164000000004</v>
      </c>
      <c r="V443" s="26">
        <v>22</v>
      </c>
      <c r="W443" s="29">
        <v>1137.5999999999999</v>
      </c>
      <c r="X443" s="26">
        <v>89005</v>
      </c>
      <c r="Y443" s="35">
        <v>14.73</v>
      </c>
      <c r="Z443" s="1" t="s">
        <v>3014</v>
      </c>
      <c r="AA443" s="36">
        <v>116.14239999999998</v>
      </c>
      <c r="AB443" s="54">
        <v>477.79200000000003</v>
      </c>
      <c r="AC443" s="54">
        <v>29.991272727272722</v>
      </c>
      <c r="AD443" s="36">
        <v>391.13595999999995</v>
      </c>
    </row>
    <row r="444" spans="1:30" s="37" customFormat="1" ht="15.75" customHeight="1" x14ac:dyDescent="0.2">
      <c r="A444" s="26">
        <v>1121</v>
      </c>
      <c r="B444" s="27" t="s">
        <v>1047</v>
      </c>
      <c r="C444" s="27" t="s">
        <v>48</v>
      </c>
      <c r="D444" s="28">
        <v>0.08</v>
      </c>
      <c r="E444" s="29">
        <v>125.99</v>
      </c>
      <c r="F444" s="29">
        <v>7.69</v>
      </c>
      <c r="G444" s="30" t="s">
        <v>39</v>
      </c>
      <c r="H444" s="27" t="s">
        <v>40</v>
      </c>
      <c r="I444" s="27" t="s">
        <v>41</v>
      </c>
      <c r="J444" s="27" t="s">
        <v>135</v>
      </c>
      <c r="K444" s="27" t="s">
        <v>73</v>
      </c>
      <c r="L444" s="31" t="s">
        <v>1049</v>
      </c>
      <c r="M444" s="32">
        <v>0.57999999999999996</v>
      </c>
      <c r="N444" s="27" t="s">
        <v>33</v>
      </c>
      <c r="O444" s="27" t="s">
        <v>60</v>
      </c>
      <c r="P444" s="27" t="s">
        <v>90</v>
      </c>
      <c r="Q444" s="27" t="s">
        <v>1048</v>
      </c>
      <c r="R444" s="33">
        <v>92592</v>
      </c>
      <c r="S444" s="34">
        <v>42042</v>
      </c>
      <c r="T444" s="34">
        <v>42044</v>
      </c>
      <c r="U444" s="29">
        <v>377.154</v>
      </c>
      <c r="V444" s="26">
        <v>7</v>
      </c>
      <c r="W444" s="29">
        <v>703.46</v>
      </c>
      <c r="X444" s="26">
        <v>86767</v>
      </c>
      <c r="Y444" s="35">
        <v>41.839999999999996</v>
      </c>
      <c r="Z444" s="1" t="s">
        <v>3013</v>
      </c>
      <c r="AA444" s="36">
        <v>70.554400000000001</v>
      </c>
      <c r="AB444" s="54">
        <v>295.45320000000004</v>
      </c>
      <c r="AC444" s="54">
        <v>58.286685714285717</v>
      </c>
      <c r="AD444" s="36">
        <v>248.06160000000006</v>
      </c>
    </row>
    <row r="445" spans="1:30" s="37" customFormat="1" ht="15.75" customHeight="1" x14ac:dyDescent="0.2">
      <c r="A445" s="26">
        <v>2813</v>
      </c>
      <c r="B445" s="27" t="s">
        <v>1052</v>
      </c>
      <c r="C445" s="27" t="s">
        <v>116</v>
      </c>
      <c r="D445" s="28">
        <v>7.0000000000000007E-2</v>
      </c>
      <c r="E445" s="29">
        <v>30.56</v>
      </c>
      <c r="F445" s="29">
        <v>2.99</v>
      </c>
      <c r="G445" s="30" t="s">
        <v>39</v>
      </c>
      <c r="H445" s="27" t="s">
        <v>94</v>
      </c>
      <c r="I445" s="27" t="s">
        <v>49</v>
      </c>
      <c r="J445" s="27" t="s">
        <v>72</v>
      </c>
      <c r="K445" s="27" t="s">
        <v>73</v>
      </c>
      <c r="L445" s="31" t="s">
        <v>1053</v>
      </c>
      <c r="M445" s="32">
        <v>0.35</v>
      </c>
      <c r="N445" s="27" t="s">
        <v>33</v>
      </c>
      <c r="O445" s="27" t="s">
        <v>34</v>
      </c>
      <c r="P445" s="27" t="s">
        <v>400</v>
      </c>
      <c r="Q445" s="27" t="s">
        <v>1054</v>
      </c>
      <c r="R445" s="33">
        <v>37311</v>
      </c>
      <c r="S445" s="34">
        <v>42042</v>
      </c>
      <c r="T445" s="34">
        <v>42042</v>
      </c>
      <c r="U445" s="29">
        <v>-95.618600000000001</v>
      </c>
      <c r="V445" s="26">
        <v>12</v>
      </c>
      <c r="W445" s="29">
        <v>364.92</v>
      </c>
      <c r="X445" s="26">
        <v>88819</v>
      </c>
      <c r="Y445" s="35">
        <v>6.6400000000000006</v>
      </c>
      <c r="Z445" s="1" t="s">
        <v>3011</v>
      </c>
      <c r="AA445" s="36">
        <v>25.670400000000001</v>
      </c>
      <c r="AB445" s="54">
        <v>237.19800000000001</v>
      </c>
      <c r="AC445" s="54">
        <v>10.6435</v>
      </c>
      <c r="AD445" s="36">
        <v>431.87819999999999</v>
      </c>
    </row>
    <row r="446" spans="1:30" s="37" customFormat="1" ht="15.75" customHeight="1" x14ac:dyDescent="0.2">
      <c r="A446" s="26">
        <v>1723</v>
      </c>
      <c r="B446" s="27" t="s">
        <v>888</v>
      </c>
      <c r="C446" s="27" t="s">
        <v>116</v>
      </c>
      <c r="D446" s="28">
        <v>0.05</v>
      </c>
      <c r="E446" s="29">
        <v>6.68</v>
      </c>
      <c r="F446" s="29">
        <v>5.66</v>
      </c>
      <c r="G446" s="30" t="s">
        <v>39</v>
      </c>
      <c r="H446" s="27" t="s">
        <v>94</v>
      </c>
      <c r="I446" s="27" t="s">
        <v>49</v>
      </c>
      <c r="J446" s="27" t="s">
        <v>88</v>
      </c>
      <c r="K446" s="27" t="s">
        <v>73</v>
      </c>
      <c r="L446" s="31" t="s">
        <v>1050</v>
      </c>
      <c r="M446" s="32">
        <v>0.37</v>
      </c>
      <c r="N446" s="27" t="s">
        <v>33</v>
      </c>
      <c r="O446" s="27" t="s">
        <v>60</v>
      </c>
      <c r="P446" s="27" t="s">
        <v>90</v>
      </c>
      <c r="Q446" s="27" t="s">
        <v>890</v>
      </c>
      <c r="R446" s="33">
        <v>92037</v>
      </c>
      <c r="S446" s="34">
        <v>42042</v>
      </c>
      <c r="T446" s="34">
        <v>42044</v>
      </c>
      <c r="U446" s="29">
        <v>-66.48</v>
      </c>
      <c r="V446" s="26">
        <v>46</v>
      </c>
      <c r="W446" s="29">
        <v>320.93</v>
      </c>
      <c r="X446" s="26">
        <v>44002</v>
      </c>
      <c r="Y446" s="35">
        <v>19.940000000000001</v>
      </c>
      <c r="Z446" s="1" t="s">
        <v>3013</v>
      </c>
      <c r="AA446" s="36">
        <v>15.364000000000001</v>
      </c>
      <c r="AB446" s="54">
        <v>202.1859</v>
      </c>
      <c r="AC446" s="54">
        <v>2.5813934782608694</v>
      </c>
      <c r="AD446" s="36">
        <v>366.38600000000002</v>
      </c>
    </row>
    <row r="447" spans="1:30" s="37" customFormat="1" ht="15.75" customHeight="1" x14ac:dyDescent="0.2">
      <c r="A447" s="26">
        <v>697</v>
      </c>
      <c r="B447" s="27" t="s">
        <v>1041</v>
      </c>
      <c r="C447" s="27" t="s">
        <v>26</v>
      </c>
      <c r="D447" s="28">
        <v>0.08</v>
      </c>
      <c r="E447" s="29">
        <v>14.81</v>
      </c>
      <c r="F447" s="29">
        <v>13.32</v>
      </c>
      <c r="G447" s="30" t="s">
        <v>39</v>
      </c>
      <c r="H447" s="27" t="s">
        <v>94</v>
      </c>
      <c r="I447" s="27" t="s">
        <v>49</v>
      </c>
      <c r="J447" s="27" t="s">
        <v>95</v>
      </c>
      <c r="K447" s="27" t="s">
        <v>73</v>
      </c>
      <c r="L447" s="31" t="s">
        <v>594</v>
      </c>
      <c r="M447" s="32">
        <v>0.43</v>
      </c>
      <c r="N447" s="27" t="s">
        <v>33</v>
      </c>
      <c r="O447" s="27" t="s">
        <v>53</v>
      </c>
      <c r="P447" s="27" t="s">
        <v>54</v>
      </c>
      <c r="Q447" s="27" t="s">
        <v>1042</v>
      </c>
      <c r="R447" s="33">
        <v>46312</v>
      </c>
      <c r="S447" s="34">
        <v>42042</v>
      </c>
      <c r="T447" s="34">
        <v>42044</v>
      </c>
      <c r="U447" s="29">
        <v>-131.6172</v>
      </c>
      <c r="V447" s="26">
        <v>20</v>
      </c>
      <c r="W447" s="29">
        <v>292.18</v>
      </c>
      <c r="X447" s="26">
        <v>89849</v>
      </c>
      <c r="Y447" s="35">
        <v>125.91</v>
      </c>
      <c r="Z447" s="1" t="s">
        <v>3012</v>
      </c>
      <c r="AA447" s="36">
        <v>23.696000000000002</v>
      </c>
      <c r="AB447" s="54">
        <v>166.54260000000002</v>
      </c>
      <c r="AC447" s="54">
        <v>6.2818699999999996</v>
      </c>
      <c r="AD447" s="36">
        <v>386.78120000000001</v>
      </c>
    </row>
    <row r="448" spans="1:30" s="37" customFormat="1" ht="15.75" customHeight="1" x14ac:dyDescent="0.2">
      <c r="A448" s="26">
        <v>1723</v>
      </c>
      <c r="B448" s="27" t="s">
        <v>888</v>
      </c>
      <c r="C448" s="27" t="s">
        <v>116</v>
      </c>
      <c r="D448" s="28">
        <v>0.03</v>
      </c>
      <c r="E448" s="29">
        <v>17.7</v>
      </c>
      <c r="F448" s="29">
        <v>9.4700000000000006</v>
      </c>
      <c r="G448" s="30" t="s">
        <v>39</v>
      </c>
      <c r="H448" s="27" t="s">
        <v>94</v>
      </c>
      <c r="I448" s="27" t="s">
        <v>49</v>
      </c>
      <c r="J448" s="27" t="s">
        <v>78</v>
      </c>
      <c r="K448" s="27" t="s">
        <v>73</v>
      </c>
      <c r="L448" s="31" t="s">
        <v>1051</v>
      </c>
      <c r="M448" s="32">
        <v>0.59</v>
      </c>
      <c r="N448" s="27" t="s">
        <v>33</v>
      </c>
      <c r="O448" s="27" t="s">
        <v>60</v>
      </c>
      <c r="P448" s="27" t="s">
        <v>90</v>
      </c>
      <c r="Q448" s="27" t="s">
        <v>890</v>
      </c>
      <c r="R448" s="33">
        <v>92037</v>
      </c>
      <c r="S448" s="34">
        <v>42042</v>
      </c>
      <c r="T448" s="34">
        <v>42042</v>
      </c>
      <c r="U448" s="29">
        <v>-52.33</v>
      </c>
      <c r="V448" s="26">
        <v>14</v>
      </c>
      <c r="W448" s="29">
        <v>261.85000000000002</v>
      </c>
      <c r="X448" s="26">
        <v>44002</v>
      </c>
      <c r="Y448" s="35">
        <v>6.63</v>
      </c>
      <c r="Z448" s="1" t="s">
        <v>3013</v>
      </c>
      <c r="AA448" s="36">
        <v>7.4339999999999993</v>
      </c>
      <c r="AB448" s="54">
        <v>107.35850000000002</v>
      </c>
      <c r="AC448" s="54">
        <v>11.035107142857143</v>
      </c>
      <c r="AD448" s="36">
        <v>297.27600000000001</v>
      </c>
    </row>
    <row r="449" spans="1:30" s="37" customFormat="1" ht="15.75" customHeight="1" x14ac:dyDescent="0.2">
      <c r="A449" s="26">
        <v>2626</v>
      </c>
      <c r="B449" s="27" t="s">
        <v>1044</v>
      </c>
      <c r="C449" s="27" t="s">
        <v>38</v>
      </c>
      <c r="D449" s="28">
        <v>0.1</v>
      </c>
      <c r="E449" s="29">
        <v>41.94</v>
      </c>
      <c r="F449" s="29">
        <v>2.99</v>
      </c>
      <c r="G449" s="30" t="s">
        <v>39</v>
      </c>
      <c r="H449" s="27" t="s">
        <v>40</v>
      </c>
      <c r="I449" s="27" t="s">
        <v>49</v>
      </c>
      <c r="J449" s="27" t="s">
        <v>72</v>
      </c>
      <c r="K449" s="27" t="s">
        <v>73</v>
      </c>
      <c r="L449" s="31" t="s">
        <v>1045</v>
      </c>
      <c r="M449" s="32">
        <v>0.35</v>
      </c>
      <c r="N449" s="27" t="s">
        <v>33</v>
      </c>
      <c r="O449" s="27" t="s">
        <v>60</v>
      </c>
      <c r="P449" s="27" t="s">
        <v>90</v>
      </c>
      <c r="Q449" s="27" t="s">
        <v>771</v>
      </c>
      <c r="R449" s="33">
        <v>94025</v>
      </c>
      <c r="S449" s="34">
        <v>42042</v>
      </c>
      <c r="T449" s="34">
        <v>42043</v>
      </c>
      <c r="U449" s="29">
        <v>164.08199999999999</v>
      </c>
      <c r="V449" s="26">
        <v>6</v>
      </c>
      <c r="W449" s="29">
        <v>237.8</v>
      </c>
      <c r="X449" s="26">
        <v>90927</v>
      </c>
      <c r="Y449" s="35">
        <v>17.669999999999998</v>
      </c>
      <c r="Z449" s="1" t="s">
        <v>3013</v>
      </c>
      <c r="AA449" s="36">
        <v>25.164000000000001</v>
      </c>
      <c r="AB449" s="54">
        <v>154.57000000000002</v>
      </c>
      <c r="AC449" s="54">
        <v>13.871666666666666</v>
      </c>
      <c r="AD449" s="36">
        <v>45.564000000000021</v>
      </c>
    </row>
    <row r="450" spans="1:30" s="37" customFormat="1" ht="15.75" customHeight="1" x14ac:dyDescent="0.2">
      <c r="A450" s="26">
        <v>1121</v>
      </c>
      <c r="B450" s="27" t="s">
        <v>1047</v>
      </c>
      <c r="C450" s="27" t="s">
        <v>48</v>
      </c>
      <c r="D450" s="28">
        <v>0.04</v>
      </c>
      <c r="E450" s="29">
        <v>19.98</v>
      </c>
      <c r="F450" s="29">
        <v>8.68</v>
      </c>
      <c r="G450" s="30" t="s">
        <v>39</v>
      </c>
      <c r="H450" s="27" t="s">
        <v>40</v>
      </c>
      <c r="I450" s="27" t="s">
        <v>49</v>
      </c>
      <c r="J450" s="27" t="s">
        <v>88</v>
      </c>
      <c r="K450" s="27" t="s">
        <v>73</v>
      </c>
      <c r="L450" s="31" t="s">
        <v>696</v>
      </c>
      <c r="M450" s="32">
        <v>0.37</v>
      </c>
      <c r="N450" s="27" t="s">
        <v>33</v>
      </c>
      <c r="O450" s="27" t="s">
        <v>60</v>
      </c>
      <c r="P450" s="27" t="s">
        <v>90</v>
      </c>
      <c r="Q450" s="27" t="s">
        <v>1048</v>
      </c>
      <c r="R450" s="33">
        <v>92592</v>
      </c>
      <c r="S450" s="34">
        <v>42042</v>
      </c>
      <c r="T450" s="34">
        <v>42049</v>
      </c>
      <c r="U450" s="29">
        <v>108</v>
      </c>
      <c r="V450" s="26">
        <v>8</v>
      </c>
      <c r="W450" s="29">
        <v>168.04</v>
      </c>
      <c r="X450" s="26">
        <v>86767</v>
      </c>
      <c r="Y450" s="35">
        <v>30.49</v>
      </c>
      <c r="Z450" s="1" t="s">
        <v>3013</v>
      </c>
      <c r="AA450" s="36">
        <v>6.3936000000000002</v>
      </c>
      <c r="AB450" s="54">
        <v>105.8652</v>
      </c>
      <c r="AC450" s="54">
        <v>7.7718499999999997</v>
      </c>
      <c r="AD450" s="36">
        <v>44.966399999999979</v>
      </c>
    </row>
    <row r="451" spans="1:30" s="37" customFormat="1" ht="15.75" customHeight="1" x14ac:dyDescent="0.2">
      <c r="A451" s="26">
        <v>3351</v>
      </c>
      <c r="B451" s="27" t="s">
        <v>956</v>
      </c>
      <c r="C451" s="27" t="s">
        <v>38</v>
      </c>
      <c r="D451" s="28">
        <v>0.06</v>
      </c>
      <c r="E451" s="29">
        <v>6.7</v>
      </c>
      <c r="F451" s="29">
        <v>1.56</v>
      </c>
      <c r="G451" s="30" t="s">
        <v>87</v>
      </c>
      <c r="H451" s="27" t="s">
        <v>3095</v>
      </c>
      <c r="I451" s="27" t="s">
        <v>49</v>
      </c>
      <c r="J451" s="27" t="s">
        <v>50</v>
      </c>
      <c r="K451" s="27" t="s">
        <v>51</v>
      </c>
      <c r="L451" s="31" t="s">
        <v>1046</v>
      </c>
      <c r="M451" s="32">
        <v>0.52</v>
      </c>
      <c r="N451" s="27" t="s">
        <v>33</v>
      </c>
      <c r="O451" s="27" t="s">
        <v>60</v>
      </c>
      <c r="P451" s="27" t="s">
        <v>67</v>
      </c>
      <c r="Q451" s="27" t="s">
        <v>957</v>
      </c>
      <c r="R451" s="33">
        <v>99301</v>
      </c>
      <c r="S451" s="34">
        <v>42042</v>
      </c>
      <c r="T451" s="34">
        <v>42044</v>
      </c>
      <c r="U451" s="29">
        <v>40.6556</v>
      </c>
      <c r="V451" s="26">
        <v>12</v>
      </c>
      <c r="W451" s="29">
        <v>79.39</v>
      </c>
      <c r="X451" s="26">
        <v>91298</v>
      </c>
      <c r="Y451" s="35">
        <v>65.91</v>
      </c>
      <c r="Z451" s="1" t="s">
        <v>3013</v>
      </c>
      <c r="AA451" s="36">
        <v>4.8239999999999998</v>
      </c>
      <c r="AB451" s="54">
        <v>38.107199999999999</v>
      </c>
      <c r="AC451" s="54">
        <v>3.4402333333333335</v>
      </c>
      <c r="AD451" s="36">
        <v>32.3504</v>
      </c>
    </row>
    <row r="452" spans="1:30" s="37" customFormat="1" ht="15.75" customHeight="1" x14ac:dyDescent="0.2">
      <c r="A452" s="26">
        <v>471</v>
      </c>
      <c r="B452" s="27" t="s">
        <v>1062</v>
      </c>
      <c r="C452" s="27" t="s">
        <v>3094</v>
      </c>
      <c r="D452" s="28">
        <v>7.0000000000000007E-2</v>
      </c>
      <c r="E452" s="29">
        <v>179.99</v>
      </c>
      <c r="F452" s="29">
        <v>19.989999999999998</v>
      </c>
      <c r="G452" s="30" t="s">
        <v>87</v>
      </c>
      <c r="H452" s="27" t="s">
        <v>40</v>
      </c>
      <c r="I452" s="27" t="s">
        <v>41</v>
      </c>
      <c r="J452" s="27" t="s">
        <v>42</v>
      </c>
      <c r="K452" s="27" t="s">
        <v>73</v>
      </c>
      <c r="L452" s="31" t="s">
        <v>715</v>
      </c>
      <c r="M452" s="32">
        <v>0.48</v>
      </c>
      <c r="N452" s="27" t="s">
        <v>33</v>
      </c>
      <c r="O452" s="27" t="s">
        <v>34</v>
      </c>
      <c r="P452" s="27" t="s">
        <v>75</v>
      </c>
      <c r="Q452" s="27" t="s">
        <v>361</v>
      </c>
      <c r="R452" s="33">
        <v>30318</v>
      </c>
      <c r="S452" s="34">
        <v>42043</v>
      </c>
      <c r="T452" s="34">
        <v>42043</v>
      </c>
      <c r="U452" s="29">
        <v>-568.53510000000006</v>
      </c>
      <c r="V452" s="26">
        <v>4</v>
      </c>
      <c r="W452" s="29">
        <v>718.03</v>
      </c>
      <c r="X452" s="26">
        <v>3138</v>
      </c>
      <c r="Y452" s="35">
        <v>105.88000000000001</v>
      </c>
      <c r="Z452" s="1" t="s">
        <v>3011</v>
      </c>
      <c r="AA452" s="36">
        <v>50.397200000000005</v>
      </c>
      <c r="AB452" s="54">
        <v>373.37560000000002</v>
      </c>
      <c r="AC452" s="54">
        <v>86.163599999999988</v>
      </c>
      <c r="AD452" s="36">
        <v>1216.1779000000001</v>
      </c>
    </row>
    <row r="453" spans="1:30" s="37" customFormat="1" ht="15.75" customHeight="1" x14ac:dyDescent="0.2">
      <c r="A453" s="26">
        <v>3403</v>
      </c>
      <c r="B453" s="27" t="s">
        <v>1058</v>
      </c>
      <c r="C453" s="27" t="s">
        <v>38</v>
      </c>
      <c r="D453" s="28">
        <v>0.1</v>
      </c>
      <c r="E453" s="29">
        <v>105.98</v>
      </c>
      <c r="F453" s="29">
        <v>13.99</v>
      </c>
      <c r="G453" s="30" t="s">
        <v>87</v>
      </c>
      <c r="H453" s="27" t="s">
        <v>40</v>
      </c>
      <c r="I453" s="27" t="s">
        <v>29</v>
      </c>
      <c r="J453" s="27" t="s">
        <v>126</v>
      </c>
      <c r="K453" s="27" t="s">
        <v>144</v>
      </c>
      <c r="L453" s="31" t="s">
        <v>1059</v>
      </c>
      <c r="M453" s="32">
        <v>0.65</v>
      </c>
      <c r="N453" s="27" t="s">
        <v>33</v>
      </c>
      <c r="O453" s="27" t="s">
        <v>60</v>
      </c>
      <c r="P453" s="27" t="s">
        <v>1060</v>
      </c>
      <c r="Q453" s="27" t="s">
        <v>1061</v>
      </c>
      <c r="R453" s="33">
        <v>82001</v>
      </c>
      <c r="S453" s="34">
        <v>42043</v>
      </c>
      <c r="T453" s="34">
        <v>42046</v>
      </c>
      <c r="U453" s="29">
        <v>349.48500000000001</v>
      </c>
      <c r="V453" s="26">
        <v>5</v>
      </c>
      <c r="W453" s="29">
        <v>506.5</v>
      </c>
      <c r="X453" s="26">
        <v>87530</v>
      </c>
      <c r="Y453" s="35">
        <v>179.92000000000002</v>
      </c>
      <c r="Z453" s="1" t="s">
        <v>3013</v>
      </c>
      <c r="AA453" s="36">
        <v>52.99</v>
      </c>
      <c r="AB453" s="54">
        <v>177.27499999999998</v>
      </c>
      <c r="AC453" s="54">
        <v>65.844999999999999</v>
      </c>
      <c r="AD453" s="36">
        <v>90.034999999999968</v>
      </c>
    </row>
    <row r="454" spans="1:30" s="37" customFormat="1" ht="15.75" customHeight="1" x14ac:dyDescent="0.2">
      <c r="A454" s="26">
        <v>472</v>
      </c>
      <c r="B454" s="27" t="s">
        <v>1063</v>
      </c>
      <c r="C454" s="27" t="s">
        <v>3094</v>
      </c>
      <c r="D454" s="28">
        <v>7.0000000000000007E-2</v>
      </c>
      <c r="E454" s="29">
        <v>179.99</v>
      </c>
      <c r="F454" s="29">
        <v>19.989999999999998</v>
      </c>
      <c r="G454" s="30" t="s">
        <v>87</v>
      </c>
      <c r="H454" s="27" t="s">
        <v>40</v>
      </c>
      <c r="I454" s="27" t="s">
        <v>41</v>
      </c>
      <c r="J454" s="27" t="s">
        <v>42</v>
      </c>
      <c r="K454" s="27" t="s">
        <v>73</v>
      </c>
      <c r="L454" s="31" t="s">
        <v>715</v>
      </c>
      <c r="M454" s="32">
        <v>0.48</v>
      </c>
      <c r="N454" s="27" t="s">
        <v>33</v>
      </c>
      <c r="O454" s="27" t="s">
        <v>111</v>
      </c>
      <c r="P454" s="27" t="s">
        <v>418</v>
      </c>
      <c r="Q454" s="27" t="s">
        <v>1064</v>
      </c>
      <c r="R454" s="33">
        <v>21133</v>
      </c>
      <c r="S454" s="34">
        <v>42043</v>
      </c>
      <c r="T454" s="34">
        <v>42043</v>
      </c>
      <c r="U454" s="29">
        <v>-427.47</v>
      </c>
      <c r="V454" s="26">
        <v>1</v>
      </c>
      <c r="W454" s="29">
        <v>179.51</v>
      </c>
      <c r="X454" s="26">
        <v>88023</v>
      </c>
      <c r="Y454" s="35">
        <v>179.92000000000002</v>
      </c>
      <c r="Z454" s="1" t="s">
        <v>3014</v>
      </c>
      <c r="AA454" s="36">
        <v>12.599300000000001</v>
      </c>
      <c r="AB454" s="54">
        <v>93.345200000000006</v>
      </c>
      <c r="AC454" s="54">
        <v>86.164799999999985</v>
      </c>
      <c r="AD454" s="36">
        <v>574.39069999999992</v>
      </c>
    </row>
    <row r="455" spans="1:30" s="37" customFormat="1" ht="15.75" customHeight="1" x14ac:dyDescent="0.2">
      <c r="A455" s="26">
        <v>1574</v>
      </c>
      <c r="B455" s="27" t="s">
        <v>1068</v>
      </c>
      <c r="C455" s="27" t="s">
        <v>116</v>
      </c>
      <c r="D455" s="28">
        <v>7.0000000000000007E-2</v>
      </c>
      <c r="E455" s="29">
        <v>20.95</v>
      </c>
      <c r="F455" s="29">
        <v>5.99</v>
      </c>
      <c r="G455" s="30" t="s">
        <v>39</v>
      </c>
      <c r="H455" s="27" t="s">
        <v>40</v>
      </c>
      <c r="I455" s="27" t="s">
        <v>41</v>
      </c>
      <c r="J455" s="27" t="s">
        <v>42</v>
      </c>
      <c r="K455" s="27" t="s">
        <v>73</v>
      </c>
      <c r="L455" s="31" t="s">
        <v>253</v>
      </c>
      <c r="M455" s="32">
        <v>0.65</v>
      </c>
      <c r="N455" s="27" t="s">
        <v>33</v>
      </c>
      <c r="O455" s="27" t="s">
        <v>34</v>
      </c>
      <c r="P455" s="27" t="s">
        <v>97</v>
      </c>
      <c r="Q455" s="27" t="s">
        <v>1069</v>
      </c>
      <c r="R455" s="33">
        <v>28314</v>
      </c>
      <c r="S455" s="34">
        <v>42044</v>
      </c>
      <c r="T455" s="34">
        <v>42045</v>
      </c>
      <c r="U455" s="29">
        <v>27.234000000000002</v>
      </c>
      <c r="V455" s="26">
        <v>19</v>
      </c>
      <c r="W455" s="29">
        <v>391.4</v>
      </c>
      <c r="X455" s="26">
        <v>86966</v>
      </c>
      <c r="Y455" s="35">
        <v>5.66</v>
      </c>
      <c r="Z455" s="1" t="s">
        <v>3011</v>
      </c>
      <c r="AA455" s="36">
        <v>27.863500000000002</v>
      </c>
      <c r="AB455" s="54">
        <v>136.98999999999998</v>
      </c>
      <c r="AC455" s="54">
        <v>13.389999999999999</v>
      </c>
      <c r="AD455" s="36">
        <v>330.3125</v>
      </c>
    </row>
    <row r="456" spans="1:30" s="37" customFormat="1" ht="15.75" customHeight="1" x14ac:dyDescent="0.2">
      <c r="A456" s="26">
        <v>2619</v>
      </c>
      <c r="B456" s="27" t="s">
        <v>1070</v>
      </c>
      <c r="C456" s="27" t="s">
        <v>3094</v>
      </c>
      <c r="D456" s="28">
        <v>0.1</v>
      </c>
      <c r="E456" s="29">
        <v>30.98</v>
      </c>
      <c r="F456" s="29">
        <v>8.99</v>
      </c>
      <c r="G456" s="30" t="s">
        <v>39</v>
      </c>
      <c r="H456" s="27" t="s">
        <v>94</v>
      </c>
      <c r="I456" s="27" t="s">
        <v>49</v>
      </c>
      <c r="J456" s="27" t="s">
        <v>50</v>
      </c>
      <c r="K456" s="27" t="s">
        <v>43</v>
      </c>
      <c r="L456" s="31" t="s">
        <v>339</v>
      </c>
      <c r="M456" s="32">
        <v>0.57999999999999996</v>
      </c>
      <c r="N456" s="27" t="s">
        <v>33</v>
      </c>
      <c r="O456" s="27" t="s">
        <v>53</v>
      </c>
      <c r="P456" s="27" t="s">
        <v>1071</v>
      </c>
      <c r="Q456" s="27" t="s">
        <v>1072</v>
      </c>
      <c r="R456" s="33">
        <v>57103</v>
      </c>
      <c r="S456" s="34">
        <v>42044</v>
      </c>
      <c r="T456" s="34">
        <v>42046</v>
      </c>
      <c r="U456" s="29">
        <v>-20.222799999999999</v>
      </c>
      <c r="V456" s="26">
        <v>4</v>
      </c>
      <c r="W456" s="29">
        <v>119.37</v>
      </c>
      <c r="X456" s="26">
        <v>88015</v>
      </c>
      <c r="Y456" s="35">
        <v>4.03</v>
      </c>
      <c r="Z456" s="1" t="s">
        <v>3012</v>
      </c>
      <c r="AA456" s="36">
        <v>12.392000000000001</v>
      </c>
      <c r="AB456" s="54">
        <v>50.135400000000004</v>
      </c>
      <c r="AC456" s="54">
        <v>17.30865</v>
      </c>
      <c r="AD456" s="36">
        <v>118.21080000000001</v>
      </c>
    </row>
    <row r="457" spans="1:30" s="37" customFormat="1" ht="15.75" customHeight="1" x14ac:dyDescent="0.2">
      <c r="A457" s="26">
        <v>1671</v>
      </c>
      <c r="B457" s="27" t="s">
        <v>1066</v>
      </c>
      <c r="C457" s="27" t="s">
        <v>48</v>
      </c>
      <c r="D457" s="28">
        <v>0.1</v>
      </c>
      <c r="E457" s="29">
        <v>4.13</v>
      </c>
      <c r="F457" s="29">
        <v>0.99</v>
      </c>
      <c r="G457" s="30" t="s">
        <v>39</v>
      </c>
      <c r="H457" s="27" t="s">
        <v>3095</v>
      </c>
      <c r="I457" s="27" t="s">
        <v>49</v>
      </c>
      <c r="J457" s="27" t="s">
        <v>152</v>
      </c>
      <c r="K457" s="27" t="s">
        <v>73</v>
      </c>
      <c r="L457" s="31" t="s">
        <v>326</v>
      </c>
      <c r="M457" s="32">
        <v>0.39</v>
      </c>
      <c r="N457" s="27" t="s">
        <v>33</v>
      </c>
      <c r="O457" s="27" t="s">
        <v>34</v>
      </c>
      <c r="P457" s="27" t="s">
        <v>242</v>
      </c>
      <c r="Q457" s="27" t="s">
        <v>1067</v>
      </c>
      <c r="R457" s="33">
        <v>22015</v>
      </c>
      <c r="S457" s="34">
        <v>42044</v>
      </c>
      <c r="T457" s="34">
        <v>42048</v>
      </c>
      <c r="U457" s="29">
        <v>-40.53</v>
      </c>
      <c r="V457" s="26">
        <v>13</v>
      </c>
      <c r="W457" s="29">
        <v>52.16</v>
      </c>
      <c r="X457" s="26">
        <v>86724</v>
      </c>
      <c r="Y457" s="35">
        <v>20.88</v>
      </c>
      <c r="Z457" s="1" t="s">
        <v>3011</v>
      </c>
      <c r="AA457" s="36">
        <v>5.3690000000000007</v>
      </c>
      <c r="AB457" s="54">
        <v>31.817599999999999</v>
      </c>
      <c r="AC457" s="54">
        <v>1.5648</v>
      </c>
      <c r="AD457" s="36">
        <v>86.330999999999989</v>
      </c>
    </row>
    <row r="458" spans="1:30" s="37" customFormat="1" ht="15.75" customHeight="1" x14ac:dyDescent="0.2">
      <c r="A458" s="26">
        <v>2151</v>
      </c>
      <c r="B458" s="27" t="s">
        <v>234</v>
      </c>
      <c r="C458" s="27" t="s">
        <v>38</v>
      </c>
      <c r="D458" s="28">
        <v>0.08</v>
      </c>
      <c r="E458" s="29">
        <v>5.74</v>
      </c>
      <c r="F458" s="29">
        <v>5.01</v>
      </c>
      <c r="G458" s="30" t="s">
        <v>39</v>
      </c>
      <c r="H458" s="27" t="s">
        <v>94</v>
      </c>
      <c r="I458" s="27" t="s">
        <v>49</v>
      </c>
      <c r="J458" s="27" t="s">
        <v>72</v>
      </c>
      <c r="K458" s="27" t="s">
        <v>73</v>
      </c>
      <c r="L458" s="31" t="s">
        <v>1065</v>
      </c>
      <c r="M458" s="32">
        <v>0.39</v>
      </c>
      <c r="N458" s="27" t="s">
        <v>33</v>
      </c>
      <c r="O458" s="27" t="s">
        <v>53</v>
      </c>
      <c r="P458" s="27" t="s">
        <v>213</v>
      </c>
      <c r="Q458" s="27" t="s">
        <v>236</v>
      </c>
      <c r="R458" s="33">
        <v>52001</v>
      </c>
      <c r="S458" s="34">
        <v>42044</v>
      </c>
      <c r="T458" s="34">
        <v>42046</v>
      </c>
      <c r="U458" s="29">
        <v>-6.9308199999999998</v>
      </c>
      <c r="V458" s="26">
        <v>1</v>
      </c>
      <c r="W458" s="29">
        <v>7.21</v>
      </c>
      <c r="X458" s="26">
        <v>90405</v>
      </c>
      <c r="Y458" s="35">
        <v>30.88</v>
      </c>
      <c r="Z458" s="1" t="s">
        <v>3012</v>
      </c>
      <c r="AA458" s="36">
        <v>0.45920000000000005</v>
      </c>
      <c r="AB458" s="54">
        <v>4.3980999999999995</v>
      </c>
      <c r="AC458" s="54">
        <v>2.8119000000000001</v>
      </c>
      <c r="AD458" s="36">
        <v>8.6716200000000008</v>
      </c>
    </row>
    <row r="459" spans="1:30" s="37" customFormat="1" ht="15.75" customHeight="1" x14ac:dyDescent="0.2">
      <c r="A459" s="26">
        <v>2204</v>
      </c>
      <c r="B459" s="27" t="s">
        <v>962</v>
      </c>
      <c r="C459" s="27" t="s">
        <v>26</v>
      </c>
      <c r="D459" s="28">
        <v>0.04</v>
      </c>
      <c r="E459" s="29">
        <v>296.18</v>
      </c>
      <c r="F459" s="29">
        <v>154.12</v>
      </c>
      <c r="G459" s="30" t="s">
        <v>27</v>
      </c>
      <c r="H459" s="27" t="s">
        <v>40</v>
      </c>
      <c r="I459" s="27" t="s">
        <v>29</v>
      </c>
      <c r="J459" s="27" t="s">
        <v>30</v>
      </c>
      <c r="K459" s="27" t="s">
        <v>31</v>
      </c>
      <c r="L459" s="31" t="s">
        <v>1079</v>
      </c>
      <c r="M459" s="32">
        <v>0.76</v>
      </c>
      <c r="N459" s="27" t="s">
        <v>33</v>
      </c>
      <c r="O459" s="27" t="s">
        <v>53</v>
      </c>
      <c r="P459" s="27" t="s">
        <v>84</v>
      </c>
      <c r="Q459" s="27" t="s">
        <v>963</v>
      </c>
      <c r="R459" s="33">
        <v>55337</v>
      </c>
      <c r="S459" s="34">
        <v>42045</v>
      </c>
      <c r="T459" s="34">
        <v>42046</v>
      </c>
      <c r="U459" s="29">
        <v>-87.998040000000003</v>
      </c>
      <c r="V459" s="26">
        <v>20</v>
      </c>
      <c r="W459" s="29">
        <v>5768.12</v>
      </c>
      <c r="X459" s="26">
        <v>86053</v>
      </c>
      <c r="Y459" s="35">
        <v>4.9700000000000006</v>
      </c>
      <c r="Z459" s="1" t="s">
        <v>3012</v>
      </c>
      <c r="AA459" s="36">
        <v>236.94400000000002</v>
      </c>
      <c r="AB459" s="54">
        <v>1384.3488</v>
      </c>
      <c r="AC459" s="54">
        <v>219.18856</v>
      </c>
      <c r="AD459" s="36">
        <v>5465.05404</v>
      </c>
    </row>
    <row r="460" spans="1:30" s="37" customFormat="1" ht="15.75" customHeight="1" x14ac:dyDescent="0.2">
      <c r="A460" s="26">
        <v>1340</v>
      </c>
      <c r="B460" s="27" t="s">
        <v>1084</v>
      </c>
      <c r="C460" s="27" t="s">
        <v>48</v>
      </c>
      <c r="D460" s="28">
        <v>0.02</v>
      </c>
      <c r="E460" s="29">
        <v>55.99</v>
      </c>
      <c r="F460" s="29">
        <v>3.3</v>
      </c>
      <c r="G460" s="30" t="s">
        <v>39</v>
      </c>
      <c r="H460" s="27" t="s">
        <v>71</v>
      </c>
      <c r="I460" s="27" t="s">
        <v>41</v>
      </c>
      <c r="J460" s="27" t="s">
        <v>135</v>
      </c>
      <c r="K460" s="27" t="s">
        <v>43</v>
      </c>
      <c r="L460" s="31" t="s">
        <v>1083</v>
      </c>
      <c r="M460" s="32">
        <v>0.59</v>
      </c>
      <c r="N460" s="27" t="s">
        <v>33</v>
      </c>
      <c r="O460" s="27" t="s">
        <v>111</v>
      </c>
      <c r="P460" s="27" t="s">
        <v>112</v>
      </c>
      <c r="Q460" s="27" t="s">
        <v>113</v>
      </c>
      <c r="R460" s="33">
        <v>10170</v>
      </c>
      <c r="S460" s="34">
        <v>42045</v>
      </c>
      <c r="T460" s="34">
        <v>42045</v>
      </c>
      <c r="U460" s="29">
        <v>366.50700000000001</v>
      </c>
      <c r="V460" s="26">
        <v>63</v>
      </c>
      <c r="W460" s="29">
        <v>2997.07</v>
      </c>
      <c r="X460" s="26">
        <v>21636</v>
      </c>
      <c r="Y460" s="35">
        <v>4.9700000000000006</v>
      </c>
      <c r="Z460" s="1" t="s">
        <v>3014</v>
      </c>
      <c r="AA460" s="36">
        <v>70.54740000000001</v>
      </c>
      <c r="AB460" s="54">
        <v>1228.7987000000001</v>
      </c>
      <c r="AC460" s="54">
        <v>28.067798412698412</v>
      </c>
      <c r="AD460" s="36">
        <v>2556.7156</v>
      </c>
    </row>
    <row r="461" spans="1:30" s="37" customFormat="1" ht="15.75" customHeight="1" x14ac:dyDescent="0.2">
      <c r="A461" s="26">
        <v>1361</v>
      </c>
      <c r="B461" s="27" t="s">
        <v>779</v>
      </c>
      <c r="C461" s="27" t="s">
        <v>26</v>
      </c>
      <c r="D461" s="28">
        <v>0.03</v>
      </c>
      <c r="E461" s="29">
        <v>85.99</v>
      </c>
      <c r="F461" s="29">
        <v>3.3</v>
      </c>
      <c r="G461" s="30" t="s">
        <v>39</v>
      </c>
      <c r="H461" s="27" t="s">
        <v>40</v>
      </c>
      <c r="I461" s="27" t="s">
        <v>41</v>
      </c>
      <c r="J461" s="27" t="s">
        <v>135</v>
      </c>
      <c r="K461" s="27" t="s">
        <v>43</v>
      </c>
      <c r="L461" s="31" t="s">
        <v>514</v>
      </c>
      <c r="M461" s="32">
        <v>0.37</v>
      </c>
      <c r="N461" s="27" t="s">
        <v>33</v>
      </c>
      <c r="O461" s="27" t="s">
        <v>53</v>
      </c>
      <c r="P461" s="27" t="s">
        <v>289</v>
      </c>
      <c r="Q461" s="27" t="s">
        <v>780</v>
      </c>
      <c r="R461" s="33">
        <v>48101</v>
      </c>
      <c r="S461" s="34">
        <v>42045</v>
      </c>
      <c r="T461" s="34">
        <v>42047</v>
      </c>
      <c r="U461" s="29">
        <v>790.54679999999996</v>
      </c>
      <c r="V461" s="26">
        <v>16</v>
      </c>
      <c r="W461" s="29">
        <v>1145.72</v>
      </c>
      <c r="X461" s="26">
        <v>89596</v>
      </c>
      <c r="Y461" s="35">
        <v>13.98</v>
      </c>
      <c r="Z461" s="1" t="s">
        <v>3012</v>
      </c>
      <c r="AA461" s="36">
        <v>41.275199999999998</v>
      </c>
      <c r="AB461" s="54">
        <v>721.80360000000007</v>
      </c>
      <c r="AC461" s="54">
        <v>26.494775000000001</v>
      </c>
      <c r="AD461" s="36">
        <v>310.59800000000007</v>
      </c>
    </row>
    <row r="462" spans="1:30" s="37" customFormat="1" ht="15.75" customHeight="1" x14ac:dyDescent="0.2">
      <c r="A462" s="26">
        <v>1338</v>
      </c>
      <c r="B462" s="27" t="s">
        <v>1082</v>
      </c>
      <c r="C462" s="27" t="s">
        <v>48</v>
      </c>
      <c r="D462" s="28">
        <v>0.02</v>
      </c>
      <c r="E462" s="29">
        <v>55.99</v>
      </c>
      <c r="F462" s="29">
        <v>3.3</v>
      </c>
      <c r="G462" s="30" t="s">
        <v>39</v>
      </c>
      <c r="H462" s="27" t="s">
        <v>71</v>
      </c>
      <c r="I462" s="27" t="s">
        <v>41</v>
      </c>
      <c r="J462" s="27" t="s">
        <v>135</v>
      </c>
      <c r="K462" s="27" t="s">
        <v>43</v>
      </c>
      <c r="L462" s="31" t="s">
        <v>1083</v>
      </c>
      <c r="M462" s="32">
        <v>0.59</v>
      </c>
      <c r="N462" s="27" t="s">
        <v>33</v>
      </c>
      <c r="O462" s="27" t="s">
        <v>53</v>
      </c>
      <c r="P462" s="27" t="s">
        <v>103</v>
      </c>
      <c r="Q462" s="27" t="s">
        <v>533</v>
      </c>
      <c r="R462" s="33">
        <v>60623</v>
      </c>
      <c r="S462" s="34">
        <v>42045</v>
      </c>
      <c r="T462" s="34">
        <v>42045</v>
      </c>
      <c r="U462" s="29">
        <v>525.20039999999995</v>
      </c>
      <c r="V462" s="26">
        <v>16</v>
      </c>
      <c r="W462" s="29">
        <v>761.16</v>
      </c>
      <c r="X462" s="26">
        <v>91244</v>
      </c>
      <c r="Y462" s="35">
        <v>6.4700000000000006</v>
      </c>
      <c r="Z462" s="1" t="s">
        <v>3012</v>
      </c>
      <c r="AA462" s="36">
        <v>17.916800000000002</v>
      </c>
      <c r="AB462" s="54">
        <v>312.07560000000001</v>
      </c>
      <c r="AC462" s="54">
        <v>28.067774999999997</v>
      </c>
      <c r="AD462" s="36">
        <v>214.7428000000001</v>
      </c>
    </row>
    <row r="463" spans="1:30" s="37" customFormat="1" ht="15.75" customHeight="1" x14ac:dyDescent="0.2">
      <c r="A463" s="26">
        <v>1340</v>
      </c>
      <c r="B463" s="27" t="s">
        <v>1084</v>
      </c>
      <c r="C463" s="27" t="s">
        <v>48</v>
      </c>
      <c r="D463" s="28">
        <v>0</v>
      </c>
      <c r="E463" s="29">
        <v>22.38</v>
      </c>
      <c r="F463" s="29">
        <v>15.1</v>
      </c>
      <c r="G463" s="30" t="s">
        <v>87</v>
      </c>
      <c r="H463" s="27" t="s">
        <v>71</v>
      </c>
      <c r="I463" s="27" t="s">
        <v>49</v>
      </c>
      <c r="J463" s="27" t="s">
        <v>72</v>
      </c>
      <c r="K463" s="27" t="s">
        <v>73</v>
      </c>
      <c r="L463" s="31" t="s">
        <v>1085</v>
      </c>
      <c r="M463" s="32">
        <v>0.38</v>
      </c>
      <c r="N463" s="27" t="s">
        <v>33</v>
      </c>
      <c r="O463" s="27" t="s">
        <v>111</v>
      </c>
      <c r="P463" s="27" t="s">
        <v>112</v>
      </c>
      <c r="Q463" s="27" t="s">
        <v>113</v>
      </c>
      <c r="R463" s="33">
        <v>10170</v>
      </c>
      <c r="S463" s="34">
        <v>42045</v>
      </c>
      <c r="T463" s="34">
        <v>42052</v>
      </c>
      <c r="U463" s="29">
        <v>-52.646999999999998</v>
      </c>
      <c r="V463" s="26">
        <v>29</v>
      </c>
      <c r="W463" s="29">
        <v>682.68</v>
      </c>
      <c r="X463" s="26">
        <v>21636</v>
      </c>
      <c r="Y463" s="35">
        <v>85.96</v>
      </c>
      <c r="Z463" s="1" t="s">
        <v>3014</v>
      </c>
      <c r="AA463" s="36">
        <v>0</v>
      </c>
      <c r="AB463" s="54">
        <v>423.26159999999999</v>
      </c>
      <c r="AC463" s="54">
        <v>8.9454620689655169</v>
      </c>
      <c r="AD463" s="36">
        <v>720.22699999999998</v>
      </c>
    </row>
    <row r="464" spans="1:30" s="37" customFormat="1" ht="15.75" customHeight="1" x14ac:dyDescent="0.2">
      <c r="A464" s="26">
        <v>3004</v>
      </c>
      <c r="B464" s="27" t="s">
        <v>1088</v>
      </c>
      <c r="C464" s="27" t="s">
        <v>48</v>
      </c>
      <c r="D464" s="28">
        <v>0.08</v>
      </c>
      <c r="E464" s="29">
        <v>6.48</v>
      </c>
      <c r="F464" s="29">
        <v>6.81</v>
      </c>
      <c r="G464" s="30" t="s">
        <v>39</v>
      </c>
      <c r="H464" s="27" t="s">
        <v>94</v>
      </c>
      <c r="I464" s="27" t="s">
        <v>49</v>
      </c>
      <c r="J464" s="27" t="s">
        <v>88</v>
      </c>
      <c r="K464" s="27" t="s">
        <v>73</v>
      </c>
      <c r="L464" s="31" t="s">
        <v>1089</v>
      </c>
      <c r="M464" s="32">
        <v>0.36</v>
      </c>
      <c r="N464" s="27" t="s">
        <v>33</v>
      </c>
      <c r="O464" s="27" t="s">
        <v>60</v>
      </c>
      <c r="P464" s="27" t="s">
        <v>90</v>
      </c>
      <c r="Q464" s="27" t="s">
        <v>100</v>
      </c>
      <c r="R464" s="33">
        <v>90049</v>
      </c>
      <c r="S464" s="34">
        <v>42045</v>
      </c>
      <c r="T464" s="34">
        <v>42050</v>
      </c>
      <c r="U464" s="29">
        <v>-94.59</v>
      </c>
      <c r="V464" s="26">
        <v>58</v>
      </c>
      <c r="W464" s="29">
        <v>382.33</v>
      </c>
      <c r="X464" s="26">
        <v>54949</v>
      </c>
      <c r="Y464" s="35">
        <v>296.14</v>
      </c>
      <c r="Z464" s="1" t="s">
        <v>3013</v>
      </c>
      <c r="AA464" s="36">
        <v>30.067200000000003</v>
      </c>
      <c r="AB464" s="54">
        <v>244.69119999999998</v>
      </c>
      <c r="AC464" s="54">
        <v>2.3730827586206895</v>
      </c>
      <c r="AD464" s="36">
        <v>440.0428</v>
      </c>
    </row>
    <row r="465" spans="1:30" s="37" customFormat="1" ht="15.75" customHeight="1" x14ac:dyDescent="0.2">
      <c r="A465" s="26">
        <v>3004</v>
      </c>
      <c r="B465" s="27" t="s">
        <v>1088</v>
      </c>
      <c r="C465" s="27" t="s">
        <v>48</v>
      </c>
      <c r="D465" s="28">
        <v>0.09</v>
      </c>
      <c r="E465" s="29">
        <v>20.98</v>
      </c>
      <c r="F465" s="29">
        <v>53.03</v>
      </c>
      <c r="G465" s="30" t="s">
        <v>27</v>
      </c>
      <c r="H465" s="27" t="s">
        <v>94</v>
      </c>
      <c r="I465" s="27" t="s">
        <v>49</v>
      </c>
      <c r="J465" s="27" t="s">
        <v>78</v>
      </c>
      <c r="K465" s="27" t="s">
        <v>58</v>
      </c>
      <c r="L465" s="31" t="s">
        <v>1090</v>
      </c>
      <c r="M465" s="32">
        <v>0.78</v>
      </c>
      <c r="N465" s="27" t="s">
        <v>33</v>
      </c>
      <c r="O465" s="27" t="s">
        <v>60</v>
      </c>
      <c r="P465" s="27" t="s">
        <v>90</v>
      </c>
      <c r="Q465" s="27" t="s">
        <v>100</v>
      </c>
      <c r="R465" s="33">
        <v>90049</v>
      </c>
      <c r="S465" s="34">
        <v>42045</v>
      </c>
      <c r="T465" s="34">
        <v>42052</v>
      </c>
      <c r="U465" s="29">
        <v>-293.74</v>
      </c>
      <c r="V465" s="26">
        <v>13</v>
      </c>
      <c r="W465" s="29">
        <v>356.61</v>
      </c>
      <c r="X465" s="26">
        <v>54949</v>
      </c>
      <c r="Y465" s="35">
        <v>11.3</v>
      </c>
      <c r="Z465" s="1" t="s">
        <v>3013</v>
      </c>
      <c r="AA465" s="36">
        <v>24.546599999999998</v>
      </c>
      <c r="AB465" s="54">
        <v>78.4542</v>
      </c>
      <c r="AC465" s="54">
        <v>21.396600000000003</v>
      </c>
      <c r="AD465" s="36">
        <v>572.77340000000004</v>
      </c>
    </row>
    <row r="466" spans="1:30" s="37" customFormat="1" ht="15.75" customHeight="1" x14ac:dyDescent="0.2">
      <c r="A466" s="26">
        <v>2145</v>
      </c>
      <c r="B466" s="27" t="s">
        <v>1095</v>
      </c>
      <c r="C466" s="27" t="s">
        <v>116</v>
      </c>
      <c r="D466" s="28">
        <v>0</v>
      </c>
      <c r="E466" s="29">
        <v>20.28</v>
      </c>
      <c r="F466" s="29">
        <v>14.39</v>
      </c>
      <c r="G466" s="30" t="s">
        <v>39</v>
      </c>
      <c r="H466" s="27" t="s">
        <v>94</v>
      </c>
      <c r="I466" s="27" t="s">
        <v>29</v>
      </c>
      <c r="J466" s="27" t="s">
        <v>126</v>
      </c>
      <c r="K466" s="27" t="s">
        <v>73</v>
      </c>
      <c r="L466" s="31" t="s">
        <v>710</v>
      </c>
      <c r="M466" s="32">
        <v>0.47</v>
      </c>
      <c r="N466" s="27" t="s">
        <v>33</v>
      </c>
      <c r="O466" s="27" t="s">
        <v>34</v>
      </c>
      <c r="P466" s="27" t="s">
        <v>123</v>
      </c>
      <c r="Q466" s="27" t="s">
        <v>1096</v>
      </c>
      <c r="R466" s="33">
        <v>33311</v>
      </c>
      <c r="S466" s="34">
        <v>42045</v>
      </c>
      <c r="T466" s="34">
        <v>42047</v>
      </c>
      <c r="U466" s="29">
        <v>15.678000000000001</v>
      </c>
      <c r="V466" s="26">
        <v>11</v>
      </c>
      <c r="W466" s="29">
        <v>237.83</v>
      </c>
      <c r="X466" s="26">
        <v>87072</v>
      </c>
      <c r="Y466" s="35">
        <v>55.97</v>
      </c>
      <c r="Z466" s="1" t="s">
        <v>3011</v>
      </c>
      <c r="AA466" s="36">
        <v>0</v>
      </c>
      <c r="AB466" s="54">
        <v>126.04990000000001</v>
      </c>
      <c r="AC466" s="54">
        <v>10.161827272727272</v>
      </c>
      <c r="AD466" s="36">
        <v>207.762</v>
      </c>
    </row>
    <row r="467" spans="1:30" s="37" customFormat="1" ht="15.75" customHeight="1" x14ac:dyDescent="0.2">
      <c r="A467" s="26">
        <v>491</v>
      </c>
      <c r="B467" s="27" t="s">
        <v>1073</v>
      </c>
      <c r="C467" s="27" t="s">
        <v>26</v>
      </c>
      <c r="D467" s="28">
        <v>0.01</v>
      </c>
      <c r="E467" s="29">
        <v>4.9800000000000004</v>
      </c>
      <c r="F467" s="29">
        <v>6.07</v>
      </c>
      <c r="G467" s="30" t="s">
        <v>39</v>
      </c>
      <c r="H467" s="27" t="s">
        <v>40</v>
      </c>
      <c r="I467" s="27" t="s">
        <v>49</v>
      </c>
      <c r="J467" s="27" t="s">
        <v>88</v>
      </c>
      <c r="K467" s="27" t="s">
        <v>73</v>
      </c>
      <c r="L467" s="31" t="s">
        <v>787</v>
      </c>
      <c r="M467" s="32">
        <v>0.36</v>
      </c>
      <c r="N467" s="27" t="s">
        <v>33</v>
      </c>
      <c r="O467" s="27" t="s">
        <v>111</v>
      </c>
      <c r="P467" s="27" t="s">
        <v>112</v>
      </c>
      <c r="Q467" s="27" t="s">
        <v>113</v>
      </c>
      <c r="R467" s="33">
        <v>10154</v>
      </c>
      <c r="S467" s="34">
        <v>42045</v>
      </c>
      <c r="T467" s="34">
        <v>42046</v>
      </c>
      <c r="U467" s="29">
        <v>-69.069999999999993</v>
      </c>
      <c r="V467" s="26">
        <v>41</v>
      </c>
      <c r="W467" s="29">
        <v>217</v>
      </c>
      <c r="X467" s="26">
        <v>10464</v>
      </c>
      <c r="Y467" s="35">
        <v>22.38</v>
      </c>
      <c r="Z467" s="1" t="s">
        <v>3014</v>
      </c>
      <c r="AA467" s="36">
        <v>2.0418000000000003</v>
      </c>
      <c r="AB467" s="54">
        <v>138.88</v>
      </c>
      <c r="AC467" s="54">
        <v>1.9053658536585365</v>
      </c>
      <c r="AD467" s="36">
        <v>277.95819999999998</v>
      </c>
    </row>
    <row r="468" spans="1:30" s="37" customFormat="1" ht="15.75" customHeight="1" x14ac:dyDescent="0.2">
      <c r="A468" s="26">
        <v>1526</v>
      </c>
      <c r="B468" s="27" t="s">
        <v>1080</v>
      </c>
      <c r="C468" s="27" t="s">
        <v>38</v>
      </c>
      <c r="D468" s="28">
        <v>0.04</v>
      </c>
      <c r="E468" s="29">
        <v>11.34</v>
      </c>
      <c r="F468" s="29">
        <v>5.01</v>
      </c>
      <c r="G468" s="30" t="s">
        <v>39</v>
      </c>
      <c r="H468" s="27" t="s">
        <v>71</v>
      </c>
      <c r="I468" s="27" t="s">
        <v>49</v>
      </c>
      <c r="J468" s="27" t="s">
        <v>88</v>
      </c>
      <c r="K468" s="27" t="s">
        <v>73</v>
      </c>
      <c r="L468" s="31" t="s">
        <v>415</v>
      </c>
      <c r="M468" s="32">
        <v>0.36</v>
      </c>
      <c r="N468" s="27" t="s">
        <v>33</v>
      </c>
      <c r="O468" s="27" t="s">
        <v>34</v>
      </c>
      <c r="P468" s="27" t="s">
        <v>164</v>
      </c>
      <c r="Q468" s="27" t="s">
        <v>1081</v>
      </c>
      <c r="R468" s="33">
        <v>35211</v>
      </c>
      <c r="S468" s="34">
        <v>42045</v>
      </c>
      <c r="T468" s="34">
        <v>42046</v>
      </c>
      <c r="U468" s="29">
        <v>-189.22399999999999</v>
      </c>
      <c r="V468" s="26">
        <v>10</v>
      </c>
      <c r="W468" s="29">
        <v>115.53</v>
      </c>
      <c r="X468" s="26">
        <v>86812</v>
      </c>
      <c r="Y468" s="35">
        <v>5.91</v>
      </c>
      <c r="Z468" s="1" t="s">
        <v>3011</v>
      </c>
      <c r="AA468" s="36">
        <v>4.5359999999999996</v>
      </c>
      <c r="AB468" s="54">
        <v>73.9392</v>
      </c>
      <c r="AC468" s="54">
        <v>4.1590800000000003</v>
      </c>
      <c r="AD468" s="36">
        <v>295.20799999999997</v>
      </c>
    </row>
    <row r="469" spans="1:30" s="37" customFormat="1" ht="15.75" customHeight="1" x14ac:dyDescent="0.2">
      <c r="A469" s="26">
        <v>3006</v>
      </c>
      <c r="B469" s="27" t="s">
        <v>1091</v>
      </c>
      <c r="C469" s="27" t="s">
        <v>48</v>
      </c>
      <c r="D469" s="28">
        <v>0.08</v>
      </c>
      <c r="E469" s="29">
        <v>6.48</v>
      </c>
      <c r="F469" s="29">
        <v>6.81</v>
      </c>
      <c r="G469" s="30" t="s">
        <v>39</v>
      </c>
      <c r="H469" s="27" t="s">
        <v>94</v>
      </c>
      <c r="I469" s="27" t="s">
        <v>49</v>
      </c>
      <c r="J469" s="27" t="s">
        <v>88</v>
      </c>
      <c r="K469" s="27" t="s">
        <v>73</v>
      </c>
      <c r="L469" s="31" t="s">
        <v>1089</v>
      </c>
      <c r="M469" s="32">
        <v>0.36</v>
      </c>
      <c r="N469" s="27" t="s">
        <v>33</v>
      </c>
      <c r="O469" s="27" t="s">
        <v>60</v>
      </c>
      <c r="P469" s="27" t="s">
        <v>490</v>
      </c>
      <c r="Q469" s="27" t="s">
        <v>1092</v>
      </c>
      <c r="R469" s="33">
        <v>83402</v>
      </c>
      <c r="S469" s="34">
        <v>42045</v>
      </c>
      <c r="T469" s="34">
        <v>42050</v>
      </c>
      <c r="U469" s="29">
        <v>-49.186799999999998</v>
      </c>
      <c r="V469" s="26">
        <v>14</v>
      </c>
      <c r="W469" s="29">
        <v>92.29</v>
      </c>
      <c r="X469" s="26">
        <v>91388</v>
      </c>
      <c r="Y469" s="35">
        <v>55.97</v>
      </c>
      <c r="Z469" s="1" t="s">
        <v>3013</v>
      </c>
      <c r="AA469" s="36">
        <v>7.2576000000000009</v>
      </c>
      <c r="AB469" s="54">
        <v>59.065600000000003</v>
      </c>
      <c r="AC469" s="54">
        <v>2.3731714285714287</v>
      </c>
      <c r="AD469" s="36">
        <v>127.4092</v>
      </c>
    </row>
    <row r="470" spans="1:30" s="37" customFormat="1" ht="15.75" customHeight="1" x14ac:dyDescent="0.2">
      <c r="A470" s="26">
        <v>3006</v>
      </c>
      <c r="B470" s="27" t="s">
        <v>1091</v>
      </c>
      <c r="C470" s="27" t="s">
        <v>48</v>
      </c>
      <c r="D470" s="28">
        <v>0.09</v>
      </c>
      <c r="E470" s="29">
        <v>20.98</v>
      </c>
      <c r="F470" s="29">
        <v>53.03</v>
      </c>
      <c r="G470" s="30" t="s">
        <v>27</v>
      </c>
      <c r="H470" s="27" t="s">
        <v>94</v>
      </c>
      <c r="I470" s="27" t="s">
        <v>49</v>
      </c>
      <c r="J470" s="27" t="s">
        <v>78</v>
      </c>
      <c r="K470" s="27" t="s">
        <v>58</v>
      </c>
      <c r="L470" s="31" t="s">
        <v>1090</v>
      </c>
      <c r="M470" s="32">
        <v>0.78</v>
      </c>
      <c r="N470" s="27" t="s">
        <v>33</v>
      </c>
      <c r="O470" s="27" t="s">
        <v>60</v>
      </c>
      <c r="P470" s="27" t="s">
        <v>490</v>
      </c>
      <c r="Q470" s="27" t="s">
        <v>1092</v>
      </c>
      <c r="R470" s="33">
        <v>83402</v>
      </c>
      <c r="S470" s="34">
        <v>42045</v>
      </c>
      <c r="T470" s="34">
        <v>42052</v>
      </c>
      <c r="U470" s="29">
        <v>-152.7448</v>
      </c>
      <c r="V470" s="26">
        <v>3</v>
      </c>
      <c r="W470" s="29">
        <v>82.29</v>
      </c>
      <c r="X470" s="26">
        <v>91388</v>
      </c>
      <c r="Y470" s="35">
        <v>5.91</v>
      </c>
      <c r="Z470" s="1" t="s">
        <v>3013</v>
      </c>
      <c r="AA470" s="36">
        <v>5.6646000000000001</v>
      </c>
      <c r="AB470" s="54">
        <v>18.1038</v>
      </c>
      <c r="AC470" s="54">
        <v>21.395400000000002</v>
      </c>
      <c r="AD470" s="36">
        <v>176.34019999999998</v>
      </c>
    </row>
    <row r="471" spans="1:30" s="37" customFormat="1" ht="15.75" customHeight="1" x14ac:dyDescent="0.2">
      <c r="A471" s="26">
        <v>1340</v>
      </c>
      <c r="B471" s="27" t="s">
        <v>1084</v>
      </c>
      <c r="C471" s="27" t="s">
        <v>48</v>
      </c>
      <c r="D471" s="28">
        <v>7.0000000000000007E-2</v>
      </c>
      <c r="E471" s="29">
        <v>5.98</v>
      </c>
      <c r="F471" s="29">
        <v>4.6900000000000004</v>
      </c>
      <c r="G471" s="30" t="s">
        <v>39</v>
      </c>
      <c r="H471" s="27" t="s">
        <v>71</v>
      </c>
      <c r="I471" s="27" t="s">
        <v>49</v>
      </c>
      <c r="J471" s="27" t="s">
        <v>78</v>
      </c>
      <c r="K471" s="27" t="s">
        <v>73</v>
      </c>
      <c r="L471" s="31" t="s">
        <v>229</v>
      </c>
      <c r="M471" s="32">
        <v>0.68</v>
      </c>
      <c r="N471" s="27" t="s">
        <v>33</v>
      </c>
      <c r="O471" s="27" t="s">
        <v>111</v>
      </c>
      <c r="P471" s="27" t="s">
        <v>112</v>
      </c>
      <c r="Q471" s="27" t="s">
        <v>113</v>
      </c>
      <c r="R471" s="33">
        <v>10170</v>
      </c>
      <c r="S471" s="34">
        <v>42045</v>
      </c>
      <c r="T471" s="34">
        <v>42050</v>
      </c>
      <c r="U471" s="29">
        <v>-24.44</v>
      </c>
      <c r="V471" s="26">
        <v>11</v>
      </c>
      <c r="W471" s="29">
        <v>73.44</v>
      </c>
      <c r="X471" s="26">
        <v>21636</v>
      </c>
      <c r="Y471" s="35">
        <v>6.4</v>
      </c>
      <c r="Z471" s="1" t="s">
        <v>3014</v>
      </c>
      <c r="AA471" s="36">
        <v>4.6046000000000014</v>
      </c>
      <c r="AB471" s="54">
        <v>23.500799999999995</v>
      </c>
      <c r="AC471" s="54">
        <v>4.5399272727272724</v>
      </c>
      <c r="AD471" s="36">
        <v>88.585399999999993</v>
      </c>
    </row>
    <row r="472" spans="1:30" s="37" customFormat="1" ht="15.75" customHeight="1" x14ac:dyDescent="0.2">
      <c r="A472" s="26">
        <v>1361</v>
      </c>
      <c r="B472" s="27" t="s">
        <v>779</v>
      </c>
      <c r="C472" s="27" t="s">
        <v>26</v>
      </c>
      <c r="D472" s="28">
        <v>0.01</v>
      </c>
      <c r="E472" s="29">
        <v>6.48</v>
      </c>
      <c r="F472" s="29">
        <v>6.22</v>
      </c>
      <c r="G472" s="30" t="s">
        <v>87</v>
      </c>
      <c r="H472" s="27" t="s">
        <v>40</v>
      </c>
      <c r="I472" s="27" t="s">
        <v>49</v>
      </c>
      <c r="J472" s="27" t="s">
        <v>88</v>
      </c>
      <c r="K472" s="27" t="s">
        <v>73</v>
      </c>
      <c r="L472" s="31" t="s">
        <v>1078</v>
      </c>
      <c r="M472" s="32">
        <v>0.37</v>
      </c>
      <c r="N472" s="27" t="s">
        <v>33</v>
      </c>
      <c r="O472" s="27" t="s">
        <v>53</v>
      </c>
      <c r="P472" s="27" t="s">
        <v>289</v>
      </c>
      <c r="Q472" s="27" t="s">
        <v>780</v>
      </c>
      <c r="R472" s="33">
        <v>48101</v>
      </c>
      <c r="S472" s="34">
        <v>42045</v>
      </c>
      <c r="T472" s="34">
        <v>42046</v>
      </c>
      <c r="U472" s="29">
        <v>-15.6312</v>
      </c>
      <c r="V472" s="26">
        <v>9</v>
      </c>
      <c r="W472" s="29">
        <v>69.459999999999994</v>
      </c>
      <c r="X472" s="26">
        <v>89596</v>
      </c>
      <c r="Y472" s="35">
        <v>20.89</v>
      </c>
      <c r="Z472" s="1" t="s">
        <v>3012</v>
      </c>
      <c r="AA472" s="36">
        <v>0.58320000000000005</v>
      </c>
      <c r="AB472" s="54">
        <v>43.759799999999998</v>
      </c>
      <c r="AC472" s="54">
        <v>2.8555777777777775</v>
      </c>
      <c r="AD472" s="36">
        <v>78.287999999999997</v>
      </c>
    </row>
    <row r="473" spans="1:30" s="37" customFormat="1" ht="15.75" customHeight="1" x14ac:dyDescent="0.2">
      <c r="A473" s="26">
        <v>494</v>
      </c>
      <c r="B473" s="27" t="s">
        <v>1074</v>
      </c>
      <c r="C473" s="27" t="s">
        <v>26</v>
      </c>
      <c r="D473" s="28">
        <v>0.01</v>
      </c>
      <c r="E473" s="29">
        <v>4.9800000000000004</v>
      </c>
      <c r="F473" s="29">
        <v>6.07</v>
      </c>
      <c r="G473" s="30" t="s">
        <v>39</v>
      </c>
      <c r="H473" s="27" t="s">
        <v>40</v>
      </c>
      <c r="I473" s="27" t="s">
        <v>49</v>
      </c>
      <c r="J473" s="27" t="s">
        <v>88</v>
      </c>
      <c r="K473" s="27" t="s">
        <v>73</v>
      </c>
      <c r="L473" s="31" t="s">
        <v>787</v>
      </c>
      <c r="M473" s="32">
        <v>0.36</v>
      </c>
      <c r="N473" s="27" t="s">
        <v>33</v>
      </c>
      <c r="O473" s="27" t="s">
        <v>60</v>
      </c>
      <c r="P473" s="27" t="s">
        <v>67</v>
      </c>
      <c r="Q473" s="27" t="s">
        <v>142</v>
      </c>
      <c r="R473" s="33">
        <v>98115</v>
      </c>
      <c r="S473" s="34">
        <v>42045</v>
      </c>
      <c r="T473" s="34">
        <v>42046</v>
      </c>
      <c r="U473" s="29">
        <v>-35.916400000000003</v>
      </c>
      <c r="V473" s="26">
        <v>10</v>
      </c>
      <c r="W473" s="29">
        <v>52.93</v>
      </c>
      <c r="X473" s="26">
        <v>88907</v>
      </c>
      <c r="Y473" s="35">
        <v>6.4</v>
      </c>
      <c r="Z473" s="1" t="s">
        <v>3013</v>
      </c>
      <c r="AA473" s="36">
        <v>0.49800000000000005</v>
      </c>
      <c r="AB473" s="54">
        <v>33.8752</v>
      </c>
      <c r="AC473" s="54">
        <v>1.9054800000000001</v>
      </c>
      <c r="AD473" s="36">
        <v>82.278400000000005</v>
      </c>
    </row>
    <row r="474" spans="1:30" s="37" customFormat="1" ht="15.75" customHeight="1" x14ac:dyDescent="0.2">
      <c r="A474" s="26">
        <v>1633</v>
      </c>
      <c r="B474" s="27" t="s">
        <v>1097</v>
      </c>
      <c r="C474" s="27" t="s">
        <v>3094</v>
      </c>
      <c r="D474" s="28">
        <v>0.03</v>
      </c>
      <c r="E474" s="29">
        <v>5.98</v>
      </c>
      <c r="F474" s="29">
        <v>3.85</v>
      </c>
      <c r="G474" s="30" t="s">
        <v>39</v>
      </c>
      <c r="H474" s="27" t="s">
        <v>71</v>
      </c>
      <c r="I474" s="27" t="s">
        <v>41</v>
      </c>
      <c r="J474" s="27" t="s">
        <v>42</v>
      </c>
      <c r="K474" s="27" t="s">
        <v>43</v>
      </c>
      <c r="L474" s="31" t="s">
        <v>1098</v>
      </c>
      <c r="M474" s="32">
        <v>0.68</v>
      </c>
      <c r="N474" s="27" t="s">
        <v>33</v>
      </c>
      <c r="O474" s="27" t="s">
        <v>34</v>
      </c>
      <c r="P474" s="27" t="s">
        <v>35</v>
      </c>
      <c r="Q474" s="27" t="s">
        <v>1099</v>
      </c>
      <c r="R474" s="33">
        <v>38637</v>
      </c>
      <c r="S474" s="34">
        <v>42045</v>
      </c>
      <c r="T474" s="34">
        <v>42047</v>
      </c>
      <c r="U474" s="29">
        <v>-76.106800000000007</v>
      </c>
      <c r="V474" s="26">
        <v>6</v>
      </c>
      <c r="W474" s="29">
        <v>38.54</v>
      </c>
      <c r="X474" s="26">
        <v>90531</v>
      </c>
      <c r="Y474" s="35">
        <v>20.89</v>
      </c>
      <c r="Z474" s="1" t="s">
        <v>3011</v>
      </c>
      <c r="AA474" s="36">
        <v>1.0764</v>
      </c>
      <c r="AB474" s="54">
        <v>12.332799999999997</v>
      </c>
      <c r="AC474" s="54">
        <v>4.367866666666667</v>
      </c>
      <c r="AD474" s="36">
        <v>109.72040000000001</v>
      </c>
    </row>
    <row r="475" spans="1:30" s="37" customFormat="1" ht="15.75" customHeight="1" x14ac:dyDescent="0.2">
      <c r="A475" s="26">
        <v>1132</v>
      </c>
      <c r="B475" s="27" t="s">
        <v>1093</v>
      </c>
      <c r="C475" s="27" t="s">
        <v>116</v>
      </c>
      <c r="D475" s="28">
        <v>0.06</v>
      </c>
      <c r="E475" s="29">
        <v>6.37</v>
      </c>
      <c r="F475" s="29">
        <v>5.19</v>
      </c>
      <c r="G475" s="30" t="s">
        <v>39</v>
      </c>
      <c r="H475" s="27" t="s">
        <v>94</v>
      </c>
      <c r="I475" s="27" t="s">
        <v>49</v>
      </c>
      <c r="J475" s="27" t="s">
        <v>72</v>
      </c>
      <c r="K475" s="27" t="s">
        <v>73</v>
      </c>
      <c r="L475" s="31" t="s">
        <v>907</v>
      </c>
      <c r="M475" s="32">
        <v>0.38</v>
      </c>
      <c r="N475" s="27" t="s">
        <v>33</v>
      </c>
      <c r="O475" s="27" t="s">
        <v>53</v>
      </c>
      <c r="P475" s="27" t="s">
        <v>187</v>
      </c>
      <c r="Q475" s="27" t="s">
        <v>1094</v>
      </c>
      <c r="R475" s="33">
        <v>76039</v>
      </c>
      <c r="S475" s="34">
        <v>42045</v>
      </c>
      <c r="T475" s="34">
        <v>42046</v>
      </c>
      <c r="U475" s="29">
        <v>-48.219499999999996</v>
      </c>
      <c r="V475" s="26">
        <v>6</v>
      </c>
      <c r="W475" s="29">
        <v>37.700000000000003</v>
      </c>
      <c r="X475" s="26">
        <v>88101</v>
      </c>
      <c r="Y475" s="35">
        <v>6.3100000000000005</v>
      </c>
      <c r="Z475" s="1" t="s">
        <v>3012</v>
      </c>
      <c r="AA475" s="36">
        <v>2.2931999999999997</v>
      </c>
      <c r="AB475" s="54">
        <v>23.374000000000002</v>
      </c>
      <c r="AC475" s="54">
        <v>2.387666666666667</v>
      </c>
      <c r="AD475" s="36">
        <v>78.436300000000003</v>
      </c>
    </row>
    <row r="476" spans="1:30" s="37" customFormat="1" ht="15.75" customHeight="1" x14ac:dyDescent="0.2">
      <c r="A476" s="26">
        <v>1267</v>
      </c>
      <c r="B476" s="27" t="s">
        <v>1075</v>
      </c>
      <c r="C476" s="27" t="s">
        <v>26</v>
      </c>
      <c r="D476" s="28">
        <v>0.01</v>
      </c>
      <c r="E476" s="29">
        <v>13.99</v>
      </c>
      <c r="F476" s="29">
        <v>7.51</v>
      </c>
      <c r="G476" s="30" t="s">
        <v>39</v>
      </c>
      <c r="H476" s="27" t="s">
        <v>94</v>
      </c>
      <c r="I476" s="27" t="s">
        <v>41</v>
      </c>
      <c r="J476" s="27" t="s">
        <v>57</v>
      </c>
      <c r="K476" s="27" t="s">
        <v>144</v>
      </c>
      <c r="L476" s="31" t="s">
        <v>1076</v>
      </c>
      <c r="M476" s="32">
        <v>0.39</v>
      </c>
      <c r="N476" s="27" t="s">
        <v>33</v>
      </c>
      <c r="O476" s="27" t="s">
        <v>34</v>
      </c>
      <c r="P476" s="27" t="s">
        <v>123</v>
      </c>
      <c r="Q476" s="27" t="s">
        <v>1077</v>
      </c>
      <c r="R476" s="33">
        <v>33433</v>
      </c>
      <c r="S476" s="34">
        <v>42045</v>
      </c>
      <c r="T476" s="34">
        <v>42046</v>
      </c>
      <c r="U476" s="29">
        <v>533.74199999999996</v>
      </c>
      <c r="V476" s="26">
        <v>2</v>
      </c>
      <c r="W476" s="29">
        <v>29.85</v>
      </c>
      <c r="X476" s="26">
        <v>89514</v>
      </c>
      <c r="Y476" s="35">
        <v>20.28</v>
      </c>
      <c r="Z476" s="1" t="s">
        <v>3011</v>
      </c>
      <c r="AA476" s="36">
        <v>0.27979999999999999</v>
      </c>
      <c r="AB476" s="54">
        <v>18.208500000000001</v>
      </c>
      <c r="AC476" s="54">
        <v>5.8207500000000003</v>
      </c>
      <c r="AD476" s="36">
        <v>-511.68179999999995</v>
      </c>
    </row>
    <row r="477" spans="1:30" s="37" customFormat="1" ht="15.75" customHeight="1" x14ac:dyDescent="0.2">
      <c r="A477" s="26">
        <v>1341</v>
      </c>
      <c r="B477" s="27" t="s">
        <v>1086</v>
      </c>
      <c r="C477" s="27" t="s">
        <v>48</v>
      </c>
      <c r="D477" s="28">
        <v>7.0000000000000007E-2</v>
      </c>
      <c r="E477" s="29">
        <v>5.98</v>
      </c>
      <c r="F477" s="29">
        <v>4.6900000000000004</v>
      </c>
      <c r="G477" s="30" t="s">
        <v>39</v>
      </c>
      <c r="H477" s="27" t="s">
        <v>71</v>
      </c>
      <c r="I477" s="27" t="s">
        <v>49</v>
      </c>
      <c r="J477" s="27" t="s">
        <v>78</v>
      </c>
      <c r="K477" s="27" t="s">
        <v>73</v>
      </c>
      <c r="L477" s="31" t="s">
        <v>229</v>
      </c>
      <c r="M477" s="32">
        <v>0.68</v>
      </c>
      <c r="N477" s="27" t="s">
        <v>33</v>
      </c>
      <c r="O477" s="27" t="s">
        <v>111</v>
      </c>
      <c r="P477" s="27" t="s">
        <v>320</v>
      </c>
      <c r="Q477" s="27" t="s">
        <v>1087</v>
      </c>
      <c r="R477" s="33">
        <v>17201</v>
      </c>
      <c r="S477" s="34">
        <v>42045</v>
      </c>
      <c r="T477" s="34">
        <v>42050</v>
      </c>
      <c r="U477" s="29">
        <v>-12.7088</v>
      </c>
      <c r="V477" s="26">
        <v>3</v>
      </c>
      <c r="W477" s="29">
        <v>20.03</v>
      </c>
      <c r="X477" s="26">
        <v>91244</v>
      </c>
      <c r="Y477" s="35">
        <v>5.95</v>
      </c>
      <c r="Z477" s="1" t="s">
        <v>3014</v>
      </c>
      <c r="AA477" s="36">
        <v>1.2558000000000002</v>
      </c>
      <c r="AB477" s="54">
        <v>6.4095999999999993</v>
      </c>
      <c r="AC477" s="54">
        <v>4.5401333333333334</v>
      </c>
      <c r="AD477" s="36">
        <v>26.792999999999999</v>
      </c>
    </row>
    <row r="478" spans="1:30" s="37" customFormat="1" ht="15.75" customHeight="1" x14ac:dyDescent="0.2">
      <c r="A478" s="26">
        <v>2303</v>
      </c>
      <c r="B478" s="27" t="s">
        <v>156</v>
      </c>
      <c r="C478" s="27" t="s">
        <v>26</v>
      </c>
      <c r="D478" s="28">
        <v>7.0000000000000007E-2</v>
      </c>
      <c r="E478" s="29">
        <v>270.98</v>
      </c>
      <c r="F478" s="29">
        <v>50</v>
      </c>
      <c r="G478" s="30" t="s">
        <v>27</v>
      </c>
      <c r="H478" s="27" t="s">
        <v>94</v>
      </c>
      <c r="I478" s="27" t="s">
        <v>29</v>
      </c>
      <c r="J478" s="27" t="s">
        <v>109</v>
      </c>
      <c r="K478" s="27" t="s">
        <v>58</v>
      </c>
      <c r="L478" s="31" t="s">
        <v>1100</v>
      </c>
      <c r="M478" s="32">
        <v>0.77</v>
      </c>
      <c r="N478" s="27" t="s">
        <v>33</v>
      </c>
      <c r="O478" s="27" t="s">
        <v>111</v>
      </c>
      <c r="P478" s="27" t="s">
        <v>112</v>
      </c>
      <c r="Q478" s="27" t="s">
        <v>113</v>
      </c>
      <c r="R478" s="33">
        <v>10011</v>
      </c>
      <c r="S478" s="34">
        <v>42046</v>
      </c>
      <c r="T478" s="34">
        <v>42048</v>
      </c>
      <c r="U478" s="29">
        <v>-96.05</v>
      </c>
      <c r="V478" s="26">
        <v>36</v>
      </c>
      <c r="W478" s="29">
        <v>9757.48</v>
      </c>
      <c r="X478" s="26">
        <v>47493</v>
      </c>
      <c r="Y478" s="35">
        <v>270.91000000000003</v>
      </c>
      <c r="Z478" s="1" t="s">
        <v>3014</v>
      </c>
      <c r="AA478" s="36">
        <v>682.8696000000001</v>
      </c>
      <c r="AB478" s="54">
        <v>2244.2203999999997</v>
      </c>
      <c r="AC478" s="54">
        <v>208.70165555555553</v>
      </c>
      <c r="AD478" s="36">
        <v>9120.6603999999988</v>
      </c>
    </row>
    <row r="479" spans="1:30" s="37" customFormat="1" ht="15.75" customHeight="1" x14ac:dyDescent="0.2">
      <c r="A479" s="26">
        <v>2489</v>
      </c>
      <c r="B479" s="27" t="s">
        <v>451</v>
      </c>
      <c r="C479" s="27" t="s">
        <v>38</v>
      </c>
      <c r="D479" s="28">
        <v>0.01</v>
      </c>
      <c r="E479" s="29">
        <v>2036.48</v>
      </c>
      <c r="F479" s="29">
        <v>14.7</v>
      </c>
      <c r="G479" s="30" t="s">
        <v>27</v>
      </c>
      <c r="H479" s="27" t="s">
        <v>40</v>
      </c>
      <c r="I479" s="27" t="s">
        <v>41</v>
      </c>
      <c r="J479" s="27" t="s">
        <v>57</v>
      </c>
      <c r="K479" s="27" t="s">
        <v>58</v>
      </c>
      <c r="L479" s="31" t="s">
        <v>59</v>
      </c>
      <c r="M479" s="32">
        <v>0.55000000000000004</v>
      </c>
      <c r="N479" s="27" t="s">
        <v>33</v>
      </c>
      <c r="O479" s="27" t="s">
        <v>60</v>
      </c>
      <c r="P479" s="27" t="s">
        <v>90</v>
      </c>
      <c r="Q479" s="27" t="s">
        <v>453</v>
      </c>
      <c r="R479" s="33">
        <v>94521</v>
      </c>
      <c r="S479" s="34">
        <v>42046</v>
      </c>
      <c r="T479" s="34">
        <v>42048</v>
      </c>
      <c r="U479" s="29">
        <v>-1596.7457999999999</v>
      </c>
      <c r="V479" s="26">
        <v>2</v>
      </c>
      <c r="W479" s="29">
        <v>3786.84</v>
      </c>
      <c r="X479" s="26">
        <v>86883</v>
      </c>
      <c r="Y479" s="35">
        <v>270.91000000000003</v>
      </c>
      <c r="Z479" s="1" t="s">
        <v>3013</v>
      </c>
      <c r="AA479" s="36">
        <v>40.729599999999998</v>
      </c>
      <c r="AB479" s="54">
        <v>1704.078</v>
      </c>
      <c r="AC479" s="54">
        <v>1041.3810000000001</v>
      </c>
      <c r="AD479" s="36">
        <v>5328.1562000000004</v>
      </c>
    </row>
    <row r="480" spans="1:30" s="37" customFormat="1" ht="15.75" customHeight="1" x14ac:dyDescent="0.2">
      <c r="A480" s="26">
        <v>2072</v>
      </c>
      <c r="B480" s="27" t="s">
        <v>920</v>
      </c>
      <c r="C480" s="27" t="s">
        <v>38</v>
      </c>
      <c r="D480" s="28">
        <v>0.09</v>
      </c>
      <c r="E480" s="29">
        <v>260.98</v>
      </c>
      <c r="F480" s="29">
        <v>41.91</v>
      </c>
      <c r="G480" s="30" t="s">
        <v>27</v>
      </c>
      <c r="H480" s="27" t="s">
        <v>94</v>
      </c>
      <c r="I480" s="27" t="s">
        <v>29</v>
      </c>
      <c r="J480" s="27" t="s">
        <v>117</v>
      </c>
      <c r="K480" s="27" t="s">
        <v>31</v>
      </c>
      <c r="L480" s="31" t="s">
        <v>435</v>
      </c>
      <c r="M480" s="32">
        <v>0.59</v>
      </c>
      <c r="N480" s="27" t="s">
        <v>33</v>
      </c>
      <c r="O480" s="27" t="s">
        <v>53</v>
      </c>
      <c r="P480" s="27" t="s">
        <v>289</v>
      </c>
      <c r="Q480" s="27" t="s">
        <v>922</v>
      </c>
      <c r="R480" s="33">
        <v>48505</v>
      </c>
      <c r="S480" s="34">
        <v>42046</v>
      </c>
      <c r="T480" s="34">
        <v>42048</v>
      </c>
      <c r="U480" s="29">
        <v>1307.2692</v>
      </c>
      <c r="V480" s="26">
        <v>14</v>
      </c>
      <c r="W480" s="29">
        <v>3377.06</v>
      </c>
      <c r="X480" s="26">
        <v>88556</v>
      </c>
      <c r="Y480" s="35">
        <v>4.03</v>
      </c>
      <c r="Z480" s="1" t="s">
        <v>3012</v>
      </c>
      <c r="AA480" s="36">
        <v>328.83479999999997</v>
      </c>
      <c r="AB480" s="54">
        <v>1384.5946000000001</v>
      </c>
      <c r="AC480" s="54">
        <v>142.31895714285713</v>
      </c>
      <c r="AD480" s="36">
        <v>1699.0459999999998</v>
      </c>
    </row>
    <row r="481" spans="1:30" s="37" customFormat="1" ht="15.75" customHeight="1" x14ac:dyDescent="0.2">
      <c r="A481" s="26">
        <v>2302</v>
      </c>
      <c r="B481" s="27" t="s">
        <v>151</v>
      </c>
      <c r="C481" s="27" t="s">
        <v>26</v>
      </c>
      <c r="D481" s="28">
        <v>7.0000000000000007E-2</v>
      </c>
      <c r="E481" s="29">
        <v>270.98</v>
      </c>
      <c r="F481" s="29">
        <v>50</v>
      </c>
      <c r="G481" s="30" t="s">
        <v>27</v>
      </c>
      <c r="H481" s="27" t="s">
        <v>94</v>
      </c>
      <c r="I481" s="27" t="s">
        <v>29</v>
      </c>
      <c r="J481" s="27" t="s">
        <v>109</v>
      </c>
      <c r="K481" s="27" t="s">
        <v>58</v>
      </c>
      <c r="L481" s="31" t="s">
        <v>1100</v>
      </c>
      <c r="M481" s="32">
        <v>0.77</v>
      </c>
      <c r="N481" s="27" t="s">
        <v>33</v>
      </c>
      <c r="O481" s="27" t="s">
        <v>34</v>
      </c>
      <c r="P481" s="27" t="s">
        <v>123</v>
      </c>
      <c r="Q481" s="27" t="s">
        <v>154</v>
      </c>
      <c r="R481" s="33">
        <v>32404</v>
      </c>
      <c r="S481" s="34">
        <v>42046</v>
      </c>
      <c r="T481" s="34">
        <v>42048</v>
      </c>
      <c r="U481" s="29">
        <v>27.725999999999999</v>
      </c>
      <c r="V481" s="26">
        <v>9</v>
      </c>
      <c r="W481" s="29">
        <v>2439.37</v>
      </c>
      <c r="X481" s="26">
        <v>87695</v>
      </c>
      <c r="Y481" s="35">
        <v>4.9400000000000004</v>
      </c>
      <c r="Z481" s="1" t="s">
        <v>3011</v>
      </c>
      <c r="AA481" s="36">
        <v>170.71740000000003</v>
      </c>
      <c r="AB481" s="54">
        <v>561.05509999999992</v>
      </c>
      <c r="AC481" s="54">
        <v>208.70165555555553</v>
      </c>
      <c r="AD481" s="36">
        <v>2190.9265999999998</v>
      </c>
    </row>
    <row r="482" spans="1:30" s="37" customFormat="1" ht="15.75" customHeight="1" x14ac:dyDescent="0.2">
      <c r="A482" s="26">
        <v>2778</v>
      </c>
      <c r="B482" s="27" t="s">
        <v>1106</v>
      </c>
      <c r="C482" s="27" t="s">
        <v>38</v>
      </c>
      <c r="D482" s="28">
        <v>0.05</v>
      </c>
      <c r="E482" s="29">
        <v>205.99</v>
      </c>
      <c r="F482" s="29">
        <v>8.99</v>
      </c>
      <c r="G482" s="30" t="s">
        <v>87</v>
      </c>
      <c r="H482" s="27" t="s">
        <v>40</v>
      </c>
      <c r="I482" s="27" t="s">
        <v>41</v>
      </c>
      <c r="J482" s="27" t="s">
        <v>135</v>
      </c>
      <c r="K482" s="27" t="s">
        <v>73</v>
      </c>
      <c r="L482" s="31" t="s">
        <v>1107</v>
      </c>
      <c r="M482" s="32">
        <v>0.57999999999999996</v>
      </c>
      <c r="N482" s="27" t="s">
        <v>33</v>
      </c>
      <c r="O482" s="27" t="s">
        <v>34</v>
      </c>
      <c r="P482" s="27" t="s">
        <v>97</v>
      </c>
      <c r="Q482" s="27" t="s">
        <v>1108</v>
      </c>
      <c r="R482" s="33">
        <v>28403</v>
      </c>
      <c r="S482" s="34">
        <v>42046</v>
      </c>
      <c r="T482" s="34">
        <v>42047</v>
      </c>
      <c r="U482" s="29">
        <v>111.05249999999999</v>
      </c>
      <c r="V482" s="26">
        <v>12</v>
      </c>
      <c r="W482" s="29">
        <v>2118.9899999999998</v>
      </c>
      <c r="X482" s="26">
        <v>87160</v>
      </c>
      <c r="Y482" s="35">
        <v>260.89000000000004</v>
      </c>
      <c r="Z482" s="1" t="s">
        <v>3011</v>
      </c>
      <c r="AA482" s="36">
        <v>123.59400000000002</v>
      </c>
      <c r="AB482" s="54">
        <v>889.97580000000005</v>
      </c>
      <c r="AC482" s="54">
        <v>102.41784999999999</v>
      </c>
      <c r="AD482" s="36">
        <v>1875.3534999999997</v>
      </c>
    </row>
    <row r="483" spans="1:30" s="37" customFormat="1" ht="15.75" customHeight="1" x14ac:dyDescent="0.2">
      <c r="A483" s="26">
        <v>1815</v>
      </c>
      <c r="B483" s="27" t="s">
        <v>1109</v>
      </c>
      <c r="C483" s="27" t="s">
        <v>116</v>
      </c>
      <c r="D483" s="28">
        <v>0.06</v>
      </c>
      <c r="E483" s="29">
        <v>90.97</v>
      </c>
      <c r="F483" s="29">
        <v>14</v>
      </c>
      <c r="G483" s="30" t="s">
        <v>27</v>
      </c>
      <c r="H483" s="27" t="s">
        <v>71</v>
      </c>
      <c r="I483" s="27" t="s">
        <v>41</v>
      </c>
      <c r="J483" s="27" t="s">
        <v>57</v>
      </c>
      <c r="K483" s="27" t="s">
        <v>58</v>
      </c>
      <c r="L483" s="31" t="s">
        <v>1110</v>
      </c>
      <c r="M483" s="32">
        <v>0.36</v>
      </c>
      <c r="N483" s="27" t="s">
        <v>33</v>
      </c>
      <c r="O483" s="27" t="s">
        <v>34</v>
      </c>
      <c r="P483" s="27" t="s">
        <v>35</v>
      </c>
      <c r="Q483" s="27" t="s">
        <v>1111</v>
      </c>
      <c r="R483" s="33">
        <v>39208</v>
      </c>
      <c r="S483" s="34">
        <v>42046</v>
      </c>
      <c r="T483" s="34">
        <v>42047</v>
      </c>
      <c r="U483" s="29">
        <v>47.334000000000003</v>
      </c>
      <c r="V483" s="26">
        <v>14</v>
      </c>
      <c r="W483" s="29">
        <v>1263.3499999999999</v>
      </c>
      <c r="X483" s="26">
        <v>90525</v>
      </c>
      <c r="Y483" s="35">
        <v>10.51</v>
      </c>
      <c r="Z483" s="1" t="s">
        <v>3011</v>
      </c>
      <c r="AA483" s="36">
        <v>76.4148</v>
      </c>
      <c r="AB483" s="54">
        <v>808.54399999999998</v>
      </c>
      <c r="AC483" s="54">
        <v>32.486142857142859</v>
      </c>
      <c r="AD483" s="36">
        <v>1125.6011999999998</v>
      </c>
    </row>
    <row r="484" spans="1:30" s="37" customFormat="1" ht="15.75" customHeight="1" x14ac:dyDescent="0.2">
      <c r="A484" s="26">
        <v>2778</v>
      </c>
      <c r="B484" s="27" t="s">
        <v>1106</v>
      </c>
      <c r="C484" s="27" t="s">
        <v>38</v>
      </c>
      <c r="D484" s="28">
        <v>0.08</v>
      </c>
      <c r="E484" s="29">
        <v>205.99</v>
      </c>
      <c r="F484" s="29">
        <v>8.99</v>
      </c>
      <c r="G484" s="30" t="s">
        <v>39</v>
      </c>
      <c r="H484" s="27" t="s">
        <v>40</v>
      </c>
      <c r="I484" s="27" t="s">
        <v>41</v>
      </c>
      <c r="J484" s="27" t="s">
        <v>135</v>
      </c>
      <c r="K484" s="27" t="s">
        <v>73</v>
      </c>
      <c r="L484" s="31" t="s">
        <v>663</v>
      </c>
      <c r="M484" s="32">
        <v>0.56000000000000005</v>
      </c>
      <c r="N484" s="27" t="s">
        <v>33</v>
      </c>
      <c r="O484" s="27" t="s">
        <v>34</v>
      </c>
      <c r="P484" s="27" t="s">
        <v>97</v>
      </c>
      <c r="Q484" s="27" t="s">
        <v>1108</v>
      </c>
      <c r="R484" s="33">
        <v>28403</v>
      </c>
      <c r="S484" s="34">
        <v>42046</v>
      </c>
      <c r="T484" s="34">
        <v>42047</v>
      </c>
      <c r="U484" s="29">
        <v>-1963.752</v>
      </c>
      <c r="V484" s="26">
        <v>5</v>
      </c>
      <c r="W484" s="29">
        <v>837.64</v>
      </c>
      <c r="X484" s="26">
        <v>87160</v>
      </c>
      <c r="Y484" s="35">
        <v>5.9600000000000009</v>
      </c>
      <c r="Z484" s="1" t="s">
        <v>3011</v>
      </c>
      <c r="AA484" s="36">
        <v>82.396000000000015</v>
      </c>
      <c r="AB484" s="54">
        <v>368.56159999999994</v>
      </c>
      <c r="AC484" s="54">
        <v>93.81568</v>
      </c>
      <c r="AD484" s="36">
        <v>2710.0059999999999</v>
      </c>
    </row>
    <row r="485" spans="1:30" s="37" customFormat="1" ht="15.75" customHeight="1" x14ac:dyDescent="0.2">
      <c r="A485" s="26">
        <v>2072</v>
      </c>
      <c r="B485" s="27" t="s">
        <v>920</v>
      </c>
      <c r="C485" s="27" t="s">
        <v>38</v>
      </c>
      <c r="D485" s="28">
        <v>0.01</v>
      </c>
      <c r="E485" s="29">
        <v>10.52</v>
      </c>
      <c r="F485" s="29">
        <v>7.94</v>
      </c>
      <c r="G485" s="30" t="s">
        <v>39</v>
      </c>
      <c r="H485" s="27" t="s">
        <v>94</v>
      </c>
      <c r="I485" s="27" t="s">
        <v>29</v>
      </c>
      <c r="J485" s="27" t="s">
        <v>126</v>
      </c>
      <c r="K485" s="27" t="s">
        <v>43</v>
      </c>
      <c r="L485" s="31" t="s">
        <v>1104</v>
      </c>
      <c r="M485" s="32">
        <v>0.52</v>
      </c>
      <c r="N485" s="27" t="s">
        <v>33</v>
      </c>
      <c r="O485" s="27" t="s">
        <v>53</v>
      </c>
      <c r="P485" s="27" t="s">
        <v>289</v>
      </c>
      <c r="Q485" s="27" t="s">
        <v>922</v>
      </c>
      <c r="R485" s="33">
        <v>48505</v>
      </c>
      <c r="S485" s="34">
        <v>42046</v>
      </c>
      <c r="T485" s="34">
        <v>42048</v>
      </c>
      <c r="U485" s="29">
        <v>-15.8184</v>
      </c>
      <c r="V485" s="26">
        <v>11</v>
      </c>
      <c r="W485" s="29">
        <v>123.93</v>
      </c>
      <c r="X485" s="26">
        <v>88556</v>
      </c>
      <c r="Y485" s="35">
        <v>2036.47</v>
      </c>
      <c r="Z485" s="1" t="s">
        <v>3012</v>
      </c>
      <c r="AA485" s="36">
        <v>1.1572</v>
      </c>
      <c r="AB485" s="54">
        <v>59.486400000000003</v>
      </c>
      <c r="AC485" s="54">
        <v>5.8585090909090916</v>
      </c>
      <c r="AD485" s="36">
        <v>130.65120000000002</v>
      </c>
    </row>
    <row r="486" spans="1:30" s="37" customFormat="1" ht="15.75" customHeight="1" x14ac:dyDescent="0.2">
      <c r="A486" s="26">
        <v>2072</v>
      </c>
      <c r="B486" s="27" t="s">
        <v>920</v>
      </c>
      <c r="C486" s="27" t="s">
        <v>38</v>
      </c>
      <c r="D486" s="28">
        <v>0.02</v>
      </c>
      <c r="E486" s="29">
        <v>5.98</v>
      </c>
      <c r="F486" s="29">
        <v>7.5</v>
      </c>
      <c r="G486" s="30" t="s">
        <v>87</v>
      </c>
      <c r="H486" s="27" t="s">
        <v>94</v>
      </c>
      <c r="I486" s="27" t="s">
        <v>49</v>
      </c>
      <c r="J486" s="27" t="s">
        <v>88</v>
      </c>
      <c r="K486" s="27" t="s">
        <v>73</v>
      </c>
      <c r="L486" s="31" t="s">
        <v>1105</v>
      </c>
      <c r="M486" s="32">
        <v>0.4</v>
      </c>
      <c r="N486" s="27" t="s">
        <v>33</v>
      </c>
      <c r="O486" s="27" t="s">
        <v>53</v>
      </c>
      <c r="P486" s="27" t="s">
        <v>289</v>
      </c>
      <c r="Q486" s="27" t="s">
        <v>922</v>
      </c>
      <c r="R486" s="33">
        <v>48505</v>
      </c>
      <c r="S486" s="34">
        <v>42046</v>
      </c>
      <c r="T486" s="34">
        <v>42048</v>
      </c>
      <c r="U486" s="29">
        <v>-55.8324</v>
      </c>
      <c r="V486" s="26">
        <v>14</v>
      </c>
      <c r="W486" s="29">
        <v>93.96</v>
      </c>
      <c r="X486" s="26">
        <v>88556</v>
      </c>
      <c r="Y486" s="35">
        <v>205.94</v>
      </c>
      <c r="Z486" s="1" t="s">
        <v>3012</v>
      </c>
      <c r="AA486" s="36">
        <v>1.6744000000000001</v>
      </c>
      <c r="AB486" s="54">
        <v>56.375999999999998</v>
      </c>
      <c r="AC486" s="54">
        <v>2.6845714285714286</v>
      </c>
      <c r="AD486" s="36">
        <v>140.61799999999999</v>
      </c>
    </row>
    <row r="487" spans="1:30" s="37" customFormat="1" ht="15.75" customHeight="1" x14ac:dyDescent="0.2">
      <c r="A487" s="26">
        <v>757</v>
      </c>
      <c r="B487" s="27" t="s">
        <v>1112</v>
      </c>
      <c r="C487" s="27" t="s">
        <v>3094</v>
      </c>
      <c r="D487" s="28">
        <v>0.03</v>
      </c>
      <c r="E487" s="29">
        <v>37.94</v>
      </c>
      <c r="F487" s="29">
        <v>5.08</v>
      </c>
      <c r="G487" s="30" t="s">
        <v>39</v>
      </c>
      <c r="H487" s="27" t="s">
        <v>71</v>
      </c>
      <c r="I487" s="27" t="s">
        <v>49</v>
      </c>
      <c r="J487" s="27" t="s">
        <v>88</v>
      </c>
      <c r="K487" s="27" t="s">
        <v>51</v>
      </c>
      <c r="L487" s="31" t="s">
        <v>1113</v>
      </c>
      <c r="M487" s="32">
        <v>0.38</v>
      </c>
      <c r="N487" s="27" t="s">
        <v>33</v>
      </c>
      <c r="O487" s="27" t="s">
        <v>60</v>
      </c>
      <c r="P487" s="27" t="s">
        <v>139</v>
      </c>
      <c r="Q487" s="27" t="s">
        <v>1114</v>
      </c>
      <c r="R487" s="33">
        <v>97062</v>
      </c>
      <c r="S487" s="34">
        <v>42046</v>
      </c>
      <c r="T487" s="34">
        <v>42048</v>
      </c>
      <c r="U487" s="29">
        <v>-7.5244</v>
      </c>
      <c r="V487" s="26">
        <v>1</v>
      </c>
      <c r="W487" s="29">
        <v>39.97</v>
      </c>
      <c r="X487" s="26">
        <v>90258</v>
      </c>
      <c r="Y487" s="35">
        <v>205.91</v>
      </c>
      <c r="Z487" s="1" t="s">
        <v>3013</v>
      </c>
      <c r="AA487" s="36">
        <v>1.1381999999999999</v>
      </c>
      <c r="AB487" s="54">
        <v>24.781399999999998</v>
      </c>
      <c r="AC487" s="54">
        <v>15.188599999999999</v>
      </c>
      <c r="AD487" s="36">
        <v>41.276199999999996</v>
      </c>
    </row>
    <row r="488" spans="1:30" s="37" customFormat="1" ht="15.75" customHeight="1" x14ac:dyDescent="0.2">
      <c r="A488" s="26">
        <v>1354</v>
      </c>
      <c r="B488" s="27" t="s">
        <v>1101</v>
      </c>
      <c r="C488" s="27" t="s">
        <v>38</v>
      </c>
      <c r="D488" s="28">
        <v>0.04</v>
      </c>
      <c r="E488" s="29">
        <v>4.9800000000000004</v>
      </c>
      <c r="F488" s="29">
        <v>0.49</v>
      </c>
      <c r="G488" s="30" t="s">
        <v>39</v>
      </c>
      <c r="H488" s="27" t="s">
        <v>40</v>
      </c>
      <c r="I488" s="27" t="s">
        <v>49</v>
      </c>
      <c r="J488" s="27" t="s">
        <v>152</v>
      </c>
      <c r="K488" s="27" t="s">
        <v>73</v>
      </c>
      <c r="L488" s="31" t="s">
        <v>1103</v>
      </c>
      <c r="M488" s="32">
        <v>0.39</v>
      </c>
      <c r="N488" s="27" t="s">
        <v>33</v>
      </c>
      <c r="O488" s="27" t="s">
        <v>53</v>
      </c>
      <c r="P488" s="27" t="s">
        <v>187</v>
      </c>
      <c r="Q488" s="27" t="s">
        <v>1102</v>
      </c>
      <c r="R488" s="33">
        <v>76086</v>
      </c>
      <c r="S488" s="34">
        <v>42046</v>
      </c>
      <c r="T488" s="34">
        <v>42048</v>
      </c>
      <c r="U488" s="29">
        <v>4.4104000000000001</v>
      </c>
      <c r="V488" s="26">
        <v>2</v>
      </c>
      <c r="W488" s="29">
        <v>10.039999999999999</v>
      </c>
      <c r="X488" s="26">
        <v>91209</v>
      </c>
      <c r="Y488" s="35">
        <v>90.91</v>
      </c>
      <c r="Z488" s="1" t="s">
        <v>3012</v>
      </c>
      <c r="AA488" s="36">
        <v>0.39840000000000003</v>
      </c>
      <c r="AB488" s="54">
        <v>6.1243999999999996</v>
      </c>
      <c r="AC488" s="54">
        <v>1.9578</v>
      </c>
      <c r="AD488" s="36">
        <v>4.7411999999999992</v>
      </c>
    </row>
    <row r="489" spans="1:30" s="37" customFormat="1" ht="15.75" customHeight="1" x14ac:dyDescent="0.2">
      <c r="A489" s="26">
        <v>1354</v>
      </c>
      <c r="B489" s="27" t="s">
        <v>1101</v>
      </c>
      <c r="C489" s="27" t="s">
        <v>38</v>
      </c>
      <c r="D489" s="28">
        <v>0.1</v>
      </c>
      <c r="E489" s="29">
        <v>4.13</v>
      </c>
      <c r="F489" s="29">
        <v>0.99</v>
      </c>
      <c r="G489" s="30" t="s">
        <v>39</v>
      </c>
      <c r="H489" s="27" t="s">
        <v>40</v>
      </c>
      <c r="I489" s="27" t="s">
        <v>49</v>
      </c>
      <c r="J489" s="27" t="s">
        <v>152</v>
      </c>
      <c r="K489" s="27" t="s">
        <v>73</v>
      </c>
      <c r="L489" s="31" t="s">
        <v>326</v>
      </c>
      <c r="M489" s="32">
        <v>0.39</v>
      </c>
      <c r="N489" s="27" t="s">
        <v>33</v>
      </c>
      <c r="O489" s="27" t="s">
        <v>53</v>
      </c>
      <c r="P489" s="27" t="s">
        <v>187</v>
      </c>
      <c r="Q489" s="27" t="s">
        <v>1102</v>
      </c>
      <c r="R489" s="33">
        <v>76086</v>
      </c>
      <c r="S489" s="34">
        <v>42046</v>
      </c>
      <c r="T489" s="34">
        <v>42046</v>
      </c>
      <c r="U489" s="29">
        <v>-1.0711999999999999</v>
      </c>
      <c r="V489" s="26">
        <v>2</v>
      </c>
      <c r="W489" s="29">
        <v>8.3000000000000007</v>
      </c>
      <c r="X489" s="26">
        <v>91209</v>
      </c>
      <c r="Y489" s="35">
        <v>37.909999999999997</v>
      </c>
      <c r="Z489" s="1" t="s">
        <v>3012</v>
      </c>
      <c r="AA489" s="36">
        <v>0.82600000000000007</v>
      </c>
      <c r="AB489" s="54">
        <v>5.0630000000000006</v>
      </c>
      <c r="AC489" s="54">
        <v>1.6185000000000003</v>
      </c>
      <c r="AD489" s="36">
        <v>7.555200000000001</v>
      </c>
    </row>
    <row r="490" spans="1:30" s="37" customFormat="1" ht="15.75" customHeight="1" x14ac:dyDescent="0.2">
      <c r="A490" s="26">
        <v>16</v>
      </c>
      <c r="B490" s="27" t="s">
        <v>1115</v>
      </c>
      <c r="C490" s="27" t="s">
        <v>38</v>
      </c>
      <c r="D490" s="28">
        <v>0.05</v>
      </c>
      <c r="E490" s="29">
        <v>115.99</v>
      </c>
      <c r="F490" s="29">
        <v>2.5</v>
      </c>
      <c r="G490" s="30" t="s">
        <v>39</v>
      </c>
      <c r="H490" s="27" t="s">
        <v>3095</v>
      </c>
      <c r="I490" s="27" t="s">
        <v>41</v>
      </c>
      <c r="J490" s="27" t="s">
        <v>135</v>
      </c>
      <c r="K490" s="27" t="s">
        <v>73</v>
      </c>
      <c r="L490" s="31" t="s">
        <v>1118</v>
      </c>
      <c r="M490" s="32">
        <v>0.55000000000000004</v>
      </c>
      <c r="N490" s="27" t="s">
        <v>33</v>
      </c>
      <c r="O490" s="27" t="s">
        <v>111</v>
      </c>
      <c r="P490" s="27" t="s">
        <v>112</v>
      </c>
      <c r="Q490" s="27" t="s">
        <v>1117</v>
      </c>
      <c r="R490" s="33">
        <v>13210</v>
      </c>
      <c r="S490" s="34">
        <v>42047</v>
      </c>
      <c r="T490" s="34">
        <v>42049</v>
      </c>
      <c r="U490" s="29">
        <v>652.73310000000004</v>
      </c>
      <c r="V490" s="26">
        <v>10</v>
      </c>
      <c r="W490" s="29">
        <v>945.99</v>
      </c>
      <c r="X490" s="26">
        <v>86836</v>
      </c>
      <c r="Y490" s="35">
        <v>2.94</v>
      </c>
      <c r="Z490" s="1" t="s">
        <v>3014</v>
      </c>
      <c r="AA490" s="36">
        <v>57.995000000000005</v>
      </c>
      <c r="AB490" s="54">
        <v>425.69549999999998</v>
      </c>
      <c r="AC490" s="54">
        <v>52.029450000000004</v>
      </c>
      <c r="AD490" s="36">
        <v>232.76189999999997</v>
      </c>
    </row>
    <row r="491" spans="1:30" s="37" customFormat="1" ht="15.75" customHeight="1" x14ac:dyDescent="0.2">
      <c r="A491" s="26">
        <v>1298</v>
      </c>
      <c r="B491" s="27" t="s">
        <v>1139</v>
      </c>
      <c r="C491" s="27" t="s">
        <v>3094</v>
      </c>
      <c r="D491" s="28">
        <v>0.04</v>
      </c>
      <c r="E491" s="29">
        <v>150.97999999999999</v>
      </c>
      <c r="F491" s="29">
        <v>13.99</v>
      </c>
      <c r="G491" s="30" t="s">
        <v>39</v>
      </c>
      <c r="H491" s="27" t="s">
        <v>71</v>
      </c>
      <c r="I491" s="27" t="s">
        <v>41</v>
      </c>
      <c r="J491" s="27" t="s">
        <v>57</v>
      </c>
      <c r="K491" s="27" t="s">
        <v>144</v>
      </c>
      <c r="L491" s="31" t="s">
        <v>782</v>
      </c>
      <c r="M491" s="32">
        <v>0.38</v>
      </c>
      <c r="N491" s="27" t="s">
        <v>33</v>
      </c>
      <c r="O491" s="27" t="s">
        <v>53</v>
      </c>
      <c r="P491" s="27" t="s">
        <v>187</v>
      </c>
      <c r="Q491" s="27" t="s">
        <v>1140</v>
      </c>
      <c r="R491" s="33">
        <v>75482</v>
      </c>
      <c r="S491" s="34">
        <v>42047</v>
      </c>
      <c r="T491" s="34">
        <v>42050</v>
      </c>
      <c r="U491" s="29">
        <v>606.05460000000005</v>
      </c>
      <c r="V491" s="26">
        <v>6</v>
      </c>
      <c r="W491" s="29">
        <v>878.34</v>
      </c>
      <c r="X491" s="26">
        <v>90662</v>
      </c>
      <c r="Y491" s="35">
        <v>115.94</v>
      </c>
      <c r="Z491" s="1" t="s">
        <v>3012</v>
      </c>
      <c r="AA491" s="36">
        <v>36.235199999999999</v>
      </c>
      <c r="AB491" s="54">
        <v>544.57079999999996</v>
      </c>
      <c r="AC491" s="54">
        <v>55.628200000000007</v>
      </c>
      <c r="AD491" s="36">
        <v>222.06020000000001</v>
      </c>
    </row>
    <row r="492" spans="1:30" s="37" customFormat="1" ht="15.75" customHeight="1" x14ac:dyDescent="0.2">
      <c r="A492" s="26">
        <v>1298</v>
      </c>
      <c r="B492" s="27" t="s">
        <v>1139</v>
      </c>
      <c r="C492" s="27" t="s">
        <v>3094</v>
      </c>
      <c r="D492" s="28">
        <v>0.04</v>
      </c>
      <c r="E492" s="29">
        <v>176.19</v>
      </c>
      <c r="F492" s="29">
        <v>11.87</v>
      </c>
      <c r="G492" s="30" t="s">
        <v>39</v>
      </c>
      <c r="H492" s="27" t="s">
        <v>71</v>
      </c>
      <c r="I492" s="27" t="s">
        <v>49</v>
      </c>
      <c r="J492" s="27" t="s">
        <v>78</v>
      </c>
      <c r="K492" s="27" t="s">
        <v>73</v>
      </c>
      <c r="L492" s="31" t="s">
        <v>1141</v>
      </c>
      <c r="M492" s="32">
        <v>0.62</v>
      </c>
      <c r="N492" s="27" t="s">
        <v>33</v>
      </c>
      <c r="O492" s="27" t="s">
        <v>53</v>
      </c>
      <c r="P492" s="27" t="s">
        <v>187</v>
      </c>
      <c r="Q492" s="27" t="s">
        <v>1140</v>
      </c>
      <c r="R492" s="33">
        <v>75482</v>
      </c>
      <c r="S492" s="34">
        <v>42047</v>
      </c>
      <c r="T492" s="34">
        <v>42049</v>
      </c>
      <c r="U492" s="29">
        <v>320.10000000000002</v>
      </c>
      <c r="V492" s="26">
        <v>4</v>
      </c>
      <c r="W492" s="29">
        <v>676.57</v>
      </c>
      <c r="X492" s="26">
        <v>90662</v>
      </c>
      <c r="Y492" s="35">
        <v>58</v>
      </c>
      <c r="Z492" s="1" t="s">
        <v>3012</v>
      </c>
      <c r="AA492" s="36">
        <v>28.1904</v>
      </c>
      <c r="AB492" s="54">
        <v>257.09660000000002</v>
      </c>
      <c r="AC492" s="54">
        <v>104.86835000000001</v>
      </c>
      <c r="AD492" s="36">
        <v>316.40960000000001</v>
      </c>
    </row>
    <row r="493" spans="1:30" s="37" customFormat="1" ht="15.75" customHeight="1" x14ac:dyDescent="0.2">
      <c r="A493" s="26">
        <v>3046</v>
      </c>
      <c r="B493" s="27" t="s">
        <v>1124</v>
      </c>
      <c r="C493" s="27" t="s">
        <v>38</v>
      </c>
      <c r="D493" s="28">
        <v>0.05</v>
      </c>
      <c r="E493" s="29">
        <v>120.98</v>
      </c>
      <c r="F493" s="29">
        <v>30</v>
      </c>
      <c r="G493" s="30" t="s">
        <v>27</v>
      </c>
      <c r="H493" s="27" t="s">
        <v>3095</v>
      </c>
      <c r="I493" s="27" t="s">
        <v>29</v>
      </c>
      <c r="J493" s="27" t="s">
        <v>109</v>
      </c>
      <c r="K493" s="27" t="s">
        <v>58</v>
      </c>
      <c r="L493" s="31" t="s">
        <v>1125</v>
      </c>
      <c r="M493" s="32">
        <v>0.64</v>
      </c>
      <c r="N493" s="27" t="s">
        <v>33</v>
      </c>
      <c r="O493" s="27" t="s">
        <v>53</v>
      </c>
      <c r="P493" s="27" t="s">
        <v>537</v>
      </c>
      <c r="Q493" s="27" t="s">
        <v>758</v>
      </c>
      <c r="R493" s="33">
        <v>66209</v>
      </c>
      <c r="S493" s="34">
        <v>42047</v>
      </c>
      <c r="T493" s="34">
        <v>42049</v>
      </c>
      <c r="U493" s="29">
        <v>-78.759200000000007</v>
      </c>
      <c r="V493" s="26">
        <v>2</v>
      </c>
      <c r="W493" s="29">
        <v>251.06</v>
      </c>
      <c r="X493" s="26">
        <v>86103</v>
      </c>
      <c r="Y493" s="35">
        <v>80.47</v>
      </c>
      <c r="Z493" s="1" t="s">
        <v>3012</v>
      </c>
      <c r="AA493" s="36">
        <v>12.098000000000001</v>
      </c>
      <c r="AB493" s="54">
        <v>90.381599999999992</v>
      </c>
      <c r="AC493" s="54">
        <v>80.339200000000005</v>
      </c>
      <c r="AD493" s="36">
        <v>287.72120000000001</v>
      </c>
    </row>
    <row r="494" spans="1:30" s="37" customFormat="1" ht="15.75" customHeight="1" x14ac:dyDescent="0.2">
      <c r="A494" s="26">
        <v>190</v>
      </c>
      <c r="B494" s="27" t="s">
        <v>1119</v>
      </c>
      <c r="C494" s="27" t="s">
        <v>38</v>
      </c>
      <c r="D494" s="28">
        <v>0.1</v>
      </c>
      <c r="E494" s="29">
        <v>58.1</v>
      </c>
      <c r="F494" s="29">
        <v>1.49</v>
      </c>
      <c r="G494" s="30" t="s">
        <v>39</v>
      </c>
      <c r="H494" s="27" t="s">
        <v>94</v>
      </c>
      <c r="I494" s="27" t="s">
        <v>49</v>
      </c>
      <c r="J494" s="27" t="s">
        <v>72</v>
      </c>
      <c r="K494" s="27" t="s">
        <v>73</v>
      </c>
      <c r="L494" s="31" t="s">
        <v>622</v>
      </c>
      <c r="M494" s="32">
        <v>0.38</v>
      </c>
      <c r="N494" s="27" t="s">
        <v>33</v>
      </c>
      <c r="O494" s="27" t="s">
        <v>53</v>
      </c>
      <c r="P494" s="27" t="s">
        <v>103</v>
      </c>
      <c r="Q494" s="27" t="s">
        <v>1120</v>
      </c>
      <c r="R494" s="33">
        <v>60004</v>
      </c>
      <c r="S494" s="34">
        <v>42047</v>
      </c>
      <c r="T494" s="34">
        <v>42048</v>
      </c>
      <c r="U494" s="29">
        <v>113.6499</v>
      </c>
      <c r="V494" s="26">
        <v>3</v>
      </c>
      <c r="W494" s="29">
        <v>164.71</v>
      </c>
      <c r="X494" s="26">
        <v>89092</v>
      </c>
      <c r="Y494" s="35">
        <v>120.93</v>
      </c>
      <c r="Z494" s="1" t="s">
        <v>3012</v>
      </c>
      <c r="AA494" s="36">
        <v>17.43</v>
      </c>
      <c r="AB494" s="54">
        <v>102.12020000000001</v>
      </c>
      <c r="AC494" s="54">
        <v>20.863266666666668</v>
      </c>
      <c r="AD494" s="36">
        <v>32.140100000000018</v>
      </c>
    </row>
    <row r="495" spans="1:30" s="37" customFormat="1" ht="15.75" customHeight="1" x14ac:dyDescent="0.2">
      <c r="A495" s="26">
        <v>191</v>
      </c>
      <c r="B495" s="27" t="s">
        <v>1121</v>
      </c>
      <c r="C495" s="27" t="s">
        <v>38</v>
      </c>
      <c r="D495" s="28">
        <v>0.01</v>
      </c>
      <c r="E495" s="29">
        <v>80.48</v>
      </c>
      <c r="F495" s="29">
        <v>4.5</v>
      </c>
      <c r="G495" s="30" t="s">
        <v>39</v>
      </c>
      <c r="H495" s="27" t="s">
        <v>94</v>
      </c>
      <c r="I495" s="27" t="s">
        <v>49</v>
      </c>
      <c r="J495" s="27" t="s">
        <v>95</v>
      </c>
      <c r="K495" s="27" t="s">
        <v>73</v>
      </c>
      <c r="L495" s="31" t="s">
        <v>1122</v>
      </c>
      <c r="M495" s="32">
        <v>0.55000000000000004</v>
      </c>
      <c r="N495" s="27" t="s">
        <v>33</v>
      </c>
      <c r="O495" s="27" t="s">
        <v>53</v>
      </c>
      <c r="P495" s="27" t="s">
        <v>103</v>
      </c>
      <c r="Q495" s="27" t="s">
        <v>1123</v>
      </c>
      <c r="R495" s="33">
        <v>60505</v>
      </c>
      <c r="S495" s="34">
        <v>42047</v>
      </c>
      <c r="T495" s="34">
        <v>42050</v>
      </c>
      <c r="U495" s="29">
        <v>-35.474400000000003</v>
      </c>
      <c r="V495" s="26">
        <v>1</v>
      </c>
      <c r="W495" s="29">
        <v>79.680000000000007</v>
      </c>
      <c r="X495" s="26">
        <v>89092</v>
      </c>
      <c r="Y495" s="35">
        <v>7.21</v>
      </c>
      <c r="Z495" s="1" t="s">
        <v>3012</v>
      </c>
      <c r="AA495" s="36">
        <v>0.80480000000000007</v>
      </c>
      <c r="AB495" s="54">
        <v>35.856000000000002</v>
      </c>
      <c r="AC495" s="54">
        <v>43.824000000000005</v>
      </c>
      <c r="AD495" s="36">
        <v>109.84960000000001</v>
      </c>
    </row>
    <row r="496" spans="1:30" s="37" customFormat="1" ht="15.75" customHeight="1" x14ac:dyDescent="0.2">
      <c r="A496" s="26">
        <v>3324</v>
      </c>
      <c r="B496" s="27" t="s">
        <v>1135</v>
      </c>
      <c r="C496" s="27" t="s">
        <v>116</v>
      </c>
      <c r="D496" s="28">
        <v>0.05</v>
      </c>
      <c r="E496" s="29">
        <v>6.48</v>
      </c>
      <c r="F496" s="29">
        <v>8.19</v>
      </c>
      <c r="G496" s="30" t="s">
        <v>39</v>
      </c>
      <c r="H496" s="27" t="s">
        <v>40</v>
      </c>
      <c r="I496" s="27" t="s">
        <v>49</v>
      </c>
      <c r="J496" s="27" t="s">
        <v>88</v>
      </c>
      <c r="K496" s="27" t="s">
        <v>73</v>
      </c>
      <c r="L496" s="31" t="s">
        <v>899</v>
      </c>
      <c r="M496" s="32">
        <v>0.37</v>
      </c>
      <c r="N496" s="27" t="s">
        <v>33</v>
      </c>
      <c r="O496" s="27" t="s">
        <v>60</v>
      </c>
      <c r="P496" s="27" t="s">
        <v>588</v>
      </c>
      <c r="Q496" s="27" t="s">
        <v>1136</v>
      </c>
      <c r="R496" s="33">
        <v>85335</v>
      </c>
      <c r="S496" s="34">
        <v>42047</v>
      </c>
      <c r="T496" s="34">
        <v>42050</v>
      </c>
      <c r="U496" s="29">
        <v>-164.18</v>
      </c>
      <c r="V496" s="26">
        <v>9</v>
      </c>
      <c r="W496" s="29">
        <v>58.5</v>
      </c>
      <c r="X496" s="26">
        <v>90985</v>
      </c>
      <c r="Y496" s="35">
        <v>6.62</v>
      </c>
      <c r="Z496" s="1" t="s">
        <v>3013</v>
      </c>
      <c r="AA496" s="36">
        <v>2.9160000000000004</v>
      </c>
      <c r="AB496" s="54">
        <v>36.854999999999997</v>
      </c>
      <c r="AC496" s="54">
        <v>2.4049999999999998</v>
      </c>
      <c r="AD496" s="36">
        <v>211.57400000000001</v>
      </c>
    </row>
    <row r="497" spans="1:30" s="37" customFormat="1" ht="15.75" customHeight="1" x14ac:dyDescent="0.2">
      <c r="A497" s="26">
        <v>1743</v>
      </c>
      <c r="B497" s="27" t="s">
        <v>1129</v>
      </c>
      <c r="C497" s="27" t="s">
        <v>116</v>
      </c>
      <c r="D497" s="28">
        <v>0</v>
      </c>
      <c r="E497" s="29">
        <v>55.99</v>
      </c>
      <c r="F497" s="29">
        <v>2.5</v>
      </c>
      <c r="G497" s="30" t="s">
        <v>39</v>
      </c>
      <c r="H497" s="27" t="s">
        <v>40</v>
      </c>
      <c r="I497" s="27" t="s">
        <v>41</v>
      </c>
      <c r="J497" s="27" t="s">
        <v>135</v>
      </c>
      <c r="K497" s="27" t="s">
        <v>43</v>
      </c>
      <c r="L497" s="31" t="s">
        <v>1130</v>
      </c>
      <c r="M497" s="32">
        <v>0.83</v>
      </c>
      <c r="N497" s="27" t="s">
        <v>33</v>
      </c>
      <c r="O497" s="27" t="s">
        <v>53</v>
      </c>
      <c r="P497" s="27" t="s">
        <v>187</v>
      </c>
      <c r="Q497" s="27" t="s">
        <v>1131</v>
      </c>
      <c r="R497" s="33">
        <v>77546</v>
      </c>
      <c r="S497" s="34">
        <v>42047</v>
      </c>
      <c r="T497" s="34">
        <v>42049</v>
      </c>
      <c r="U497" s="29">
        <v>-121.05808</v>
      </c>
      <c r="V497" s="26">
        <v>1</v>
      </c>
      <c r="W497" s="29">
        <v>52.1</v>
      </c>
      <c r="X497" s="26">
        <v>91025</v>
      </c>
      <c r="Y497" s="35">
        <v>55.99</v>
      </c>
      <c r="Z497" s="1" t="s">
        <v>3012</v>
      </c>
      <c r="AA497" s="36">
        <v>0</v>
      </c>
      <c r="AB497" s="54">
        <v>8.8570000000000029</v>
      </c>
      <c r="AC497" s="54">
        <v>43.243000000000002</v>
      </c>
      <c r="AD497" s="36">
        <v>170.65808000000001</v>
      </c>
    </row>
    <row r="498" spans="1:30" s="37" customFormat="1" ht="15.75" customHeight="1" x14ac:dyDescent="0.2">
      <c r="A498" s="26">
        <v>954</v>
      </c>
      <c r="B498" s="27" t="s">
        <v>1126</v>
      </c>
      <c r="C498" s="27" t="s">
        <v>48</v>
      </c>
      <c r="D498" s="28">
        <v>0.08</v>
      </c>
      <c r="E498" s="29">
        <v>6.7</v>
      </c>
      <c r="F498" s="29">
        <v>1.56</v>
      </c>
      <c r="G498" s="30" t="s">
        <v>39</v>
      </c>
      <c r="H498" s="27" t="s">
        <v>3095</v>
      </c>
      <c r="I498" s="27" t="s">
        <v>49</v>
      </c>
      <c r="J498" s="27" t="s">
        <v>50</v>
      </c>
      <c r="K498" s="27" t="s">
        <v>51</v>
      </c>
      <c r="L498" s="31" t="s">
        <v>1046</v>
      </c>
      <c r="M498" s="32">
        <v>0.52</v>
      </c>
      <c r="N498" s="27" t="s">
        <v>33</v>
      </c>
      <c r="O498" s="27" t="s">
        <v>53</v>
      </c>
      <c r="P498" s="27" t="s">
        <v>187</v>
      </c>
      <c r="Q498" s="27" t="s">
        <v>1128</v>
      </c>
      <c r="R498" s="33">
        <v>75067</v>
      </c>
      <c r="S498" s="34">
        <v>42047</v>
      </c>
      <c r="T498" s="34">
        <v>42047</v>
      </c>
      <c r="U498" s="29">
        <v>10.56</v>
      </c>
      <c r="V498" s="26">
        <v>5</v>
      </c>
      <c r="W498" s="29">
        <v>31.21</v>
      </c>
      <c r="X498" s="26">
        <v>90771</v>
      </c>
      <c r="Y498" s="35">
        <v>12.5</v>
      </c>
      <c r="Z498" s="1" t="s">
        <v>3012</v>
      </c>
      <c r="AA498" s="36">
        <v>2.68</v>
      </c>
      <c r="AB498" s="54">
        <v>14.9808</v>
      </c>
      <c r="AC498" s="54">
        <v>3.2458400000000003</v>
      </c>
      <c r="AD498" s="36">
        <v>16.41</v>
      </c>
    </row>
    <row r="499" spans="1:30" s="37" customFormat="1" ht="15.75" customHeight="1" x14ac:dyDescent="0.2">
      <c r="A499" s="26">
        <v>3369</v>
      </c>
      <c r="B499" s="27" t="s">
        <v>1137</v>
      </c>
      <c r="C499" s="27" t="s">
        <v>116</v>
      </c>
      <c r="D499" s="28">
        <v>0.06</v>
      </c>
      <c r="E499" s="29">
        <v>7.1</v>
      </c>
      <c r="F499" s="29">
        <v>6.05</v>
      </c>
      <c r="G499" s="30" t="s">
        <v>39</v>
      </c>
      <c r="H499" s="27" t="s">
        <v>71</v>
      </c>
      <c r="I499" s="27" t="s">
        <v>49</v>
      </c>
      <c r="J499" s="27" t="s">
        <v>72</v>
      </c>
      <c r="K499" s="27" t="s">
        <v>73</v>
      </c>
      <c r="L499" s="31" t="s">
        <v>251</v>
      </c>
      <c r="M499" s="32">
        <v>0.39</v>
      </c>
      <c r="N499" s="27" t="s">
        <v>33</v>
      </c>
      <c r="O499" s="27" t="s">
        <v>111</v>
      </c>
      <c r="P499" s="27" t="s">
        <v>317</v>
      </c>
      <c r="Q499" s="27" t="s">
        <v>1138</v>
      </c>
      <c r="R499" s="33">
        <v>43081</v>
      </c>
      <c r="S499" s="34">
        <v>42047</v>
      </c>
      <c r="T499" s="34">
        <v>42048</v>
      </c>
      <c r="U499" s="29">
        <v>-42.170499999999997</v>
      </c>
      <c r="V499" s="26">
        <v>4</v>
      </c>
      <c r="W499" s="29">
        <v>29.99</v>
      </c>
      <c r="X499" s="26">
        <v>90500</v>
      </c>
      <c r="Y499" s="35">
        <v>6.4300000000000006</v>
      </c>
      <c r="Z499" s="1" t="s">
        <v>3014</v>
      </c>
      <c r="AA499" s="36">
        <v>1.704</v>
      </c>
      <c r="AB499" s="54">
        <v>18.293899999999997</v>
      </c>
      <c r="AC499" s="54">
        <v>2.9240249999999999</v>
      </c>
      <c r="AD499" s="36">
        <v>64.406499999999994</v>
      </c>
    </row>
    <row r="500" spans="1:30" s="37" customFormat="1" ht="15.75" customHeight="1" x14ac:dyDescent="0.2">
      <c r="A500" s="26">
        <v>954</v>
      </c>
      <c r="B500" s="27" t="s">
        <v>1126</v>
      </c>
      <c r="C500" s="27" t="s">
        <v>48</v>
      </c>
      <c r="D500" s="28">
        <v>0.1</v>
      </c>
      <c r="E500" s="29">
        <v>7.31</v>
      </c>
      <c r="F500" s="29">
        <v>0.49</v>
      </c>
      <c r="G500" s="30" t="s">
        <v>39</v>
      </c>
      <c r="H500" s="27" t="s">
        <v>3095</v>
      </c>
      <c r="I500" s="27" t="s">
        <v>49</v>
      </c>
      <c r="J500" s="27" t="s">
        <v>152</v>
      </c>
      <c r="K500" s="27" t="s">
        <v>73</v>
      </c>
      <c r="L500" s="31" t="s">
        <v>1127</v>
      </c>
      <c r="M500" s="32">
        <v>0.38</v>
      </c>
      <c r="N500" s="27" t="s">
        <v>33</v>
      </c>
      <c r="O500" s="27" t="s">
        <v>53</v>
      </c>
      <c r="P500" s="27" t="s">
        <v>187</v>
      </c>
      <c r="Q500" s="27" t="s">
        <v>1128</v>
      </c>
      <c r="R500" s="33">
        <v>75067</v>
      </c>
      <c r="S500" s="34">
        <v>42047</v>
      </c>
      <c r="T500" s="34">
        <v>42056</v>
      </c>
      <c r="U500" s="29">
        <v>19.064699999999998</v>
      </c>
      <c r="V500" s="26">
        <v>4</v>
      </c>
      <c r="W500" s="29">
        <v>27.63</v>
      </c>
      <c r="X500" s="26">
        <v>90771</v>
      </c>
      <c r="Y500" s="35">
        <v>7.04</v>
      </c>
      <c r="Z500" s="1" t="s">
        <v>3012</v>
      </c>
      <c r="AA500" s="36">
        <v>2.9239999999999999</v>
      </c>
      <c r="AB500" s="54">
        <v>17.130599999999998</v>
      </c>
      <c r="AC500" s="54">
        <v>2.6248499999999999</v>
      </c>
      <c r="AD500" s="36">
        <v>5.1513000000000027</v>
      </c>
    </row>
    <row r="501" spans="1:30" s="37" customFormat="1" ht="15.75" customHeight="1" x14ac:dyDescent="0.2">
      <c r="A501" s="26">
        <v>2553</v>
      </c>
      <c r="B501" s="27" t="s">
        <v>1132</v>
      </c>
      <c r="C501" s="27" t="s">
        <v>116</v>
      </c>
      <c r="D501" s="28">
        <v>0.03</v>
      </c>
      <c r="E501" s="29">
        <v>12.53</v>
      </c>
      <c r="F501" s="29">
        <v>7.17</v>
      </c>
      <c r="G501" s="30" t="s">
        <v>39</v>
      </c>
      <c r="H501" s="27" t="s">
        <v>71</v>
      </c>
      <c r="I501" s="27" t="s">
        <v>49</v>
      </c>
      <c r="J501" s="27" t="s">
        <v>72</v>
      </c>
      <c r="K501" s="27" t="s">
        <v>73</v>
      </c>
      <c r="L501" s="31" t="s">
        <v>1133</v>
      </c>
      <c r="M501" s="32">
        <v>0.38</v>
      </c>
      <c r="N501" s="27" t="s">
        <v>33</v>
      </c>
      <c r="O501" s="27" t="s">
        <v>53</v>
      </c>
      <c r="P501" s="27" t="s">
        <v>357</v>
      </c>
      <c r="Q501" s="27" t="s">
        <v>1134</v>
      </c>
      <c r="R501" s="33">
        <v>53142</v>
      </c>
      <c r="S501" s="34">
        <v>42047</v>
      </c>
      <c r="T501" s="34">
        <v>42048</v>
      </c>
      <c r="U501" s="29">
        <v>-20.320499999999999</v>
      </c>
      <c r="V501" s="26">
        <v>1</v>
      </c>
      <c r="W501" s="29">
        <v>19.32</v>
      </c>
      <c r="X501" s="26">
        <v>86528</v>
      </c>
      <c r="Y501" s="35">
        <v>150.94</v>
      </c>
      <c r="Z501" s="1" t="s">
        <v>3012</v>
      </c>
      <c r="AA501" s="36">
        <v>0.37589999999999996</v>
      </c>
      <c r="AB501" s="54">
        <v>11.978400000000001</v>
      </c>
      <c r="AC501" s="54">
        <v>7.3416000000000006</v>
      </c>
      <c r="AD501" s="36">
        <v>32.0946</v>
      </c>
    </row>
    <row r="502" spans="1:30" s="37" customFormat="1" ht="15.75" customHeight="1" x14ac:dyDescent="0.2">
      <c r="A502" s="26">
        <v>16</v>
      </c>
      <c r="B502" s="27" t="s">
        <v>1115</v>
      </c>
      <c r="C502" s="27" t="s">
        <v>38</v>
      </c>
      <c r="D502" s="28">
        <v>0.04</v>
      </c>
      <c r="E502" s="29">
        <v>2.98</v>
      </c>
      <c r="F502" s="29">
        <v>1.58</v>
      </c>
      <c r="G502" s="30" t="s">
        <v>39</v>
      </c>
      <c r="H502" s="27" t="s">
        <v>3095</v>
      </c>
      <c r="I502" s="27" t="s">
        <v>49</v>
      </c>
      <c r="J502" s="27" t="s">
        <v>176</v>
      </c>
      <c r="K502" s="27" t="s">
        <v>51</v>
      </c>
      <c r="L502" s="31" t="s">
        <v>1116</v>
      </c>
      <c r="M502" s="32">
        <v>0.39</v>
      </c>
      <c r="N502" s="27" t="s">
        <v>33</v>
      </c>
      <c r="O502" s="27" t="s">
        <v>111</v>
      </c>
      <c r="P502" s="27" t="s">
        <v>112</v>
      </c>
      <c r="Q502" s="27" t="s">
        <v>1117</v>
      </c>
      <c r="R502" s="33">
        <v>13210</v>
      </c>
      <c r="S502" s="34">
        <v>42047</v>
      </c>
      <c r="T502" s="34">
        <v>42050</v>
      </c>
      <c r="U502" s="29">
        <v>2.63</v>
      </c>
      <c r="V502" s="26">
        <v>6</v>
      </c>
      <c r="W502" s="29">
        <v>18.8</v>
      </c>
      <c r="X502" s="26">
        <v>86836</v>
      </c>
      <c r="Y502" s="35">
        <v>176.15</v>
      </c>
      <c r="Z502" s="1" t="s">
        <v>3014</v>
      </c>
      <c r="AA502" s="36">
        <v>0.71520000000000006</v>
      </c>
      <c r="AB502" s="54">
        <v>11.468</v>
      </c>
      <c r="AC502" s="54">
        <v>1.222</v>
      </c>
      <c r="AD502" s="36">
        <v>13.8748</v>
      </c>
    </row>
    <row r="503" spans="1:30" s="37" customFormat="1" ht="15.75" customHeight="1" x14ac:dyDescent="0.2">
      <c r="A503" s="26">
        <v>3342</v>
      </c>
      <c r="B503" s="27" t="s">
        <v>1145</v>
      </c>
      <c r="C503" s="27" t="s">
        <v>26</v>
      </c>
      <c r="D503" s="28">
        <v>0.03</v>
      </c>
      <c r="E503" s="29">
        <v>194.3</v>
      </c>
      <c r="F503" s="29">
        <v>11.54</v>
      </c>
      <c r="G503" s="30" t="s">
        <v>39</v>
      </c>
      <c r="H503" s="27" t="s">
        <v>71</v>
      </c>
      <c r="I503" s="27" t="s">
        <v>29</v>
      </c>
      <c r="J503" s="27" t="s">
        <v>126</v>
      </c>
      <c r="K503" s="27" t="s">
        <v>65</v>
      </c>
      <c r="L503" s="31" t="s">
        <v>206</v>
      </c>
      <c r="M503" s="32">
        <v>0.59</v>
      </c>
      <c r="N503" s="27" t="s">
        <v>33</v>
      </c>
      <c r="O503" s="27" t="s">
        <v>111</v>
      </c>
      <c r="P503" s="27" t="s">
        <v>374</v>
      </c>
      <c r="Q503" s="27" t="s">
        <v>67</v>
      </c>
      <c r="R503" s="33">
        <v>20006</v>
      </c>
      <c r="S503" s="34">
        <v>42048</v>
      </c>
      <c r="T503" s="34">
        <v>42050</v>
      </c>
      <c r="U503" s="29">
        <v>2861.01</v>
      </c>
      <c r="V503" s="26">
        <v>42</v>
      </c>
      <c r="W503" s="29">
        <v>8549.0400000000009</v>
      </c>
      <c r="X503" s="26">
        <v>21572</v>
      </c>
      <c r="Y503" s="35">
        <v>120.96000000000001</v>
      </c>
      <c r="Z503" s="1" t="s">
        <v>3014</v>
      </c>
      <c r="AA503" s="36">
        <v>244.81799999999998</v>
      </c>
      <c r="AB503" s="54">
        <v>3505.1064000000006</v>
      </c>
      <c r="AC503" s="54">
        <v>120.09365714285715</v>
      </c>
      <c r="AD503" s="36">
        <v>5431.6720000000005</v>
      </c>
    </row>
    <row r="504" spans="1:30" s="37" customFormat="1" ht="15.75" customHeight="1" x14ac:dyDescent="0.2">
      <c r="A504" s="26">
        <v>3344</v>
      </c>
      <c r="B504" s="27" t="s">
        <v>1146</v>
      </c>
      <c r="C504" s="27" t="s">
        <v>26</v>
      </c>
      <c r="D504" s="28">
        <v>0.03</v>
      </c>
      <c r="E504" s="29">
        <v>194.3</v>
      </c>
      <c r="F504" s="29">
        <v>11.54</v>
      </c>
      <c r="G504" s="30" t="s">
        <v>39</v>
      </c>
      <c r="H504" s="27" t="s">
        <v>71</v>
      </c>
      <c r="I504" s="27" t="s">
        <v>29</v>
      </c>
      <c r="J504" s="27" t="s">
        <v>126</v>
      </c>
      <c r="K504" s="27" t="s">
        <v>65</v>
      </c>
      <c r="L504" s="31" t="s">
        <v>206</v>
      </c>
      <c r="M504" s="32">
        <v>0.59</v>
      </c>
      <c r="N504" s="27" t="s">
        <v>33</v>
      </c>
      <c r="O504" s="27" t="s">
        <v>53</v>
      </c>
      <c r="P504" s="27" t="s">
        <v>289</v>
      </c>
      <c r="Q504" s="27" t="s">
        <v>1147</v>
      </c>
      <c r="R504" s="33">
        <v>48307</v>
      </c>
      <c r="S504" s="34">
        <v>42048</v>
      </c>
      <c r="T504" s="34">
        <v>42050</v>
      </c>
      <c r="U504" s="29">
        <v>1544.9306999999999</v>
      </c>
      <c r="V504" s="26">
        <v>11</v>
      </c>
      <c r="W504" s="29">
        <v>2239.0300000000002</v>
      </c>
      <c r="X504" s="26">
        <v>89928</v>
      </c>
      <c r="Y504" s="35">
        <v>194.27</v>
      </c>
      <c r="Z504" s="1" t="s">
        <v>3012</v>
      </c>
      <c r="AA504" s="36">
        <v>64.119</v>
      </c>
      <c r="AB504" s="54">
        <v>918.0023000000001</v>
      </c>
      <c r="AC504" s="54">
        <v>120.09342727272727</v>
      </c>
      <c r="AD504" s="36">
        <v>618.44030000000043</v>
      </c>
    </row>
    <row r="505" spans="1:30" s="37" customFormat="1" ht="15.75" customHeight="1" x14ac:dyDescent="0.2">
      <c r="A505" s="26">
        <v>2020</v>
      </c>
      <c r="B505" s="27" t="s">
        <v>1142</v>
      </c>
      <c r="C505" s="27" t="s">
        <v>26</v>
      </c>
      <c r="D505" s="28">
        <v>0.02</v>
      </c>
      <c r="E505" s="29">
        <v>120.98</v>
      </c>
      <c r="F505" s="29">
        <v>58.64</v>
      </c>
      <c r="G505" s="30" t="s">
        <v>27</v>
      </c>
      <c r="H505" s="27" t="s">
        <v>71</v>
      </c>
      <c r="I505" s="27" t="s">
        <v>29</v>
      </c>
      <c r="J505" s="27" t="s">
        <v>117</v>
      </c>
      <c r="K505" s="27" t="s">
        <v>31</v>
      </c>
      <c r="L505" s="31" t="s">
        <v>1143</v>
      </c>
      <c r="M505" s="32">
        <v>0.75</v>
      </c>
      <c r="N505" s="27" t="s">
        <v>33</v>
      </c>
      <c r="O505" s="27" t="s">
        <v>111</v>
      </c>
      <c r="P505" s="27" t="s">
        <v>320</v>
      </c>
      <c r="Q505" s="27" t="s">
        <v>1144</v>
      </c>
      <c r="R505" s="33">
        <v>15239</v>
      </c>
      <c r="S505" s="34">
        <v>42048</v>
      </c>
      <c r="T505" s="34">
        <v>42050</v>
      </c>
      <c r="U505" s="29">
        <v>-1330.5</v>
      </c>
      <c r="V505" s="26">
        <v>11</v>
      </c>
      <c r="W505" s="29">
        <v>1370.99</v>
      </c>
      <c r="X505" s="26">
        <v>86933</v>
      </c>
      <c r="Y505" s="35">
        <v>194.27</v>
      </c>
      <c r="Z505" s="1" t="s">
        <v>3014</v>
      </c>
      <c r="AA505" s="36">
        <v>26.615600000000001</v>
      </c>
      <c r="AB505" s="54">
        <v>342.7475</v>
      </c>
      <c r="AC505" s="54">
        <v>93.476590909090916</v>
      </c>
      <c r="AD505" s="36">
        <v>2616.2343999999998</v>
      </c>
    </row>
    <row r="506" spans="1:30" s="37" customFormat="1" ht="15.75" customHeight="1" x14ac:dyDescent="0.2">
      <c r="A506" s="26">
        <v>2897</v>
      </c>
      <c r="B506" s="27" t="s">
        <v>1151</v>
      </c>
      <c r="C506" s="27" t="s">
        <v>38</v>
      </c>
      <c r="D506" s="28">
        <v>0.05</v>
      </c>
      <c r="E506" s="29">
        <v>80.97</v>
      </c>
      <c r="F506" s="29">
        <v>30.06</v>
      </c>
      <c r="G506" s="30" t="s">
        <v>27</v>
      </c>
      <c r="H506" s="27" t="s">
        <v>71</v>
      </c>
      <c r="I506" s="27" t="s">
        <v>41</v>
      </c>
      <c r="J506" s="27" t="s">
        <v>57</v>
      </c>
      <c r="K506" s="27" t="s">
        <v>31</v>
      </c>
      <c r="L506" s="31" t="s">
        <v>1152</v>
      </c>
      <c r="M506" s="32">
        <v>0.4</v>
      </c>
      <c r="N506" s="27" t="s">
        <v>33</v>
      </c>
      <c r="O506" s="27" t="s">
        <v>53</v>
      </c>
      <c r="P506" s="27" t="s">
        <v>84</v>
      </c>
      <c r="Q506" s="27" t="s">
        <v>1153</v>
      </c>
      <c r="R506" s="33">
        <v>55369</v>
      </c>
      <c r="S506" s="34">
        <v>42048</v>
      </c>
      <c r="T506" s="34">
        <v>42049</v>
      </c>
      <c r="U506" s="29">
        <v>565.17999999999995</v>
      </c>
      <c r="V506" s="26">
        <v>11</v>
      </c>
      <c r="W506" s="29">
        <v>904.25</v>
      </c>
      <c r="X506" s="26">
        <v>86926</v>
      </c>
      <c r="Y506" s="35">
        <v>124.46</v>
      </c>
      <c r="Z506" s="1" t="s">
        <v>3012</v>
      </c>
      <c r="AA506" s="36">
        <v>44.533499999999997</v>
      </c>
      <c r="AB506" s="54">
        <v>542.54999999999995</v>
      </c>
      <c r="AC506" s="54">
        <v>32.881818181818183</v>
      </c>
      <c r="AD506" s="36">
        <v>264.4765000000001</v>
      </c>
    </row>
    <row r="507" spans="1:30" s="37" customFormat="1" ht="15.75" customHeight="1" x14ac:dyDescent="0.2">
      <c r="A507" s="26">
        <v>1554</v>
      </c>
      <c r="B507" s="27" t="s">
        <v>1148</v>
      </c>
      <c r="C507" s="27" t="s">
        <v>38</v>
      </c>
      <c r="D507" s="28">
        <v>0.03</v>
      </c>
      <c r="E507" s="29">
        <v>124.49</v>
      </c>
      <c r="F507" s="29">
        <v>51.94</v>
      </c>
      <c r="G507" s="30" t="s">
        <v>27</v>
      </c>
      <c r="H507" s="27" t="s">
        <v>40</v>
      </c>
      <c r="I507" s="27" t="s">
        <v>29</v>
      </c>
      <c r="J507" s="27" t="s">
        <v>30</v>
      </c>
      <c r="K507" s="27" t="s">
        <v>31</v>
      </c>
      <c r="L507" s="31" t="s">
        <v>1149</v>
      </c>
      <c r="M507" s="32">
        <v>0.63</v>
      </c>
      <c r="N507" s="27" t="s">
        <v>33</v>
      </c>
      <c r="O507" s="27" t="s">
        <v>34</v>
      </c>
      <c r="P507" s="27" t="s">
        <v>35</v>
      </c>
      <c r="Q507" s="27" t="s">
        <v>1150</v>
      </c>
      <c r="R507" s="33">
        <v>39503</v>
      </c>
      <c r="S507" s="34">
        <v>42048</v>
      </c>
      <c r="T507" s="34">
        <v>42049</v>
      </c>
      <c r="U507" s="29">
        <v>-4.0179999999999998</v>
      </c>
      <c r="V507" s="26">
        <v>7</v>
      </c>
      <c r="W507" s="29">
        <v>894.88</v>
      </c>
      <c r="X507" s="26">
        <v>87487</v>
      </c>
      <c r="Y507" s="35">
        <v>80.92</v>
      </c>
      <c r="Z507" s="1" t="s">
        <v>3011</v>
      </c>
      <c r="AA507" s="36">
        <v>26.142899999999997</v>
      </c>
      <c r="AB507" s="54">
        <v>331.10559999999998</v>
      </c>
      <c r="AC507" s="54">
        <v>80.539200000000008</v>
      </c>
      <c r="AD507" s="36">
        <v>820.81510000000003</v>
      </c>
    </row>
    <row r="508" spans="1:30" s="37" customFormat="1" ht="15.75" customHeight="1" x14ac:dyDescent="0.2">
      <c r="A508" s="26">
        <v>3170</v>
      </c>
      <c r="B508" s="27" t="s">
        <v>1158</v>
      </c>
      <c r="C508" s="27" t="s">
        <v>116</v>
      </c>
      <c r="D508" s="28">
        <v>0.1</v>
      </c>
      <c r="E508" s="29">
        <v>7.28</v>
      </c>
      <c r="F508" s="29">
        <v>5.47</v>
      </c>
      <c r="G508" s="30" t="s">
        <v>39</v>
      </c>
      <c r="H508" s="27" t="s">
        <v>94</v>
      </c>
      <c r="I508" s="27" t="s">
        <v>49</v>
      </c>
      <c r="J508" s="27" t="s">
        <v>88</v>
      </c>
      <c r="K508" s="27" t="s">
        <v>73</v>
      </c>
      <c r="L508" s="31" t="s">
        <v>1159</v>
      </c>
      <c r="M508" s="32">
        <v>0.35</v>
      </c>
      <c r="N508" s="27" t="s">
        <v>33</v>
      </c>
      <c r="O508" s="27" t="s">
        <v>34</v>
      </c>
      <c r="P508" s="27" t="s">
        <v>123</v>
      </c>
      <c r="Q508" s="27" t="s">
        <v>1160</v>
      </c>
      <c r="R508" s="33">
        <v>34952</v>
      </c>
      <c r="S508" s="34">
        <v>42048</v>
      </c>
      <c r="T508" s="34">
        <v>42048</v>
      </c>
      <c r="U508" s="29">
        <v>167.334</v>
      </c>
      <c r="V508" s="26">
        <v>12</v>
      </c>
      <c r="W508" s="29">
        <v>83.14</v>
      </c>
      <c r="X508" s="26">
        <v>86489</v>
      </c>
      <c r="Y508" s="35">
        <v>6.48</v>
      </c>
      <c r="Z508" s="1" t="s">
        <v>3011</v>
      </c>
      <c r="AA508" s="36">
        <v>8.7360000000000007</v>
      </c>
      <c r="AB508" s="54">
        <v>54.041000000000004</v>
      </c>
      <c r="AC508" s="54">
        <v>2.4249166666666668</v>
      </c>
      <c r="AD508" s="36">
        <v>-98.399999999999991</v>
      </c>
    </row>
    <row r="509" spans="1:30" s="37" customFormat="1" ht="15.75" customHeight="1" x14ac:dyDescent="0.2">
      <c r="A509" s="26">
        <v>2058</v>
      </c>
      <c r="B509" s="27" t="s">
        <v>1155</v>
      </c>
      <c r="C509" s="27" t="s">
        <v>116</v>
      </c>
      <c r="D509" s="28">
        <v>7.0000000000000007E-2</v>
      </c>
      <c r="E509" s="29">
        <v>5.98</v>
      </c>
      <c r="F509" s="29">
        <v>5.46</v>
      </c>
      <c r="G509" s="30" t="s">
        <v>39</v>
      </c>
      <c r="H509" s="27" t="s">
        <v>94</v>
      </c>
      <c r="I509" s="27" t="s">
        <v>49</v>
      </c>
      <c r="J509" s="27" t="s">
        <v>88</v>
      </c>
      <c r="K509" s="27" t="s">
        <v>73</v>
      </c>
      <c r="L509" s="31" t="s">
        <v>1156</v>
      </c>
      <c r="M509" s="32">
        <v>0.36</v>
      </c>
      <c r="N509" s="27" t="s">
        <v>33</v>
      </c>
      <c r="O509" s="27" t="s">
        <v>34</v>
      </c>
      <c r="P509" s="27" t="s">
        <v>97</v>
      </c>
      <c r="Q509" s="27" t="s">
        <v>1157</v>
      </c>
      <c r="R509" s="33">
        <v>28601</v>
      </c>
      <c r="S509" s="34">
        <v>42048</v>
      </c>
      <c r="T509" s="34">
        <v>42050</v>
      </c>
      <c r="U509" s="29">
        <v>46.65</v>
      </c>
      <c r="V509" s="26">
        <v>5</v>
      </c>
      <c r="W509" s="29">
        <v>32.76</v>
      </c>
      <c r="X509" s="26">
        <v>88040</v>
      </c>
      <c r="Y509" s="35">
        <v>5.91</v>
      </c>
      <c r="Z509" s="1" t="s">
        <v>3011</v>
      </c>
      <c r="AA509" s="36">
        <v>2.0930000000000004</v>
      </c>
      <c r="AB509" s="54">
        <v>20.9664</v>
      </c>
      <c r="AC509" s="54">
        <v>2.3587199999999999</v>
      </c>
      <c r="AD509" s="36">
        <v>-21.443000000000005</v>
      </c>
    </row>
    <row r="510" spans="1:30" s="37" customFormat="1" ht="15.75" customHeight="1" x14ac:dyDescent="0.2">
      <c r="A510" s="26">
        <v>2897</v>
      </c>
      <c r="B510" s="27" t="s">
        <v>1151</v>
      </c>
      <c r="C510" s="27" t="s">
        <v>38</v>
      </c>
      <c r="D510" s="28">
        <v>0</v>
      </c>
      <c r="E510" s="29">
        <v>6.48</v>
      </c>
      <c r="F510" s="29">
        <v>10.050000000000001</v>
      </c>
      <c r="G510" s="30" t="s">
        <v>39</v>
      </c>
      <c r="H510" s="27" t="s">
        <v>71</v>
      </c>
      <c r="I510" s="27" t="s">
        <v>49</v>
      </c>
      <c r="J510" s="27" t="s">
        <v>88</v>
      </c>
      <c r="K510" s="27" t="s">
        <v>73</v>
      </c>
      <c r="L510" s="31" t="s">
        <v>1154</v>
      </c>
      <c r="M510" s="32">
        <v>0.37</v>
      </c>
      <c r="N510" s="27" t="s">
        <v>33</v>
      </c>
      <c r="O510" s="27" t="s">
        <v>53</v>
      </c>
      <c r="P510" s="27" t="s">
        <v>84</v>
      </c>
      <c r="Q510" s="27" t="s">
        <v>1153</v>
      </c>
      <c r="R510" s="33">
        <v>55369</v>
      </c>
      <c r="S510" s="34">
        <v>42048</v>
      </c>
      <c r="T510" s="34">
        <v>42050</v>
      </c>
      <c r="U510" s="29">
        <v>-38.72</v>
      </c>
      <c r="V510" s="26">
        <v>2</v>
      </c>
      <c r="W510" s="29">
        <v>16.309999999999999</v>
      </c>
      <c r="X510" s="26">
        <v>86926</v>
      </c>
      <c r="Y510" s="35">
        <v>7.1800000000000006</v>
      </c>
      <c r="Z510" s="1" t="s">
        <v>3012</v>
      </c>
      <c r="AA510" s="36">
        <v>0</v>
      </c>
      <c r="AB510" s="54">
        <v>10.2753</v>
      </c>
      <c r="AC510" s="54">
        <v>3.0173499999999995</v>
      </c>
      <c r="AD510" s="36">
        <v>44.98</v>
      </c>
    </row>
    <row r="511" spans="1:30" s="37" customFormat="1" ht="15.75" customHeight="1" x14ac:dyDescent="0.2">
      <c r="A511" s="26">
        <v>640</v>
      </c>
      <c r="B511" s="27" t="s">
        <v>1185</v>
      </c>
      <c r="C511" s="27" t="s">
        <v>3094</v>
      </c>
      <c r="D511" s="28">
        <v>0</v>
      </c>
      <c r="E511" s="29">
        <v>236.97</v>
      </c>
      <c r="F511" s="29">
        <v>59.24</v>
      </c>
      <c r="G511" s="30" t="s">
        <v>27</v>
      </c>
      <c r="H511" s="27" t="s">
        <v>40</v>
      </c>
      <c r="I511" s="27" t="s">
        <v>29</v>
      </c>
      <c r="J511" s="27" t="s">
        <v>30</v>
      </c>
      <c r="K511" s="27" t="s">
        <v>31</v>
      </c>
      <c r="L511" s="31" t="s">
        <v>1183</v>
      </c>
      <c r="M511" s="32">
        <v>0.61</v>
      </c>
      <c r="N511" s="27" t="s">
        <v>33</v>
      </c>
      <c r="O511" s="27" t="s">
        <v>60</v>
      </c>
      <c r="P511" s="27" t="s">
        <v>67</v>
      </c>
      <c r="Q511" s="27" t="s">
        <v>142</v>
      </c>
      <c r="R511" s="33">
        <v>98119</v>
      </c>
      <c r="S511" s="34">
        <v>42049</v>
      </c>
      <c r="T511" s="34">
        <v>42050</v>
      </c>
      <c r="U511" s="29">
        <v>1192.04</v>
      </c>
      <c r="V511" s="26">
        <v>34</v>
      </c>
      <c r="W511" s="29">
        <v>6686.34</v>
      </c>
      <c r="X511" s="26">
        <v>56452</v>
      </c>
      <c r="Y511" s="35">
        <v>16.93</v>
      </c>
      <c r="Z511" s="1" t="s">
        <v>3013</v>
      </c>
      <c r="AA511" s="36">
        <v>0</v>
      </c>
      <c r="AB511" s="54">
        <v>2607.6726000000003</v>
      </c>
      <c r="AC511" s="54">
        <v>119.96080588235294</v>
      </c>
      <c r="AD511" s="36">
        <v>5435.06</v>
      </c>
    </row>
    <row r="512" spans="1:30" s="37" customFormat="1" ht="15.75" customHeight="1" x14ac:dyDescent="0.2">
      <c r="A512" s="26">
        <v>2190</v>
      </c>
      <c r="B512" s="27" t="s">
        <v>1161</v>
      </c>
      <c r="C512" s="27" t="s">
        <v>26</v>
      </c>
      <c r="D512" s="28">
        <v>0.03</v>
      </c>
      <c r="E512" s="29">
        <v>115.99</v>
      </c>
      <c r="F512" s="29">
        <v>4.2300000000000004</v>
      </c>
      <c r="G512" s="30" t="s">
        <v>39</v>
      </c>
      <c r="H512" s="27" t="s">
        <v>71</v>
      </c>
      <c r="I512" s="27" t="s">
        <v>41</v>
      </c>
      <c r="J512" s="27" t="s">
        <v>135</v>
      </c>
      <c r="K512" s="27" t="s">
        <v>73</v>
      </c>
      <c r="L512" s="31" t="s">
        <v>1164</v>
      </c>
      <c r="M512" s="32">
        <v>0.56000000000000005</v>
      </c>
      <c r="N512" s="27" t="s">
        <v>33</v>
      </c>
      <c r="O512" s="27" t="s">
        <v>53</v>
      </c>
      <c r="P512" s="27" t="s">
        <v>289</v>
      </c>
      <c r="Q512" s="27" t="s">
        <v>1163</v>
      </c>
      <c r="R512" s="33">
        <v>48227</v>
      </c>
      <c r="S512" s="34">
        <v>42049</v>
      </c>
      <c r="T512" s="34">
        <v>42051</v>
      </c>
      <c r="U512" s="29">
        <v>722.24099999999999</v>
      </c>
      <c r="V512" s="26">
        <v>49</v>
      </c>
      <c r="W512" s="29">
        <v>5014.07</v>
      </c>
      <c r="X512" s="26">
        <v>41636</v>
      </c>
      <c r="Y512" s="35">
        <v>115.96</v>
      </c>
      <c r="Z512" s="1" t="s">
        <v>3012</v>
      </c>
      <c r="AA512" s="36">
        <v>170.50529999999998</v>
      </c>
      <c r="AB512" s="54">
        <v>2206.1907999999994</v>
      </c>
      <c r="AC512" s="54">
        <v>57.303657142857141</v>
      </c>
      <c r="AD512" s="36">
        <v>4117.0936999999994</v>
      </c>
    </row>
    <row r="513" spans="1:30" s="37" customFormat="1" ht="15.75" customHeight="1" x14ac:dyDescent="0.2">
      <c r="A513" s="26">
        <v>2491</v>
      </c>
      <c r="B513" s="27" t="s">
        <v>457</v>
      </c>
      <c r="C513" s="27" t="s">
        <v>26</v>
      </c>
      <c r="D513" s="28">
        <v>0.09</v>
      </c>
      <c r="E513" s="29">
        <v>348.21</v>
      </c>
      <c r="F513" s="29">
        <v>40.19</v>
      </c>
      <c r="G513" s="30" t="s">
        <v>27</v>
      </c>
      <c r="H513" s="27" t="s">
        <v>71</v>
      </c>
      <c r="I513" s="27" t="s">
        <v>29</v>
      </c>
      <c r="J513" s="27" t="s">
        <v>30</v>
      </c>
      <c r="K513" s="27" t="s">
        <v>31</v>
      </c>
      <c r="L513" s="31" t="s">
        <v>32</v>
      </c>
      <c r="M513" s="32">
        <v>0.62</v>
      </c>
      <c r="N513" s="27" t="s">
        <v>33</v>
      </c>
      <c r="O513" s="27" t="s">
        <v>60</v>
      </c>
      <c r="P513" s="27" t="s">
        <v>90</v>
      </c>
      <c r="Q513" s="27" t="s">
        <v>100</v>
      </c>
      <c r="R513" s="33">
        <v>90045</v>
      </c>
      <c r="S513" s="34">
        <v>42049</v>
      </c>
      <c r="T513" s="34">
        <v>42051</v>
      </c>
      <c r="U513" s="29">
        <v>-93.85</v>
      </c>
      <c r="V513" s="26">
        <v>8</v>
      </c>
      <c r="W513" s="29">
        <v>2651.21</v>
      </c>
      <c r="X513" s="26">
        <v>48836</v>
      </c>
      <c r="Y513" s="35">
        <v>16.93</v>
      </c>
      <c r="Z513" s="1" t="s">
        <v>3013</v>
      </c>
      <c r="AA513" s="36">
        <v>250.71119999999996</v>
      </c>
      <c r="AB513" s="54">
        <v>1007.4598</v>
      </c>
      <c r="AC513" s="54">
        <v>205.46877499999999</v>
      </c>
      <c r="AD513" s="36">
        <v>2454.1588000000002</v>
      </c>
    </row>
    <row r="514" spans="1:30" s="37" customFormat="1" ht="15.75" customHeight="1" x14ac:dyDescent="0.2">
      <c r="A514" s="26">
        <v>639</v>
      </c>
      <c r="B514" s="27" t="s">
        <v>1182</v>
      </c>
      <c r="C514" s="27" t="s">
        <v>3094</v>
      </c>
      <c r="D514" s="28">
        <v>0</v>
      </c>
      <c r="E514" s="29">
        <v>236.97</v>
      </c>
      <c r="F514" s="29">
        <v>59.24</v>
      </c>
      <c r="G514" s="30" t="s">
        <v>27</v>
      </c>
      <c r="H514" s="27" t="s">
        <v>40</v>
      </c>
      <c r="I514" s="27" t="s">
        <v>29</v>
      </c>
      <c r="J514" s="27" t="s">
        <v>30</v>
      </c>
      <c r="K514" s="27" t="s">
        <v>31</v>
      </c>
      <c r="L514" s="31" t="s">
        <v>1183</v>
      </c>
      <c r="M514" s="32">
        <v>0.61</v>
      </c>
      <c r="N514" s="27" t="s">
        <v>33</v>
      </c>
      <c r="O514" s="27" t="s">
        <v>60</v>
      </c>
      <c r="P514" s="27" t="s">
        <v>90</v>
      </c>
      <c r="Q514" s="27" t="s">
        <v>1184</v>
      </c>
      <c r="R514" s="33">
        <v>93454</v>
      </c>
      <c r="S514" s="34">
        <v>42049</v>
      </c>
      <c r="T514" s="34">
        <v>42050</v>
      </c>
      <c r="U514" s="29">
        <v>1192.04</v>
      </c>
      <c r="V514" s="26">
        <v>9</v>
      </c>
      <c r="W514" s="29">
        <v>1769.91</v>
      </c>
      <c r="X514" s="26">
        <v>87952</v>
      </c>
      <c r="Y514" s="35">
        <v>115.96</v>
      </c>
      <c r="Z514" s="1" t="s">
        <v>3013</v>
      </c>
      <c r="AA514" s="36">
        <v>0</v>
      </c>
      <c r="AB514" s="54">
        <v>690.26490000000001</v>
      </c>
      <c r="AC514" s="54">
        <v>119.96056666666667</v>
      </c>
      <c r="AD514" s="36">
        <v>518.63000000000011</v>
      </c>
    </row>
    <row r="515" spans="1:30" s="37" customFormat="1" ht="15.75" customHeight="1" x14ac:dyDescent="0.2">
      <c r="A515" s="26">
        <v>306</v>
      </c>
      <c r="B515" s="27" t="s">
        <v>1173</v>
      </c>
      <c r="C515" s="27" t="s">
        <v>38</v>
      </c>
      <c r="D515" s="28">
        <v>0.04</v>
      </c>
      <c r="E515" s="29">
        <v>85.99</v>
      </c>
      <c r="F515" s="29">
        <v>0.99</v>
      </c>
      <c r="G515" s="30" t="s">
        <v>39</v>
      </c>
      <c r="H515" s="27" t="s">
        <v>3095</v>
      </c>
      <c r="I515" s="27" t="s">
        <v>41</v>
      </c>
      <c r="J515" s="27" t="s">
        <v>135</v>
      </c>
      <c r="K515" s="27" t="s">
        <v>51</v>
      </c>
      <c r="L515" s="31" t="s">
        <v>1176</v>
      </c>
      <c r="M515" s="32">
        <v>0.55000000000000004</v>
      </c>
      <c r="N515" s="27" t="s">
        <v>33</v>
      </c>
      <c r="O515" s="27" t="s">
        <v>111</v>
      </c>
      <c r="P515" s="27" t="s">
        <v>418</v>
      </c>
      <c r="Q515" s="27" t="s">
        <v>1175</v>
      </c>
      <c r="R515" s="33">
        <v>21208</v>
      </c>
      <c r="S515" s="34">
        <v>42049</v>
      </c>
      <c r="T515" s="34">
        <v>42051</v>
      </c>
      <c r="U515" s="29">
        <v>855.99329999999998</v>
      </c>
      <c r="V515" s="26">
        <v>17</v>
      </c>
      <c r="W515" s="29">
        <v>1240.57</v>
      </c>
      <c r="X515" s="26">
        <v>87057</v>
      </c>
      <c r="Y515" s="35">
        <v>2.0300000000000002</v>
      </c>
      <c r="Z515" s="1" t="s">
        <v>3014</v>
      </c>
      <c r="AA515" s="36">
        <v>58.473199999999999</v>
      </c>
      <c r="AB515" s="54">
        <v>558.25649999999996</v>
      </c>
      <c r="AC515" s="54">
        <v>40.136088235294118</v>
      </c>
      <c r="AD515" s="36">
        <v>325.11349999999993</v>
      </c>
    </row>
    <row r="516" spans="1:30" s="37" customFormat="1" ht="15.75" customHeight="1" x14ac:dyDescent="0.2">
      <c r="A516" s="26">
        <v>2193</v>
      </c>
      <c r="B516" s="27" t="s">
        <v>1165</v>
      </c>
      <c r="C516" s="27" t="s">
        <v>26</v>
      </c>
      <c r="D516" s="28">
        <v>0.03</v>
      </c>
      <c r="E516" s="29">
        <v>115.99</v>
      </c>
      <c r="F516" s="29">
        <v>4.2300000000000004</v>
      </c>
      <c r="G516" s="30" t="s">
        <v>39</v>
      </c>
      <c r="H516" s="27" t="s">
        <v>71</v>
      </c>
      <c r="I516" s="27" t="s">
        <v>41</v>
      </c>
      <c r="J516" s="27" t="s">
        <v>135</v>
      </c>
      <c r="K516" s="27" t="s">
        <v>73</v>
      </c>
      <c r="L516" s="31" t="s">
        <v>1164</v>
      </c>
      <c r="M516" s="32">
        <v>0.56000000000000005</v>
      </c>
      <c r="N516" s="27" t="s">
        <v>33</v>
      </c>
      <c r="O516" s="27" t="s">
        <v>34</v>
      </c>
      <c r="P516" s="27" t="s">
        <v>97</v>
      </c>
      <c r="Q516" s="27" t="s">
        <v>98</v>
      </c>
      <c r="R516" s="33">
        <v>28560</v>
      </c>
      <c r="S516" s="34">
        <v>42049</v>
      </c>
      <c r="T516" s="34">
        <v>42051</v>
      </c>
      <c r="U516" s="29">
        <v>848.3646</v>
      </c>
      <c r="V516" s="26">
        <v>12</v>
      </c>
      <c r="W516" s="29">
        <v>1227.94</v>
      </c>
      <c r="X516" s="26">
        <v>90685</v>
      </c>
      <c r="Y516" s="35">
        <v>348.12</v>
      </c>
      <c r="Z516" s="1" t="s">
        <v>3011</v>
      </c>
      <c r="AA516" s="36">
        <v>41.756399999999999</v>
      </c>
      <c r="AB516" s="54">
        <v>540.29359999999997</v>
      </c>
      <c r="AC516" s="54">
        <v>57.303866666666671</v>
      </c>
      <c r="AD516" s="36">
        <v>333.58900000000006</v>
      </c>
    </row>
    <row r="517" spans="1:30" s="37" customFormat="1" ht="15.75" customHeight="1" x14ac:dyDescent="0.2">
      <c r="A517" s="26">
        <v>1156</v>
      </c>
      <c r="B517" s="27" t="s">
        <v>1178</v>
      </c>
      <c r="C517" s="27" t="s">
        <v>38</v>
      </c>
      <c r="D517" s="28">
        <v>0.06</v>
      </c>
      <c r="E517" s="29">
        <v>175.99</v>
      </c>
      <c r="F517" s="29">
        <v>8.99</v>
      </c>
      <c r="G517" s="30" t="s">
        <v>39</v>
      </c>
      <c r="H517" s="27" t="s">
        <v>40</v>
      </c>
      <c r="I517" s="27" t="s">
        <v>41</v>
      </c>
      <c r="J517" s="27" t="s">
        <v>135</v>
      </c>
      <c r="K517" s="27" t="s">
        <v>73</v>
      </c>
      <c r="L517" s="31" t="s">
        <v>1179</v>
      </c>
      <c r="M517" s="32">
        <v>0.56999999999999995</v>
      </c>
      <c r="N517" s="27" t="s">
        <v>33</v>
      </c>
      <c r="O517" s="27" t="s">
        <v>111</v>
      </c>
      <c r="P517" s="27" t="s">
        <v>403</v>
      </c>
      <c r="Q517" s="27" t="s">
        <v>1180</v>
      </c>
      <c r="R517" s="33">
        <v>1876</v>
      </c>
      <c r="S517" s="34">
        <v>42049</v>
      </c>
      <c r="T517" s="34">
        <v>42050</v>
      </c>
      <c r="U517" s="29">
        <v>48.47148</v>
      </c>
      <c r="V517" s="26">
        <v>7</v>
      </c>
      <c r="W517" s="29">
        <v>1013.84</v>
      </c>
      <c r="X517" s="26">
        <v>90855</v>
      </c>
      <c r="Y517" s="35">
        <v>348.12</v>
      </c>
      <c r="Z517" s="1" t="s">
        <v>3014</v>
      </c>
      <c r="AA517" s="36">
        <v>73.915800000000004</v>
      </c>
      <c r="AB517" s="54">
        <v>435.95120000000009</v>
      </c>
      <c r="AC517" s="54">
        <v>82.555542857142854</v>
      </c>
      <c r="AD517" s="36">
        <v>882.46271999999999</v>
      </c>
    </row>
    <row r="518" spans="1:30" s="37" customFormat="1" ht="15.75" customHeight="1" x14ac:dyDescent="0.2">
      <c r="A518" s="26">
        <v>2190</v>
      </c>
      <c r="B518" s="27" t="s">
        <v>1161</v>
      </c>
      <c r="C518" s="27" t="s">
        <v>26</v>
      </c>
      <c r="D518" s="28">
        <v>0.05</v>
      </c>
      <c r="E518" s="29">
        <v>16.98</v>
      </c>
      <c r="F518" s="29">
        <v>7.78</v>
      </c>
      <c r="G518" s="30" t="s">
        <v>39</v>
      </c>
      <c r="H518" s="27" t="s">
        <v>71</v>
      </c>
      <c r="I518" s="27" t="s">
        <v>49</v>
      </c>
      <c r="J518" s="27" t="s">
        <v>50</v>
      </c>
      <c r="K518" s="27" t="s">
        <v>43</v>
      </c>
      <c r="L518" s="31" t="s">
        <v>1162</v>
      </c>
      <c r="M518" s="32">
        <v>0.56999999999999995</v>
      </c>
      <c r="N518" s="27" t="s">
        <v>33</v>
      </c>
      <c r="O518" s="27" t="s">
        <v>53</v>
      </c>
      <c r="P518" s="27" t="s">
        <v>289</v>
      </c>
      <c r="Q518" s="27" t="s">
        <v>1163</v>
      </c>
      <c r="R518" s="33">
        <v>48227</v>
      </c>
      <c r="S518" s="34">
        <v>42049</v>
      </c>
      <c r="T518" s="34">
        <v>42051</v>
      </c>
      <c r="U518" s="29">
        <v>-47.28</v>
      </c>
      <c r="V518" s="26">
        <v>45</v>
      </c>
      <c r="W518" s="29">
        <v>761.67</v>
      </c>
      <c r="X518" s="26">
        <v>41636</v>
      </c>
      <c r="Y518" s="35">
        <v>1.73</v>
      </c>
      <c r="Z518" s="1" t="s">
        <v>3012</v>
      </c>
      <c r="AA518" s="36">
        <v>38.205000000000005</v>
      </c>
      <c r="AB518" s="54">
        <v>327.5181</v>
      </c>
      <c r="AC518" s="54">
        <v>9.6478199999999976</v>
      </c>
      <c r="AD518" s="36">
        <v>762.96499999999992</v>
      </c>
    </row>
    <row r="519" spans="1:30" s="37" customFormat="1" ht="15.75" customHeight="1" x14ac:dyDescent="0.2">
      <c r="A519" s="26">
        <v>2490</v>
      </c>
      <c r="B519" s="27" t="s">
        <v>454</v>
      </c>
      <c r="C519" s="27" t="s">
        <v>26</v>
      </c>
      <c r="D519" s="28">
        <v>0.09</v>
      </c>
      <c r="E519" s="29">
        <v>348.21</v>
      </c>
      <c r="F519" s="29">
        <v>40.19</v>
      </c>
      <c r="G519" s="30" t="s">
        <v>27</v>
      </c>
      <c r="H519" s="27" t="s">
        <v>71</v>
      </c>
      <c r="I519" s="27" t="s">
        <v>29</v>
      </c>
      <c r="J519" s="27" t="s">
        <v>30</v>
      </c>
      <c r="K519" s="27" t="s">
        <v>31</v>
      </c>
      <c r="L519" s="31" t="s">
        <v>32</v>
      </c>
      <c r="M519" s="32">
        <v>0.62</v>
      </c>
      <c r="N519" s="27" t="s">
        <v>33</v>
      </c>
      <c r="O519" s="27" t="s">
        <v>60</v>
      </c>
      <c r="P519" s="27" t="s">
        <v>90</v>
      </c>
      <c r="Q519" s="27" t="s">
        <v>456</v>
      </c>
      <c r="R519" s="33">
        <v>92627</v>
      </c>
      <c r="S519" s="34">
        <v>42049</v>
      </c>
      <c r="T519" s="34">
        <v>42051</v>
      </c>
      <c r="U519" s="29">
        <v>-93.85</v>
      </c>
      <c r="V519" s="26">
        <v>2</v>
      </c>
      <c r="W519" s="29">
        <v>662.8</v>
      </c>
      <c r="X519" s="26">
        <v>86884</v>
      </c>
      <c r="Y519" s="35">
        <v>4.4000000000000004</v>
      </c>
      <c r="Z519" s="1" t="s">
        <v>3013</v>
      </c>
      <c r="AA519" s="36">
        <v>62.677799999999991</v>
      </c>
      <c r="AB519" s="54">
        <v>251.86399999999998</v>
      </c>
      <c r="AC519" s="54">
        <v>205.46799999999999</v>
      </c>
      <c r="AD519" s="36">
        <v>653.78219999999999</v>
      </c>
    </row>
    <row r="520" spans="1:30" s="37" customFormat="1" ht="15.75" customHeight="1" x14ac:dyDescent="0.2">
      <c r="A520" s="26">
        <v>1682</v>
      </c>
      <c r="B520" s="27" t="s">
        <v>1186</v>
      </c>
      <c r="C520" s="27" t="s">
        <v>3094</v>
      </c>
      <c r="D520" s="28">
        <v>0.04</v>
      </c>
      <c r="E520" s="29">
        <v>6.28</v>
      </c>
      <c r="F520" s="29">
        <v>5.41</v>
      </c>
      <c r="G520" s="30" t="s">
        <v>39</v>
      </c>
      <c r="H520" s="27" t="s">
        <v>40</v>
      </c>
      <c r="I520" s="27" t="s">
        <v>29</v>
      </c>
      <c r="J520" s="27" t="s">
        <v>126</v>
      </c>
      <c r="K520" s="27" t="s">
        <v>73</v>
      </c>
      <c r="L520" s="31" t="s">
        <v>930</v>
      </c>
      <c r="M520" s="32">
        <v>0.53</v>
      </c>
      <c r="N520" s="27" t="s">
        <v>33</v>
      </c>
      <c r="O520" s="27" t="s">
        <v>53</v>
      </c>
      <c r="P520" s="27" t="s">
        <v>103</v>
      </c>
      <c r="Q520" s="27" t="s">
        <v>533</v>
      </c>
      <c r="R520" s="33">
        <v>60611</v>
      </c>
      <c r="S520" s="34">
        <v>42049</v>
      </c>
      <c r="T520" s="34">
        <v>42051</v>
      </c>
      <c r="U520" s="29">
        <v>-38.380000000000003</v>
      </c>
      <c r="V520" s="26">
        <v>43</v>
      </c>
      <c r="W520" s="29">
        <v>284.48</v>
      </c>
      <c r="X520" s="26">
        <v>14115</v>
      </c>
      <c r="Y520" s="35">
        <v>8.32</v>
      </c>
      <c r="Z520" s="1" t="s">
        <v>3012</v>
      </c>
      <c r="AA520" s="36">
        <v>10.801600000000002</v>
      </c>
      <c r="AB520" s="54">
        <v>133.7056</v>
      </c>
      <c r="AC520" s="54">
        <v>3.5063813953488379</v>
      </c>
      <c r="AD520" s="36">
        <v>306.64840000000004</v>
      </c>
    </row>
    <row r="521" spans="1:30" s="37" customFormat="1" ht="15.75" customHeight="1" x14ac:dyDescent="0.2">
      <c r="A521" s="26">
        <v>308</v>
      </c>
      <c r="B521" s="27" t="s">
        <v>1177</v>
      </c>
      <c r="C521" s="27" t="s">
        <v>38</v>
      </c>
      <c r="D521" s="28">
        <v>0.01</v>
      </c>
      <c r="E521" s="29">
        <v>8.33</v>
      </c>
      <c r="F521" s="29">
        <v>1.99</v>
      </c>
      <c r="G521" s="30" t="s">
        <v>39</v>
      </c>
      <c r="H521" s="27" t="s">
        <v>3095</v>
      </c>
      <c r="I521" s="27" t="s">
        <v>41</v>
      </c>
      <c r="J521" s="27" t="s">
        <v>42</v>
      </c>
      <c r="K521" s="27" t="s">
        <v>43</v>
      </c>
      <c r="L521" s="31" t="s">
        <v>1174</v>
      </c>
      <c r="M521" s="32">
        <v>0.52</v>
      </c>
      <c r="N521" s="27" t="s">
        <v>33</v>
      </c>
      <c r="O521" s="27" t="s">
        <v>60</v>
      </c>
      <c r="P521" s="27" t="s">
        <v>67</v>
      </c>
      <c r="Q521" s="27" t="s">
        <v>142</v>
      </c>
      <c r="R521" s="33">
        <v>98115</v>
      </c>
      <c r="S521" s="34">
        <v>42049</v>
      </c>
      <c r="T521" s="34">
        <v>42050</v>
      </c>
      <c r="U521" s="29">
        <v>10.74</v>
      </c>
      <c r="V521" s="26">
        <v>32</v>
      </c>
      <c r="W521" s="29">
        <v>280.62</v>
      </c>
      <c r="X521" s="26">
        <v>37760</v>
      </c>
      <c r="Y521" s="35">
        <v>85.949999999999989</v>
      </c>
      <c r="Z521" s="1" t="s">
        <v>3013</v>
      </c>
      <c r="AA521" s="36">
        <v>2.6656</v>
      </c>
      <c r="AB521" s="54">
        <v>134.69759999999999</v>
      </c>
      <c r="AC521" s="54">
        <v>4.5600750000000003</v>
      </c>
      <c r="AD521" s="36">
        <v>265.2244</v>
      </c>
    </row>
    <row r="522" spans="1:30" s="37" customFormat="1" ht="15.75" customHeight="1" x14ac:dyDescent="0.2">
      <c r="A522" s="26">
        <v>1745</v>
      </c>
      <c r="B522" s="27" t="s">
        <v>359</v>
      </c>
      <c r="C522" s="27" t="s">
        <v>48</v>
      </c>
      <c r="D522" s="28">
        <v>0.04</v>
      </c>
      <c r="E522" s="29">
        <v>60.65</v>
      </c>
      <c r="F522" s="29">
        <v>12.23</v>
      </c>
      <c r="G522" s="30" t="s">
        <v>39</v>
      </c>
      <c r="H522" s="27" t="s">
        <v>71</v>
      </c>
      <c r="I522" s="27" t="s">
        <v>29</v>
      </c>
      <c r="J522" s="27" t="s">
        <v>126</v>
      </c>
      <c r="K522" s="27" t="s">
        <v>144</v>
      </c>
      <c r="L522" s="31" t="s">
        <v>1181</v>
      </c>
      <c r="M522" s="32">
        <v>0.64</v>
      </c>
      <c r="N522" s="27" t="s">
        <v>33</v>
      </c>
      <c r="O522" s="27" t="s">
        <v>34</v>
      </c>
      <c r="P522" s="27" t="s">
        <v>75</v>
      </c>
      <c r="Q522" s="27" t="s">
        <v>361</v>
      </c>
      <c r="R522" s="33">
        <v>30305</v>
      </c>
      <c r="S522" s="34">
        <v>42049</v>
      </c>
      <c r="T522" s="34">
        <v>42051</v>
      </c>
      <c r="U522" s="29">
        <v>116.5063</v>
      </c>
      <c r="V522" s="26">
        <v>4</v>
      </c>
      <c r="W522" s="29">
        <v>256.77</v>
      </c>
      <c r="X522" s="26">
        <v>13408</v>
      </c>
      <c r="Y522" s="35">
        <v>8.32</v>
      </c>
      <c r="Z522" s="1" t="s">
        <v>3011</v>
      </c>
      <c r="AA522" s="36">
        <v>9.7040000000000006</v>
      </c>
      <c r="AB522" s="54">
        <v>92.43719999999999</v>
      </c>
      <c r="AC522" s="54">
        <v>41.083199999999998</v>
      </c>
      <c r="AD522" s="36">
        <v>118.32969999999997</v>
      </c>
    </row>
    <row r="523" spans="1:30" s="37" customFormat="1" ht="15.75" customHeight="1" x14ac:dyDescent="0.2">
      <c r="A523" s="26">
        <v>2193</v>
      </c>
      <c r="B523" s="27" t="s">
        <v>1165</v>
      </c>
      <c r="C523" s="27" t="s">
        <v>26</v>
      </c>
      <c r="D523" s="28">
        <v>0.05</v>
      </c>
      <c r="E523" s="29">
        <v>16.98</v>
      </c>
      <c r="F523" s="29">
        <v>7.78</v>
      </c>
      <c r="G523" s="30" t="s">
        <v>39</v>
      </c>
      <c r="H523" s="27" t="s">
        <v>71</v>
      </c>
      <c r="I523" s="27" t="s">
        <v>49</v>
      </c>
      <c r="J523" s="27" t="s">
        <v>50</v>
      </c>
      <c r="K523" s="27" t="s">
        <v>43</v>
      </c>
      <c r="L523" s="31" t="s">
        <v>1162</v>
      </c>
      <c r="M523" s="32">
        <v>0.56999999999999995</v>
      </c>
      <c r="N523" s="27" t="s">
        <v>33</v>
      </c>
      <c r="O523" s="27" t="s">
        <v>34</v>
      </c>
      <c r="P523" s="27" t="s">
        <v>97</v>
      </c>
      <c r="Q523" s="27" t="s">
        <v>98</v>
      </c>
      <c r="R523" s="33">
        <v>28560</v>
      </c>
      <c r="S523" s="34">
        <v>42049</v>
      </c>
      <c r="T523" s="34">
        <v>42051</v>
      </c>
      <c r="U523" s="29">
        <v>-161</v>
      </c>
      <c r="V523" s="26">
        <v>11</v>
      </c>
      <c r="W523" s="29">
        <v>186.19</v>
      </c>
      <c r="X523" s="26">
        <v>90685</v>
      </c>
      <c r="Y523" s="35">
        <v>175.93</v>
      </c>
      <c r="Z523" s="1" t="s">
        <v>3011</v>
      </c>
      <c r="AA523" s="36">
        <v>9.3390000000000004</v>
      </c>
      <c r="AB523" s="54">
        <v>80.061700000000002</v>
      </c>
      <c r="AC523" s="54">
        <v>9.6480272727272709</v>
      </c>
      <c r="AD523" s="36">
        <v>330.07100000000003</v>
      </c>
    </row>
    <row r="524" spans="1:30" s="37" customFormat="1" ht="15.75" customHeight="1" x14ac:dyDescent="0.2">
      <c r="A524" s="26">
        <v>3393</v>
      </c>
      <c r="B524" s="27" t="s">
        <v>1171</v>
      </c>
      <c r="C524" s="27" t="s">
        <v>26</v>
      </c>
      <c r="D524" s="28">
        <v>0.08</v>
      </c>
      <c r="E524" s="29">
        <v>4.4800000000000004</v>
      </c>
      <c r="F524" s="29">
        <v>2.5</v>
      </c>
      <c r="G524" s="30" t="s">
        <v>39</v>
      </c>
      <c r="H524" s="27" t="s">
        <v>40</v>
      </c>
      <c r="I524" s="27" t="s">
        <v>49</v>
      </c>
      <c r="J524" s="27" t="s">
        <v>345</v>
      </c>
      <c r="K524" s="27" t="s">
        <v>73</v>
      </c>
      <c r="L524" s="31" t="s">
        <v>1021</v>
      </c>
      <c r="M524" s="32">
        <v>0.37</v>
      </c>
      <c r="N524" s="27" t="s">
        <v>33</v>
      </c>
      <c r="O524" s="27" t="s">
        <v>60</v>
      </c>
      <c r="P524" s="27" t="s">
        <v>67</v>
      </c>
      <c r="Q524" s="27" t="s">
        <v>1172</v>
      </c>
      <c r="R524" s="33">
        <v>99163</v>
      </c>
      <c r="S524" s="34">
        <v>42049</v>
      </c>
      <c r="T524" s="34">
        <v>42050</v>
      </c>
      <c r="U524" s="29">
        <v>-3.2448000000000001</v>
      </c>
      <c r="V524" s="26">
        <v>19</v>
      </c>
      <c r="W524" s="29">
        <v>80.2</v>
      </c>
      <c r="X524" s="26">
        <v>87909</v>
      </c>
      <c r="Y524" s="35">
        <v>60.61</v>
      </c>
      <c r="Z524" s="1" t="s">
        <v>3013</v>
      </c>
      <c r="AA524" s="36">
        <v>6.8096000000000014</v>
      </c>
      <c r="AB524" s="54">
        <v>50.526000000000003</v>
      </c>
      <c r="AC524" s="54">
        <v>1.5617894736842106</v>
      </c>
      <c r="AD524" s="36">
        <v>74.135199999999998</v>
      </c>
    </row>
    <row r="525" spans="1:30" s="37" customFormat="1" ht="15.75" customHeight="1" x14ac:dyDescent="0.2">
      <c r="A525" s="26">
        <v>1683</v>
      </c>
      <c r="B525" s="27" t="s">
        <v>1187</v>
      </c>
      <c r="C525" s="27" t="s">
        <v>3094</v>
      </c>
      <c r="D525" s="28">
        <v>0.04</v>
      </c>
      <c r="E525" s="29">
        <v>6.28</v>
      </c>
      <c r="F525" s="29">
        <v>5.41</v>
      </c>
      <c r="G525" s="30" t="s">
        <v>39</v>
      </c>
      <c r="H525" s="27" t="s">
        <v>40</v>
      </c>
      <c r="I525" s="27" t="s">
        <v>29</v>
      </c>
      <c r="J525" s="27" t="s">
        <v>126</v>
      </c>
      <c r="K525" s="27" t="s">
        <v>73</v>
      </c>
      <c r="L525" s="31" t="s">
        <v>930</v>
      </c>
      <c r="M525" s="32">
        <v>0.53</v>
      </c>
      <c r="N525" s="27" t="s">
        <v>33</v>
      </c>
      <c r="O525" s="27" t="s">
        <v>53</v>
      </c>
      <c r="P525" s="27" t="s">
        <v>187</v>
      </c>
      <c r="Q525" s="27" t="s">
        <v>1188</v>
      </c>
      <c r="R525" s="33">
        <v>77301</v>
      </c>
      <c r="S525" s="34">
        <v>42049</v>
      </c>
      <c r="T525" s="34">
        <v>42051</v>
      </c>
      <c r="U525" s="29">
        <v>-19.957599999999999</v>
      </c>
      <c r="V525" s="26">
        <v>11</v>
      </c>
      <c r="W525" s="29">
        <v>72.77</v>
      </c>
      <c r="X525" s="26">
        <v>90612</v>
      </c>
      <c r="Y525" s="35">
        <v>60.61</v>
      </c>
      <c r="Z525" s="1" t="s">
        <v>3012</v>
      </c>
      <c r="AA525" s="36">
        <v>2.7632000000000003</v>
      </c>
      <c r="AB525" s="54">
        <v>34.201899999999995</v>
      </c>
      <c r="AC525" s="54">
        <v>3.5061909090909094</v>
      </c>
      <c r="AD525" s="36">
        <v>84.554399999999987</v>
      </c>
    </row>
    <row r="526" spans="1:30" s="37" customFormat="1" ht="15.75" customHeight="1" x14ac:dyDescent="0.2">
      <c r="A526" s="26">
        <v>306</v>
      </c>
      <c r="B526" s="27" t="s">
        <v>1173</v>
      </c>
      <c r="C526" s="27" t="s">
        <v>38</v>
      </c>
      <c r="D526" s="28">
        <v>0.01</v>
      </c>
      <c r="E526" s="29">
        <v>8.33</v>
      </c>
      <c r="F526" s="29">
        <v>1.99</v>
      </c>
      <c r="G526" s="30" t="s">
        <v>39</v>
      </c>
      <c r="H526" s="27" t="s">
        <v>3095</v>
      </c>
      <c r="I526" s="27" t="s">
        <v>41</v>
      </c>
      <c r="J526" s="27" t="s">
        <v>42</v>
      </c>
      <c r="K526" s="27" t="s">
        <v>43</v>
      </c>
      <c r="L526" s="31" t="s">
        <v>1174</v>
      </c>
      <c r="M526" s="32">
        <v>0.52</v>
      </c>
      <c r="N526" s="27" t="s">
        <v>33</v>
      </c>
      <c r="O526" s="27" t="s">
        <v>111</v>
      </c>
      <c r="P526" s="27" t="s">
        <v>418</v>
      </c>
      <c r="Q526" s="27" t="s">
        <v>1175</v>
      </c>
      <c r="R526" s="33">
        <v>21208</v>
      </c>
      <c r="S526" s="34">
        <v>42049</v>
      </c>
      <c r="T526" s="34">
        <v>42050</v>
      </c>
      <c r="U526" s="29">
        <v>15.895200000000001</v>
      </c>
      <c r="V526" s="26">
        <v>8</v>
      </c>
      <c r="W526" s="29">
        <v>70.16</v>
      </c>
      <c r="X526" s="26">
        <v>87057</v>
      </c>
      <c r="Y526" s="35">
        <v>236.97</v>
      </c>
      <c r="Z526" s="1" t="s">
        <v>3014</v>
      </c>
      <c r="AA526" s="36">
        <v>0.66639999999999999</v>
      </c>
      <c r="AB526" s="54">
        <v>33.6768</v>
      </c>
      <c r="AC526" s="54">
        <v>4.5603999999999996</v>
      </c>
      <c r="AD526" s="36">
        <v>51.608399999999996</v>
      </c>
    </row>
    <row r="527" spans="1:30" s="37" customFormat="1" ht="15.75" customHeight="1" x14ac:dyDescent="0.2">
      <c r="A527" s="26">
        <v>1749</v>
      </c>
      <c r="B527" s="27" t="s">
        <v>362</v>
      </c>
      <c r="C527" s="27" t="s">
        <v>48</v>
      </c>
      <c r="D527" s="28">
        <v>0.04</v>
      </c>
      <c r="E527" s="29">
        <v>60.65</v>
      </c>
      <c r="F527" s="29">
        <v>12.23</v>
      </c>
      <c r="G527" s="30" t="s">
        <v>39</v>
      </c>
      <c r="H527" s="27" t="s">
        <v>71</v>
      </c>
      <c r="I527" s="27" t="s">
        <v>29</v>
      </c>
      <c r="J527" s="27" t="s">
        <v>126</v>
      </c>
      <c r="K527" s="27" t="s">
        <v>144</v>
      </c>
      <c r="L527" s="31" t="s">
        <v>1181</v>
      </c>
      <c r="M527" s="32">
        <v>0.64</v>
      </c>
      <c r="N527" s="27" t="s">
        <v>33</v>
      </c>
      <c r="O527" s="27" t="s">
        <v>53</v>
      </c>
      <c r="P527" s="27" t="s">
        <v>207</v>
      </c>
      <c r="Q527" s="27" t="s">
        <v>363</v>
      </c>
      <c r="R527" s="33">
        <v>73505</v>
      </c>
      <c r="S527" s="34">
        <v>42049</v>
      </c>
      <c r="T527" s="34">
        <v>42051</v>
      </c>
      <c r="U527" s="29">
        <v>44.2911</v>
      </c>
      <c r="V527" s="26">
        <v>1</v>
      </c>
      <c r="W527" s="29">
        <v>64.19</v>
      </c>
      <c r="X527" s="26">
        <v>87244</v>
      </c>
      <c r="Y527" s="35">
        <v>236.97</v>
      </c>
      <c r="Z527" s="1" t="s">
        <v>3012</v>
      </c>
      <c r="AA527" s="36">
        <v>2.4260000000000002</v>
      </c>
      <c r="AB527" s="54">
        <v>23.1084</v>
      </c>
      <c r="AC527" s="54">
        <v>41.081600000000002</v>
      </c>
      <c r="AD527" s="36">
        <v>5.2428999999999917</v>
      </c>
    </row>
    <row r="528" spans="1:30" s="37" customFormat="1" ht="15.75" customHeight="1" x14ac:dyDescent="0.2">
      <c r="A528" s="26">
        <v>2358</v>
      </c>
      <c r="B528" s="27" t="s">
        <v>1166</v>
      </c>
      <c r="C528" s="27" t="s">
        <v>26</v>
      </c>
      <c r="D528" s="28">
        <v>0.05</v>
      </c>
      <c r="E528" s="29">
        <v>2.08</v>
      </c>
      <c r="F528" s="29">
        <v>2.56</v>
      </c>
      <c r="G528" s="30" t="s">
        <v>39</v>
      </c>
      <c r="H528" s="27" t="s">
        <v>71</v>
      </c>
      <c r="I528" s="27" t="s">
        <v>49</v>
      </c>
      <c r="J528" s="27" t="s">
        <v>568</v>
      </c>
      <c r="K528" s="27" t="s">
        <v>43</v>
      </c>
      <c r="L528" s="31" t="s">
        <v>1167</v>
      </c>
      <c r="M528" s="32">
        <v>0.55000000000000004</v>
      </c>
      <c r="N528" s="27" t="s">
        <v>33</v>
      </c>
      <c r="O528" s="27" t="s">
        <v>34</v>
      </c>
      <c r="P528" s="27" t="s">
        <v>123</v>
      </c>
      <c r="Q528" s="27" t="s">
        <v>1096</v>
      </c>
      <c r="R528" s="33">
        <v>33311</v>
      </c>
      <c r="S528" s="34">
        <v>42049</v>
      </c>
      <c r="T528" s="34">
        <v>42051</v>
      </c>
      <c r="U528" s="29">
        <v>-1045.0160000000001</v>
      </c>
      <c r="V528" s="26">
        <v>19</v>
      </c>
      <c r="W528" s="29">
        <v>40.93</v>
      </c>
      <c r="X528" s="26">
        <v>88268</v>
      </c>
      <c r="Y528" s="35">
        <v>6.24</v>
      </c>
      <c r="Z528" s="1" t="s">
        <v>3011</v>
      </c>
      <c r="AA528" s="36">
        <v>1.9760000000000002</v>
      </c>
      <c r="AB528" s="54">
        <v>18.418499999999998</v>
      </c>
      <c r="AC528" s="54">
        <v>1.1848157894736844</v>
      </c>
      <c r="AD528" s="36">
        <v>1081.4100000000001</v>
      </c>
    </row>
    <row r="529" spans="1:30" s="37" customFormat="1" ht="15.75" customHeight="1" x14ac:dyDescent="0.2">
      <c r="A529" s="26">
        <v>3069</v>
      </c>
      <c r="B529" s="27" t="s">
        <v>1168</v>
      </c>
      <c r="C529" s="27" t="s">
        <v>26</v>
      </c>
      <c r="D529" s="28">
        <v>0.09</v>
      </c>
      <c r="E529" s="29">
        <v>1.82</v>
      </c>
      <c r="F529" s="29">
        <v>0.83</v>
      </c>
      <c r="G529" s="30" t="s">
        <v>39</v>
      </c>
      <c r="H529" s="27" t="s">
        <v>40</v>
      </c>
      <c r="I529" s="27" t="s">
        <v>49</v>
      </c>
      <c r="J529" s="27" t="s">
        <v>50</v>
      </c>
      <c r="K529" s="27" t="s">
        <v>51</v>
      </c>
      <c r="L529" s="31" t="s">
        <v>1169</v>
      </c>
      <c r="M529" s="32">
        <v>0.56999999999999995</v>
      </c>
      <c r="N529" s="27" t="s">
        <v>33</v>
      </c>
      <c r="O529" s="27" t="s">
        <v>53</v>
      </c>
      <c r="P529" s="27" t="s">
        <v>84</v>
      </c>
      <c r="Q529" s="27" t="s">
        <v>1170</v>
      </c>
      <c r="R529" s="33">
        <v>55128</v>
      </c>
      <c r="S529" s="34">
        <v>42049</v>
      </c>
      <c r="T529" s="34">
        <v>42050</v>
      </c>
      <c r="U529" s="29">
        <v>-6.734</v>
      </c>
      <c r="V529" s="26">
        <v>22</v>
      </c>
      <c r="W529" s="29">
        <v>36.82</v>
      </c>
      <c r="X529" s="26">
        <v>88192</v>
      </c>
      <c r="Y529" s="35">
        <v>6.24</v>
      </c>
      <c r="Z529" s="1" t="s">
        <v>3012</v>
      </c>
      <c r="AA529" s="36">
        <v>3.6036000000000001</v>
      </c>
      <c r="AB529" s="54">
        <v>15.832600000000001</v>
      </c>
      <c r="AC529" s="54">
        <v>0.95397272727272719</v>
      </c>
      <c r="AD529" s="36">
        <v>39.120400000000004</v>
      </c>
    </row>
    <row r="530" spans="1:30" s="37" customFormat="1" ht="15.75" customHeight="1" x14ac:dyDescent="0.2">
      <c r="A530" s="26">
        <v>651</v>
      </c>
      <c r="B530" s="27" t="s">
        <v>294</v>
      </c>
      <c r="C530" s="27" t="s">
        <v>48</v>
      </c>
      <c r="D530" s="28">
        <v>0.04</v>
      </c>
      <c r="E530" s="29">
        <v>880.98</v>
      </c>
      <c r="F530" s="29">
        <v>44.55</v>
      </c>
      <c r="G530" s="30" t="s">
        <v>27</v>
      </c>
      <c r="H530" s="27" t="s">
        <v>40</v>
      </c>
      <c r="I530" s="27" t="s">
        <v>29</v>
      </c>
      <c r="J530" s="27" t="s">
        <v>117</v>
      </c>
      <c r="K530" s="27" t="s">
        <v>31</v>
      </c>
      <c r="L530" s="31" t="s">
        <v>238</v>
      </c>
      <c r="M530" s="32">
        <v>0.62</v>
      </c>
      <c r="N530" s="27" t="s">
        <v>33</v>
      </c>
      <c r="O530" s="27" t="s">
        <v>60</v>
      </c>
      <c r="P530" s="27" t="s">
        <v>296</v>
      </c>
      <c r="Q530" s="27" t="s">
        <v>297</v>
      </c>
      <c r="R530" s="33">
        <v>89115</v>
      </c>
      <c r="S530" s="34">
        <v>42050</v>
      </c>
      <c r="T530" s="34">
        <v>42054</v>
      </c>
      <c r="U530" s="29">
        <v>4233.2587999999996</v>
      </c>
      <c r="V530" s="26">
        <v>8</v>
      </c>
      <c r="W530" s="29">
        <v>6901.25</v>
      </c>
      <c r="X530" s="26">
        <v>91576</v>
      </c>
      <c r="Y530" s="35">
        <v>9.42</v>
      </c>
      <c r="Z530" s="1" t="s">
        <v>3013</v>
      </c>
      <c r="AA530" s="36">
        <v>281.91360000000003</v>
      </c>
      <c r="AB530" s="54">
        <v>2622.4749999999999</v>
      </c>
      <c r="AC530" s="54">
        <v>534.84687499999995</v>
      </c>
      <c r="AD530" s="36">
        <v>2341.5276000000003</v>
      </c>
    </row>
    <row r="531" spans="1:30" s="37" customFormat="1" ht="15.75" customHeight="1" x14ac:dyDescent="0.2">
      <c r="A531" s="26">
        <v>596</v>
      </c>
      <c r="B531" s="27" t="s">
        <v>1191</v>
      </c>
      <c r="C531" s="27" t="s">
        <v>26</v>
      </c>
      <c r="D531" s="28">
        <v>7.0000000000000007E-2</v>
      </c>
      <c r="E531" s="29">
        <v>417.4</v>
      </c>
      <c r="F531" s="29">
        <v>75.23</v>
      </c>
      <c r="G531" s="30" t="s">
        <v>27</v>
      </c>
      <c r="H531" s="27" t="s">
        <v>40</v>
      </c>
      <c r="I531" s="27" t="s">
        <v>29</v>
      </c>
      <c r="J531" s="27" t="s">
        <v>30</v>
      </c>
      <c r="K531" s="27" t="s">
        <v>31</v>
      </c>
      <c r="L531" s="31" t="s">
        <v>1195</v>
      </c>
      <c r="M531" s="32">
        <v>0.79</v>
      </c>
      <c r="N531" s="27" t="s">
        <v>33</v>
      </c>
      <c r="O531" s="27" t="s">
        <v>53</v>
      </c>
      <c r="P531" s="27" t="s">
        <v>54</v>
      </c>
      <c r="Q531" s="27" t="s">
        <v>1193</v>
      </c>
      <c r="R531" s="33">
        <v>46032</v>
      </c>
      <c r="S531" s="34">
        <v>42050</v>
      </c>
      <c r="T531" s="34">
        <v>42051</v>
      </c>
      <c r="U531" s="29">
        <v>-575.35199999999998</v>
      </c>
      <c r="V531" s="26">
        <v>12</v>
      </c>
      <c r="W531" s="29">
        <v>4910.72</v>
      </c>
      <c r="X531" s="26">
        <v>86308</v>
      </c>
      <c r="Y531" s="35">
        <v>3.77</v>
      </c>
      <c r="Z531" s="1" t="s">
        <v>3012</v>
      </c>
      <c r="AA531" s="36">
        <v>350.61599999999999</v>
      </c>
      <c r="AB531" s="54">
        <v>1031.2511999999999</v>
      </c>
      <c r="AC531" s="54">
        <v>323.28906666666671</v>
      </c>
      <c r="AD531" s="36">
        <v>5060.2260000000006</v>
      </c>
    </row>
    <row r="532" spans="1:30" s="37" customFormat="1" ht="15.75" customHeight="1" x14ac:dyDescent="0.2">
      <c r="A532" s="26">
        <v>2951</v>
      </c>
      <c r="B532" s="27" t="s">
        <v>1209</v>
      </c>
      <c r="C532" s="27" t="s">
        <v>116</v>
      </c>
      <c r="D532" s="28">
        <v>0.03</v>
      </c>
      <c r="E532" s="29">
        <v>89.99</v>
      </c>
      <c r="F532" s="29">
        <v>42</v>
      </c>
      <c r="G532" s="30" t="s">
        <v>27</v>
      </c>
      <c r="H532" s="27" t="s">
        <v>94</v>
      </c>
      <c r="I532" s="27" t="s">
        <v>29</v>
      </c>
      <c r="J532" s="27" t="s">
        <v>109</v>
      </c>
      <c r="K532" s="27" t="s">
        <v>58</v>
      </c>
      <c r="L532" s="31" t="s">
        <v>1211</v>
      </c>
      <c r="M532" s="32">
        <v>0.66</v>
      </c>
      <c r="N532" s="27" t="s">
        <v>33</v>
      </c>
      <c r="O532" s="27" t="s">
        <v>53</v>
      </c>
      <c r="P532" s="27" t="s">
        <v>537</v>
      </c>
      <c r="Q532" s="27" t="s">
        <v>1210</v>
      </c>
      <c r="R532" s="33">
        <v>67601</v>
      </c>
      <c r="S532" s="34">
        <v>42050</v>
      </c>
      <c r="T532" s="34">
        <v>42053</v>
      </c>
      <c r="U532" s="29">
        <v>-230.9528</v>
      </c>
      <c r="V532" s="26">
        <v>19</v>
      </c>
      <c r="W532" s="29">
        <v>1809.75</v>
      </c>
      <c r="X532" s="26">
        <v>91397</v>
      </c>
      <c r="Y532" s="35">
        <v>7.91</v>
      </c>
      <c r="Z532" s="1" t="s">
        <v>3012</v>
      </c>
      <c r="AA532" s="36">
        <v>51.294299999999993</v>
      </c>
      <c r="AB532" s="54">
        <v>615.31499999999994</v>
      </c>
      <c r="AC532" s="54">
        <v>62.865000000000002</v>
      </c>
      <c r="AD532" s="36">
        <v>1947.4085</v>
      </c>
    </row>
    <row r="533" spans="1:30" s="37" customFormat="1" ht="15.75" customHeight="1" x14ac:dyDescent="0.2">
      <c r="A533" s="26">
        <v>2951</v>
      </c>
      <c r="B533" s="27" t="s">
        <v>1209</v>
      </c>
      <c r="C533" s="27" t="s">
        <v>116</v>
      </c>
      <c r="D533" s="28">
        <v>7.0000000000000007E-2</v>
      </c>
      <c r="E533" s="29">
        <v>42.98</v>
      </c>
      <c r="F533" s="29">
        <v>4.62</v>
      </c>
      <c r="G533" s="30" t="s">
        <v>87</v>
      </c>
      <c r="H533" s="27" t="s">
        <v>94</v>
      </c>
      <c r="I533" s="27" t="s">
        <v>49</v>
      </c>
      <c r="J533" s="27" t="s">
        <v>95</v>
      </c>
      <c r="K533" s="27" t="s">
        <v>73</v>
      </c>
      <c r="L533" s="31" t="s">
        <v>280</v>
      </c>
      <c r="M533" s="32">
        <v>0.56000000000000005</v>
      </c>
      <c r="N533" s="27" t="s">
        <v>33</v>
      </c>
      <c r="O533" s="27" t="s">
        <v>53</v>
      </c>
      <c r="P533" s="27" t="s">
        <v>537</v>
      </c>
      <c r="Q533" s="27" t="s">
        <v>1210</v>
      </c>
      <c r="R533" s="33">
        <v>67601</v>
      </c>
      <c r="S533" s="34">
        <v>42050</v>
      </c>
      <c r="T533" s="34">
        <v>42052</v>
      </c>
      <c r="U533" s="29">
        <v>565.38599999999997</v>
      </c>
      <c r="V533" s="26">
        <v>19</v>
      </c>
      <c r="W533" s="29">
        <v>819.4</v>
      </c>
      <c r="X533" s="26">
        <v>91397</v>
      </c>
      <c r="Y533" s="35">
        <v>417.33</v>
      </c>
      <c r="Z533" s="1" t="s">
        <v>3012</v>
      </c>
      <c r="AA533" s="36">
        <v>57.163399999999996</v>
      </c>
      <c r="AB533" s="54">
        <v>360.53599999999994</v>
      </c>
      <c r="AC533" s="54">
        <v>24.150736842105267</v>
      </c>
      <c r="AD533" s="36">
        <v>192.23059999999998</v>
      </c>
    </row>
    <row r="534" spans="1:30" s="37" customFormat="1" ht="15.75" customHeight="1" x14ac:dyDescent="0.2">
      <c r="A534" s="26">
        <v>2355</v>
      </c>
      <c r="B534" s="27" t="s">
        <v>1212</v>
      </c>
      <c r="C534" s="27" t="s">
        <v>3094</v>
      </c>
      <c r="D534" s="28">
        <v>0.1</v>
      </c>
      <c r="E534" s="29">
        <v>78.69</v>
      </c>
      <c r="F534" s="29">
        <v>19.989999999999998</v>
      </c>
      <c r="G534" s="30" t="s">
        <v>39</v>
      </c>
      <c r="H534" s="27" t="s">
        <v>40</v>
      </c>
      <c r="I534" s="27" t="s">
        <v>29</v>
      </c>
      <c r="J534" s="27" t="s">
        <v>126</v>
      </c>
      <c r="K534" s="27" t="s">
        <v>73</v>
      </c>
      <c r="L534" s="31" t="s">
        <v>1213</v>
      </c>
      <c r="M534" s="32">
        <v>0.43</v>
      </c>
      <c r="N534" s="27" t="s">
        <v>33</v>
      </c>
      <c r="O534" s="27" t="s">
        <v>60</v>
      </c>
      <c r="P534" s="27" t="s">
        <v>90</v>
      </c>
      <c r="Q534" s="27" t="s">
        <v>1214</v>
      </c>
      <c r="R534" s="33">
        <v>92236</v>
      </c>
      <c r="S534" s="34">
        <v>42050</v>
      </c>
      <c r="T534" s="34">
        <v>42051</v>
      </c>
      <c r="U534" s="29">
        <v>465.43950000000001</v>
      </c>
      <c r="V534" s="26">
        <v>9</v>
      </c>
      <c r="W534" s="29">
        <v>674.55</v>
      </c>
      <c r="X534" s="26">
        <v>91304</v>
      </c>
      <c r="Y534" s="35">
        <v>4.9600000000000009</v>
      </c>
      <c r="Z534" s="1" t="s">
        <v>3013</v>
      </c>
      <c r="AA534" s="36">
        <v>70.820999999999998</v>
      </c>
      <c r="AB534" s="54">
        <v>384.49350000000004</v>
      </c>
      <c r="AC534" s="54">
        <v>32.228499999999997</v>
      </c>
      <c r="AD534" s="36">
        <v>118.29949999999997</v>
      </c>
    </row>
    <row r="535" spans="1:30" s="37" customFormat="1" ht="15.75" customHeight="1" x14ac:dyDescent="0.2">
      <c r="A535" s="26">
        <v>3211</v>
      </c>
      <c r="B535" s="27" t="s">
        <v>1199</v>
      </c>
      <c r="C535" s="27" t="s">
        <v>38</v>
      </c>
      <c r="D535" s="28">
        <v>0.1</v>
      </c>
      <c r="E535" s="29">
        <v>20.99</v>
      </c>
      <c r="F535" s="29">
        <v>2.5</v>
      </c>
      <c r="G535" s="30" t="s">
        <v>39</v>
      </c>
      <c r="H535" s="27" t="s">
        <v>94</v>
      </c>
      <c r="I535" s="27" t="s">
        <v>41</v>
      </c>
      <c r="J535" s="27" t="s">
        <v>135</v>
      </c>
      <c r="K535" s="27" t="s">
        <v>51</v>
      </c>
      <c r="L535" s="31" t="s">
        <v>1201</v>
      </c>
      <c r="M535" s="32">
        <v>0.81</v>
      </c>
      <c r="N535" s="27" t="s">
        <v>33</v>
      </c>
      <c r="O535" s="27" t="s">
        <v>53</v>
      </c>
      <c r="P535" s="27" t="s">
        <v>103</v>
      </c>
      <c r="Q535" s="27" t="s">
        <v>1200</v>
      </c>
      <c r="R535" s="33">
        <v>60101</v>
      </c>
      <c r="S535" s="34">
        <v>42050</v>
      </c>
      <c r="T535" s="34">
        <v>42051</v>
      </c>
      <c r="U535" s="29">
        <v>-43.65504</v>
      </c>
      <c r="V535" s="26">
        <v>23</v>
      </c>
      <c r="W535" s="29">
        <v>392.45</v>
      </c>
      <c r="X535" s="26">
        <v>91522</v>
      </c>
      <c r="Y535" s="35">
        <v>20.979999999999997</v>
      </c>
      <c r="Z535" s="1" t="s">
        <v>3012</v>
      </c>
      <c r="AA535" s="36">
        <v>48.276999999999994</v>
      </c>
      <c r="AB535" s="54">
        <v>74.565499999999972</v>
      </c>
      <c r="AC535" s="54">
        <v>13.821065217391306</v>
      </c>
      <c r="AD535" s="36">
        <v>385.32803999999999</v>
      </c>
    </row>
    <row r="536" spans="1:30" s="37" customFormat="1" ht="15.75" customHeight="1" x14ac:dyDescent="0.2">
      <c r="A536" s="26">
        <v>11</v>
      </c>
      <c r="B536" s="27" t="s">
        <v>1189</v>
      </c>
      <c r="C536" s="27" t="s">
        <v>26</v>
      </c>
      <c r="D536" s="28">
        <v>0.06</v>
      </c>
      <c r="E536" s="29">
        <v>9.48</v>
      </c>
      <c r="F536" s="29">
        <v>7.29</v>
      </c>
      <c r="G536" s="30" t="s">
        <v>39</v>
      </c>
      <c r="H536" s="27" t="s">
        <v>71</v>
      </c>
      <c r="I536" s="27" t="s">
        <v>29</v>
      </c>
      <c r="J536" s="27" t="s">
        <v>126</v>
      </c>
      <c r="K536" s="27" t="s">
        <v>43</v>
      </c>
      <c r="L536" s="31" t="s">
        <v>504</v>
      </c>
      <c r="M536" s="32">
        <v>0.45</v>
      </c>
      <c r="N536" s="27" t="s">
        <v>33</v>
      </c>
      <c r="O536" s="27" t="s">
        <v>111</v>
      </c>
      <c r="P536" s="27" t="s">
        <v>397</v>
      </c>
      <c r="Q536" s="27" t="s">
        <v>1190</v>
      </c>
      <c r="R536" s="33">
        <v>7203</v>
      </c>
      <c r="S536" s="34">
        <v>42050</v>
      </c>
      <c r="T536" s="34">
        <v>42052</v>
      </c>
      <c r="U536" s="29">
        <v>-53.809600000000003</v>
      </c>
      <c r="V536" s="26">
        <v>22</v>
      </c>
      <c r="W536" s="29">
        <v>211.15</v>
      </c>
      <c r="X536" s="26">
        <v>90192</v>
      </c>
      <c r="Y536" s="35">
        <v>7.21</v>
      </c>
      <c r="Z536" s="1" t="s">
        <v>3014</v>
      </c>
      <c r="AA536" s="36">
        <v>12.5136</v>
      </c>
      <c r="AB536" s="54">
        <v>116.13250000000001</v>
      </c>
      <c r="AC536" s="54">
        <v>4.3189772727272731</v>
      </c>
      <c r="AD536" s="36">
        <v>245.15600000000001</v>
      </c>
    </row>
    <row r="537" spans="1:30" s="37" customFormat="1" ht="15.75" customHeight="1" x14ac:dyDescent="0.2">
      <c r="A537" s="26">
        <v>651</v>
      </c>
      <c r="B537" s="27" t="s">
        <v>294</v>
      </c>
      <c r="C537" s="27" t="s">
        <v>48</v>
      </c>
      <c r="D537" s="28">
        <v>0.01</v>
      </c>
      <c r="E537" s="29">
        <v>15.99</v>
      </c>
      <c r="F537" s="29">
        <v>11.28</v>
      </c>
      <c r="G537" s="30" t="s">
        <v>39</v>
      </c>
      <c r="H537" s="27" t="s">
        <v>40</v>
      </c>
      <c r="I537" s="27" t="s">
        <v>41</v>
      </c>
      <c r="J537" s="27" t="s">
        <v>57</v>
      </c>
      <c r="K537" s="27" t="s">
        <v>144</v>
      </c>
      <c r="L537" s="31" t="s">
        <v>1206</v>
      </c>
      <c r="M537" s="32">
        <v>0.38</v>
      </c>
      <c r="N537" s="27" t="s">
        <v>33</v>
      </c>
      <c r="O537" s="27" t="s">
        <v>60</v>
      </c>
      <c r="P537" s="27" t="s">
        <v>296</v>
      </c>
      <c r="Q537" s="27" t="s">
        <v>297</v>
      </c>
      <c r="R537" s="33">
        <v>89115</v>
      </c>
      <c r="S537" s="34">
        <v>42050</v>
      </c>
      <c r="T537" s="34">
        <v>42057</v>
      </c>
      <c r="U537" s="29">
        <v>-36.671543999999997</v>
      </c>
      <c r="V537" s="26">
        <v>12</v>
      </c>
      <c r="W537" s="29">
        <v>200.68</v>
      </c>
      <c r="X537" s="26">
        <v>91576</v>
      </c>
      <c r="Y537" s="35">
        <v>20.889999999999997</v>
      </c>
      <c r="Z537" s="1" t="s">
        <v>3013</v>
      </c>
      <c r="AA537" s="36">
        <v>1.9188000000000001</v>
      </c>
      <c r="AB537" s="54">
        <v>124.4216</v>
      </c>
      <c r="AC537" s="54">
        <v>6.3548666666666662</v>
      </c>
      <c r="AD537" s="36">
        <v>224.15274400000001</v>
      </c>
    </row>
    <row r="538" spans="1:30" s="37" customFormat="1" ht="15.75" customHeight="1" x14ac:dyDescent="0.2">
      <c r="A538" s="26">
        <v>2260</v>
      </c>
      <c r="B538" s="27" t="s">
        <v>1196</v>
      </c>
      <c r="C538" s="27" t="s">
        <v>26</v>
      </c>
      <c r="D538" s="28">
        <v>0.01</v>
      </c>
      <c r="E538" s="29">
        <v>20.99</v>
      </c>
      <c r="F538" s="29">
        <v>0.99</v>
      </c>
      <c r="G538" s="30" t="s">
        <v>39</v>
      </c>
      <c r="H538" s="27" t="s">
        <v>94</v>
      </c>
      <c r="I538" s="27" t="s">
        <v>41</v>
      </c>
      <c r="J538" s="27" t="s">
        <v>135</v>
      </c>
      <c r="K538" s="27" t="s">
        <v>43</v>
      </c>
      <c r="L538" s="31" t="s">
        <v>1198</v>
      </c>
      <c r="M538" s="32">
        <v>0.83</v>
      </c>
      <c r="N538" s="27" t="s">
        <v>33</v>
      </c>
      <c r="O538" s="27" t="s">
        <v>34</v>
      </c>
      <c r="P538" s="27" t="s">
        <v>75</v>
      </c>
      <c r="Q538" s="27" t="s">
        <v>1197</v>
      </c>
      <c r="R538" s="33">
        <v>30161</v>
      </c>
      <c r="S538" s="34">
        <v>42050</v>
      </c>
      <c r="T538" s="34">
        <v>42051</v>
      </c>
      <c r="U538" s="29">
        <v>45.378</v>
      </c>
      <c r="V538" s="26">
        <v>9</v>
      </c>
      <c r="W538" s="29">
        <v>170.46</v>
      </c>
      <c r="X538" s="26">
        <v>89601</v>
      </c>
      <c r="Y538" s="35">
        <v>9.64</v>
      </c>
      <c r="Z538" s="1" t="s">
        <v>3011</v>
      </c>
      <c r="AA538" s="36">
        <v>1.8890999999999998</v>
      </c>
      <c r="AB538" s="54">
        <v>28.978200000000008</v>
      </c>
      <c r="AC538" s="54">
        <v>15.7202</v>
      </c>
      <c r="AD538" s="36">
        <v>122.2029</v>
      </c>
    </row>
    <row r="539" spans="1:30" s="37" customFormat="1" ht="15.75" customHeight="1" x14ac:dyDescent="0.2">
      <c r="A539" s="26">
        <v>651</v>
      </c>
      <c r="B539" s="27" t="s">
        <v>294</v>
      </c>
      <c r="C539" s="27" t="s">
        <v>48</v>
      </c>
      <c r="D539" s="28">
        <v>7.0000000000000007E-2</v>
      </c>
      <c r="E539" s="29">
        <v>13.4</v>
      </c>
      <c r="F539" s="29">
        <v>4.95</v>
      </c>
      <c r="G539" s="30" t="s">
        <v>39</v>
      </c>
      <c r="H539" s="27" t="s">
        <v>40</v>
      </c>
      <c r="I539" s="27" t="s">
        <v>29</v>
      </c>
      <c r="J539" s="27" t="s">
        <v>126</v>
      </c>
      <c r="K539" s="27" t="s">
        <v>43</v>
      </c>
      <c r="L539" s="31" t="s">
        <v>1205</v>
      </c>
      <c r="M539" s="32">
        <v>0.37</v>
      </c>
      <c r="N539" s="27" t="s">
        <v>33</v>
      </c>
      <c r="O539" s="27" t="s">
        <v>60</v>
      </c>
      <c r="P539" s="27" t="s">
        <v>296</v>
      </c>
      <c r="Q539" s="27" t="s">
        <v>297</v>
      </c>
      <c r="R539" s="33">
        <v>89115</v>
      </c>
      <c r="S539" s="34">
        <v>42050</v>
      </c>
      <c r="T539" s="34">
        <v>42055</v>
      </c>
      <c r="U539" s="29">
        <v>102.76860000000001</v>
      </c>
      <c r="V539" s="26">
        <v>11</v>
      </c>
      <c r="W539" s="29">
        <v>148.94</v>
      </c>
      <c r="X539" s="26">
        <v>91576</v>
      </c>
      <c r="Y539" s="35">
        <v>880.94</v>
      </c>
      <c r="Z539" s="1" t="s">
        <v>3013</v>
      </c>
      <c r="AA539" s="36">
        <v>10.318000000000001</v>
      </c>
      <c r="AB539" s="54">
        <v>93.8322</v>
      </c>
      <c r="AC539" s="54">
        <v>5.0097999999999994</v>
      </c>
      <c r="AD539" s="36">
        <v>30.903399999999991</v>
      </c>
    </row>
    <row r="540" spans="1:30" s="37" customFormat="1" ht="15.75" customHeight="1" x14ac:dyDescent="0.2">
      <c r="A540" s="26">
        <v>2260</v>
      </c>
      <c r="B540" s="27" t="s">
        <v>1196</v>
      </c>
      <c r="C540" s="27" t="s">
        <v>26</v>
      </c>
      <c r="D540" s="28">
        <v>0.02</v>
      </c>
      <c r="E540" s="29">
        <v>4.9800000000000004</v>
      </c>
      <c r="F540" s="29">
        <v>0.49</v>
      </c>
      <c r="G540" s="30" t="s">
        <v>39</v>
      </c>
      <c r="H540" s="27" t="s">
        <v>94</v>
      </c>
      <c r="I540" s="27" t="s">
        <v>49</v>
      </c>
      <c r="J540" s="27" t="s">
        <v>152</v>
      </c>
      <c r="K540" s="27" t="s">
        <v>73</v>
      </c>
      <c r="L540" s="31" t="s">
        <v>1103</v>
      </c>
      <c r="M540" s="32">
        <v>0.39</v>
      </c>
      <c r="N540" s="27" t="s">
        <v>33</v>
      </c>
      <c r="O540" s="27" t="s">
        <v>34</v>
      </c>
      <c r="P540" s="27" t="s">
        <v>75</v>
      </c>
      <c r="Q540" s="27" t="s">
        <v>1197</v>
      </c>
      <c r="R540" s="33">
        <v>30161</v>
      </c>
      <c r="S540" s="34">
        <v>42050</v>
      </c>
      <c r="T540" s="34">
        <v>42051</v>
      </c>
      <c r="U540" s="29">
        <v>-52.863999999999997</v>
      </c>
      <c r="V540" s="26">
        <v>17</v>
      </c>
      <c r="W540" s="29">
        <v>87.11</v>
      </c>
      <c r="X540" s="26">
        <v>89601</v>
      </c>
      <c r="Y540" s="35">
        <v>13.33</v>
      </c>
      <c r="Z540" s="1" t="s">
        <v>3011</v>
      </c>
      <c r="AA540" s="36">
        <v>1.6932</v>
      </c>
      <c r="AB540" s="54">
        <v>53.137099999999997</v>
      </c>
      <c r="AC540" s="54">
        <v>1.9984058823529411</v>
      </c>
      <c r="AD540" s="36">
        <v>137.79079999999999</v>
      </c>
    </row>
    <row r="541" spans="1:30" s="37" customFormat="1" ht="15.75" customHeight="1" x14ac:dyDescent="0.2">
      <c r="A541" s="26">
        <v>3211</v>
      </c>
      <c r="B541" s="27" t="s">
        <v>1199</v>
      </c>
      <c r="C541" s="27" t="s">
        <v>38</v>
      </c>
      <c r="D541" s="28">
        <v>0.1</v>
      </c>
      <c r="E541" s="29">
        <v>7.31</v>
      </c>
      <c r="F541" s="29">
        <v>0.49</v>
      </c>
      <c r="G541" s="30" t="s">
        <v>39</v>
      </c>
      <c r="H541" s="27" t="s">
        <v>94</v>
      </c>
      <c r="I541" s="27" t="s">
        <v>49</v>
      </c>
      <c r="J541" s="27" t="s">
        <v>152</v>
      </c>
      <c r="K541" s="27" t="s">
        <v>73</v>
      </c>
      <c r="L541" s="31" t="s">
        <v>1127</v>
      </c>
      <c r="M541" s="32">
        <v>0.38</v>
      </c>
      <c r="N541" s="27" t="s">
        <v>33</v>
      </c>
      <c r="O541" s="27" t="s">
        <v>53</v>
      </c>
      <c r="P541" s="27" t="s">
        <v>103</v>
      </c>
      <c r="Q541" s="27" t="s">
        <v>1200</v>
      </c>
      <c r="R541" s="33">
        <v>60101</v>
      </c>
      <c r="S541" s="34">
        <v>42050</v>
      </c>
      <c r="T541" s="34">
        <v>42051</v>
      </c>
      <c r="U541" s="29">
        <v>55.020600000000002</v>
      </c>
      <c r="V541" s="26">
        <v>12</v>
      </c>
      <c r="W541" s="29">
        <v>79.739999999999995</v>
      </c>
      <c r="X541" s="26">
        <v>91522</v>
      </c>
      <c r="Y541" s="35">
        <v>15.98</v>
      </c>
      <c r="Z541" s="1" t="s">
        <v>3012</v>
      </c>
      <c r="AA541" s="36">
        <v>8.7720000000000002</v>
      </c>
      <c r="AB541" s="54">
        <v>49.438799999999993</v>
      </c>
      <c r="AC541" s="54">
        <v>2.5250999999999997</v>
      </c>
      <c r="AD541" s="36">
        <v>15.457399999999993</v>
      </c>
    </row>
    <row r="542" spans="1:30" s="37" customFormat="1" ht="15.75" customHeight="1" x14ac:dyDescent="0.2">
      <c r="A542" s="26">
        <v>596</v>
      </c>
      <c r="B542" s="27" t="s">
        <v>1191</v>
      </c>
      <c r="C542" s="27" t="s">
        <v>26</v>
      </c>
      <c r="D542" s="28">
        <v>7.0000000000000007E-2</v>
      </c>
      <c r="E542" s="29">
        <v>7.98</v>
      </c>
      <c r="F542" s="29">
        <v>1.25</v>
      </c>
      <c r="G542" s="30" t="s">
        <v>39</v>
      </c>
      <c r="H542" s="27" t="s">
        <v>40</v>
      </c>
      <c r="I542" s="27" t="s">
        <v>49</v>
      </c>
      <c r="J542" s="27" t="s">
        <v>88</v>
      </c>
      <c r="K542" s="27" t="s">
        <v>51</v>
      </c>
      <c r="L542" s="31" t="s">
        <v>1194</v>
      </c>
      <c r="M542" s="32">
        <v>0.35</v>
      </c>
      <c r="N542" s="27" t="s">
        <v>33</v>
      </c>
      <c r="O542" s="27" t="s">
        <v>53</v>
      </c>
      <c r="P542" s="27" t="s">
        <v>54</v>
      </c>
      <c r="Q542" s="27" t="s">
        <v>1193</v>
      </c>
      <c r="R542" s="33">
        <v>46032</v>
      </c>
      <c r="S542" s="34">
        <v>42050</v>
      </c>
      <c r="T542" s="34">
        <v>42052</v>
      </c>
      <c r="U542" s="29">
        <v>26.585699999999999</v>
      </c>
      <c r="V542" s="26">
        <v>5</v>
      </c>
      <c r="W542" s="29">
        <v>38.53</v>
      </c>
      <c r="X542" s="26">
        <v>86308</v>
      </c>
      <c r="Y542" s="35">
        <v>8.65</v>
      </c>
      <c r="Z542" s="1" t="s">
        <v>3012</v>
      </c>
      <c r="AA542" s="36">
        <v>2.7930000000000006</v>
      </c>
      <c r="AB542" s="54">
        <v>25.044500000000003</v>
      </c>
      <c r="AC542" s="54">
        <v>2.6970999999999998</v>
      </c>
      <c r="AD542" s="36">
        <v>7.9013000000000027</v>
      </c>
    </row>
    <row r="543" spans="1:30" s="37" customFormat="1" ht="15.75" customHeight="1" x14ac:dyDescent="0.2">
      <c r="A543" s="26">
        <v>393</v>
      </c>
      <c r="B543" s="27" t="s">
        <v>1202</v>
      </c>
      <c r="C543" s="27" t="s">
        <v>48</v>
      </c>
      <c r="D543" s="28">
        <v>7.0000000000000007E-2</v>
      </c>
      <c r="E543" s="29">
        <v>9.7100000000000009</v>
      </c>
      <c r="F543" s="29">
        <v>9.4499999999999993</v>
      </c>
      <c r="G543" s="30" t="s">
        <v>39</v>
      </c>
      <c r="H543" s="27" t="s">
        <v>94</v>
      </c>
      <c r="I543" s="27" t="s">
        <v>49</v>
      </c>
      <c r="J543" s="27" t="s">
        <v>78</v>
      </c>
      <c r="K543" s="27" t="s">
        <v>73</v>
      </c>
      <c r="L543" s="31" t="s">
        <v>1203</v>
      </c>
      <c r="M543" s="32">
        <v>0.6</v>
      </c>
      <c r="N543" s="27" t="s">
        <v>33</v>
      </c>
      <c r="O543" s="27" t="s">
        <v>111</v>
      </c>
      <c r="P543" s="27" t="s">
        <v>112</v>
      </c>
      <c r="Q543" s="27" t="s">
        <v>1204</v>
      </c>
      <c r="R543" s="33">
        <v>13021</v>
      </c>
      <c r="S543" s="34">
        <v>42050</v>
      </c>
      <c r="T543" s="34">
        <v>42057</v>
      </c>
      <c r="U543" s="29">
        <v>-81.77</v>
      </c>
      <c r="V543" s="26">
        <v>3</v>
      </c>
      <c r="W543" s="29">
        <v>31.44</v>
      </c>
      <c r="X543" s="26">
        <v>86382</v>
      </c>
      <c r="Y543" s="35">
        <v>18.88</v>
      </c>
      <c r="Z543" s="1" t="s">
        <v>3014</v>
      </c>
      <c r="AA543" s="36">
        <v>2.0391000000000004</v>
      </c>
      <c r="AB543" s="54">
        <v>12.576000000000001</v>
      </c>
      <c r="AC543" s="54">
        <v>6.2880000000000003</v>
      </c>
      <c r="AD543" s="36">
        <v>101.72089999999999</v>
      </c>
    </row>
    <row r="544" spans="1:30" s="37" customFormat="1" ht="15.75" customHeight="1" x14ac:dyDescent="0.2">
      <c r="A544" s="26">
        <v>596</v>
      </c>
      <c r="B544" s="27" t="s">
        <v>1191</v>
      </c>
      <c r="C544" s="27" t="s">
        <v>26</v>
      </c>
      <c r="D544" s="28">
        <v>0.03</v>
      </c>
      <c r="E544" s="29">
        <v>3.8</v>
      </c>
      <c r="F544" s="29">
        <v>1.49</v>
      </c>
      <c r="G544" s="30" t="s">
        <v>39</v>
      </c>
      <c r="H544" s="27" t="s">
        <v>40</v>
      </c>
      <c r="I544" s="27" t="s">
        <v>49</v>
      </c>
      <c r="J544" s="27" t="s">
        <v>72</v>
      </c>
      <c r="K544" s="27" t="s">
        <v>73</v>
      </c>
      <c r="L544" s="31" t="s">
        <v>1192</v>
      </c>
      <c r="M544" s="32">
        <v>0.38</v>
      </c>
      <c r="N544" s="27" t="s">
        <v>33</v>
      </c>
      <c r="O544" s="27" t="s">
        <v>53</v>
      </c>
      <c r="P544" s="27" t="s">
        <v>54</v>
      </c>
      <c r="Q544" s="27" t="s">
        <v>1193</v>
      </c>
      <c r="R544" s="33">
        <v>46032</v>
      </c>
      <c r="S544" s="34">
        <v>42050</v>
      </c>
      <c r="T544" s="34">
        <v>42052</v>
      </c>
      <c r="U544" s="29">
        <v>15.2745</v>
      </c>
      <c r="V544" s="26">
        <v>6</v>
      </c>
      <c r="W544" s="29">
        <v>24.27</v>
      </c>
      <c r="X544" s="26">
        <v>86308</v>
      </c>
      <c r="Y544" s="35">
        <v>42.91</v>
      </c>
      <c r="Z544" s="1" t="s">
        <v>3012</v>
      </c>
      <c r="AA544" s="36">
        <v>0.68399999999999994</v>
      </c>
      <c r="AB544" s="54">
        <v>15.0474</v>
      </c>
      <c r="AC544" s="54">
        <v>1.5370999999999999</v>
      </c>
      <c r="AD544" s="36">
        <v>6.8215000000000003</v>
      </c>
    </row>
    <row r="545" spans="1:30" s="37" customFormat="1" ht="15.75" customHeight="1" x14ac:dyDescent="0.2">
      <c r="A545" s="26">
        <v>2684</v>
      </c>
      <c r="B545" s="27" t="s">
        <v>1207</v>
      </c>
      <c r="C545" s="27" t="s">
        <v>48</v>
      </c>
      <c r="D545" s="28">
        <v>0.09</v>
      </c>
      <c r="E545" s="29">
        <v>18.97</v>
      </c>
      <c r="F545" s="29">
        <v>9.0299999999999994</v>
      </c>
      <c r="G545" s="30" t="s">
        <v>39</v>
      </c>
      <c r="H545" s="27" t="s">
        <v>3095</v>
      </c>
      <c r="I545" s="27" t="s">
        <v>49</v>
      </c>
      <c r="J545" s="27" t="s">
        <v>88</v>
      </c>
      <c r="K545" s="27" t="s">
        <v>73</v>
      </c>
      <c r="L545" s="31" t="s">
        <v>630</v>
      </c>
      <c r="M545" s="32">
        <v>0.37</v>
      </c>
      <c r="N545" s="27" t="s">
        <v>33</v>
      </c>
      <c r="O545" s="27" t="s">
        <v>34</v>
      </c>
      <c r="P545" s="27" t="s">
        <v>123</v>
      </c>
      <c r="Q545" s="27" t="s">
        <v>1208</v>
      </c>
      <c r="R545" s="33">
        <v>33952</v>
      </c>
      <c r="S545" s="34">
        <v>42050</v>
      </c>
      <c r="T545" s="34">
        <v>42055</v>
      </c>
      <c r="U545" s="29">
        <v>-1748.0119999999999</v>
      </c>
      <c r="V545" s="26">
        <v>1</v>
      </c>
      <c r="W545" s="29">
        <v>20.96</v>
      </c>
      <c r="X545" s="26">
        <v>89146</v>
      </c>
      <c r="Y545" s="35">
        <v>89.96</v>
      </c>
      <c r="Z545" s="1" t="s">
        <v>3011</v>
      </c>
      <c r="AA545" s="36">
        <v>1.7072999999999998</v>
      </c>
      <c r="AB545" s="54">
        <v>13.204800000000001</v>
      </c>
      <c r="AC545" s="54">
        <v>7.7552000000000003</v>
      </c>
      <c r="AD545" s="36">
        <v>1758.2347</v>
      </c>
    </row>
    <row r="546" spans="1:30" s="37" customFormat="1" ht="15.75" customHeight="1" x14ac:dyDescent="0.2">
      <c r="A546" s="26">
        <v>2684</v>
      </c>
      <c r="B546" s="27" t="s">
        <v>1207</v>
      </c>
      <c r="C546" s="27" t="s">
        <v>48</v>
      </c>
      <c r="D546" s="28">
        <v>0.09</v>
      </c>
      <c r="E546" s="29">
        <v>8.74</v>
      </c>
      <c r="F546" s="29">
        <v>1.39</v>
      </c>
      <c r="G546" s="30" t="s">
        <v>87</v>
      </c>
      <c r="H546" s="27" t="s">
        <v>3095</v>
      </c>
      <c r="I546" s="27" t="s">
        <v>49</v>
      </c>
      <c r="J546" s="27" t="s">
        <v>345</v>
      </c>
      <c r="K546" s="27" t="s">
        <v>73</v>
      </c>
      <c r="L546" s="31" t="s">
        <v>440</v>
      </c>
      <c r="M546" s="32">
        <v>0.38</v>
      </c>
      <c r="N546" s="27" t="s">
        <v>33</v>
      </c>
      <c r="O546" s="27" t="s">
        <v>34</v>
      </c>
      <c r="P546" s="27" t="s">
        <v>123</v>
      </c>
      <c r="Q546" s="27" t="s">
        <v>1208</v>
      </c>
      <c r="R546" s="33">
        <v>33952</v>
      </c>
      <c r="S546" s="34">
        <v>42050</v>
      </c>
      <c r="T546" s="34">
        <v>42055</v>
      </c>
      <c r="U546" s="29">
        <v>23.616</v>
      </c>
      <c r="V546" s="26">
        <v>1</v>
      </c>
      <c r="W546" s="29">
        <v>11.78</v>
      </c>
      <c r="X546" s="26">
        <v>89146</v>
      </c>
      <c r="Y546" s="35">
        <v>78.59</v>
      </c>
      <c r="Z546" s="1" t="s">
        <v>3011</v>
      </c>
      <c r="AA546" s="36">
        <v>0.78659999999999997</v>
      </c>
      <c r="AB546" s="54">
        <v>7.3035999999999994</v>
      </c>
      <c r="AC546" s="54">
        <v>4.4763999999999999</v>
      </c>
      <c r="AD546" s="36">
        <v>-14.012600000000001</v>
      </c>
    </row>
    <row r="547" spans="1:30" s="37" customFormat="1" ht="15.75" customHeight="1" x14ac:dyDescent="0.2">
      <c r="A547" s="26">
        <v>1129</v>
      </c>
      <c r="B547" s="27" t="s">
        <v>786</v>
      </c>
      <c r="C547" s="27" t="s">
        <v>48</v>
      </c>
      <c r="D547" s="28">
        <v>7.0000000000000007E-2</v>
      </c>
      <c r="E547" s="29">
        <v>699.99</v>
      </c>
      <c r="F547" s="29">
        <v>24.49</v>
      </c>
      <c r="G547" s="30" t="s">
        <v>39</v>
      </c>
      <c r="H547" s="27" t="s">
        <v>71</v>
      </c>
      <c r="I547" s="27" t="s">
        <v>41</v>
      </c>
      <c r="J547" s="27" t="s">
        <v>64</v>
      </c>
      <c r="K547" s="27" t="s">
        <v>65</v>
      </c>
      <c r="L547" s="31" t="s">
        <v>1215</v>
      </c>
      <c r="M547" s="32">
        <v>0.54</v>
      </c>
      <c r="N547" s="27" t="s">
        <v>33</v>
      </c>
      <c r="O547" s="27" t="s">
        <v>111</v>
      </c>
      <c r="P547" s="27" t="s">
        <v>403</v>
      </c>
      <c r="Q547" s="27" t="s">
        <v>788</v>
      </c>
      <c r="R547" s="33">
        <v>2118</v>
      </c>
      <c r="S547" s="34">
        <v>42051</v>
      </c>
      <c r="T547" s="34">
        <v>42055</v>
      </c>
      <c r="U547" s="29">
        <v>325.29000000000002</v>
      </c>
      <c r="V547" s="26">
        <v>15</v>
      </c>
      <c r="W547" s="29">
        <v>9862.51</v>
      </c>
      <c r="X547" s="26">
        <v>32037</v>
      </c>
      <c r="Y547" s="35">
        <v>8.56</v>
      </c>
      <c r="Z547" s="1" t="s">
        <v>3014</v>
      </c>
      <c r="AA547" s="36">
        <v>734.98950000000013</v>
      </c>
      <c r="AB547" s="54">
        <v>4536.7545999999993</v>
      </c>
      <c r="AC547" s="54">
        <v>355.05036000000001</v>
      </c>
      <c r="AD547" s="36">
        <v>8777.7404999999999</v>
      </c>
    </row>
    <row r="548" spans="1:30" s="37" customFormat="1" ht="15.75" customHeight="1" x14ac:dyDescent="0.2">
      <c r="A548" s="26">
        <v>1132</v>
      </c>
      <c r="B548" s="27" t="s">
        <v>1093</v>
      </c>
      <c r="C548" s="27" t="s">
        <v>48</v>
      </c>
      <c r="D548" s="28">
        <v>7.0000000000000007E-2</v>
      </c>
      <c r="E548" s="29">
        <v>699.99</v>
      </c>
      <c r="F548" s="29">
        <v>24.49</v>
      </c>
      <c r="G548" s="30" t="s">
        <v>39</v>
      </c>
      <c r="H548" s="27" t="s">
        <v>71</v>
      </c>
      <c r="I548" s="27" t="s">
        <v>41</v>
      </c>
      <c r="J548" s="27" t="s">
        <v>64</v>
      </c>
      <c r="K548" s="27" t="s">
        <v>65</v>
      </c>
      <c r="L548" s="31" t="s">
        <v>1215</v>
      </c>
      <c r="M548" s="32">
        <v>0.54</v>
      </c>
      <c r="N548" s="27" t="s">
        <v>33</v>
      </c>
      <c r="O548" s="27" t="s">
        <v>53</v>
      </c>
      <c r="P548" s="27" t="s">
        <v>187</v>
      </c>
      <c r="Q548" s="27" t="s">
        <v>1094</v>
      </c>
      <c r="R548" s="33">
        <v>76039</v>
      </c>
      <c r="S548" s="34">
        <v>42051</v>
      </c>
      <c r="T548" s="34">
        <v>42055</v>
      </c>
      <c r="U548" s="29">
        <v>325.29000000000002</v>
      </c>
      <c r="V548" s="26">
        <v>4</v>
      </c>
      <c r="W548" s="29">
        <v>2630</v>
      </c>
      <c r="X548" s="26">
        <v>88102</v>
      </c>
      <c r="Y548" s="35">
        <v>699.92</v>
      </c>
      <c r="Z548" s="1" t="s">
        <v>3012</v>
      </c>
      <c r="AA548" s="36">
        <v>195.99720000000002</v>
      </c>
      <c r="AB548" s="54">
        <v>1209.8</v>
      </c>
      <c r="AC548" s="54">
        <v>355.05</v>
      </c>
      <c r="AD548" s="36">
        <v>2084.2228</v>
      </c>
    </row>
    <row r="549" spans="1:30" s="37" customFormat="1" ht="15.75" customHeight="1" x14ac:dyDescent="0.2">
      <c r="A549" s="26">
        <v>1625</v>
      </c>
      <c r="B549" s="27" t="s">
        <v>1223</v>
      </c>
      <c r="C549" s="27" t="s">
        <v>116</v>
      </c>
      <c r="D549" s="28">
        <v>0</v>
      </c>
      <c r="E549" s="29">
        <v>209.37</v>
      </c>
      <c r="F549" s="29">
        <v>69</v>
      </c>
      <c r="G549" s="30" t="s">
        <v>39</v>
      </c>
      <c r="H549" s="27" t="s">
        <v>71</v>
      </c>
      <c r="I549" s="27" t="s">
        <v>29</v>
      </c>
      <c r="J549" s="27" t="s">
        <v>30</v>
      </c>
      <c r="K549" s="27" t="s">
        <v>65</v>
      </c>
      <c r="L549" s="31" t="s">
        <v>1224</v>
      </c>
      <c r="M549" s="32">
        <v>0.79</v>
      </c>
      <c r="N549" s="27" t="s">
        <v>33</v>
      </c>
      <c r="O549" s="27" t="s">
        <v>111</v>
      </c>
      <c r="P549" s="27" t="s">
        <v>112</v>
      </c>
      <c r="Q549" s="27" t="s">
        <v>1225</v>
      </c>
      <c r="R549" s="33">
        <v>11542</v>
      </c>
      <c r="S549" s="34">
        <v>42051</v>
      </c>
      <c r="T549" s="34">
        <v>42053</v>
      </c>
      <c r="U549" s="29">
        <v>-263.11192907999998</v>
      </c>
      <c r="V549" s="26">
        <v>11</v>
      </c>
      <c r="W549" s="29">
        <v>1959.88</v>
      </c>
      <c r="X549" s="26">
        <v>90601</v>
      </c>
      <c r="Y549" s="35">
        <v>8.56</v>
      </c>
      <c r="Z549" s="1" t="s">
        <v>3014</v>
      </c>
      <c r="AA549" s="36">
        <v>0</v>
      </c>
      <c r="AB549" s="54">
        <v>411.57479999999993</v>
      </c>
      <c r="AC549" s="54">
        <v>140.7550181818182</v>
      </c>
      <c r="AD549" s="36">
        <v>2153.9919290799999</v>
      </c>
    </row>
    <row r="550" spans="1:30" s="37" customFormat="1" ht="15.75" customHeight="1" x14ac:dyDescent="0.2">
      <c r="A550" s="26">
        <v>3151</v>
      </c>
      <c r="B550" s="27" t="s">
        <v>953</v>
      </c>
      <c r="C550" s="27" t="s">
        <v>3094</v>
      </c>
      <c r="D550" s="28">
        <v>0.05</v>
      </c>
      <c r="E550" s="29">
        <v>25.99</v>
      </c>
      <c r="F550" s="29">
        <v>5.37</v>
      </c>
      <c r="G550" s="30" t="s">
        <v>87</v>
      </c>
      <c r="H550" s="27" t="s">
        <v>94</v>
      </c>
      <c r="I550" s="27" t="s">
        <v>49</v>
      </c>
      <c r="J550" s="27" t="s">
        <v>50</v>
      </c>
      <c r="K550" s="27" t="s">
        <v>73</v>
      </c>
      <c r="L550" s="31" t="s">
        <v>1226</v>
      </c>
      <c r="M550" s="32">
        <v>0.56000000000000005</v>
      </c>
      <c r="N550" s="27" t="s">
        <v>33</v>
      </c>
      <c r="O550" s="27" t="s">
        <v>60</v>
      </c>
      <c r="P550" s="27" t="s">
        <v>90</v>
      </c>
      <c r="Q550" s="27" t="s">
        <v>954</v>
      </c>
      <c r="R550" s="33">
        <v>92277</v>
      </c>
      <c r="S550" s="34">
        <v>42051</v>
      </c>
      <c r="T550" s="34">
        <v>42053</v>
      </c>
      <c r="U550" s="29">
        <v>220.35720000000001</v>
      </c>
      <c r="V550" s="26">
        <v>18</v>
      </c>
      <c r="W550" s="29">
        <v>451.35</v>
      </c>
      <c r="X550" s="26">
        <v>88545</v>
      </c>
      <c r="Y550" s="35">
        <v>699.92</v>
      </c>
      <c r="Z550" s="1" t="s">
        <v>3013</v>
      </c>
      <c r="AA550" s="36">
        <v>23.391000000000002</v>
      </c>
      <c r="AB550" s="54">
        <v>198.59399999999999</v>
      </c>
      <c r="AC550" s="54">
        <v>14.042000000000003</v>
      </c>
      <c r="AD550" s="36">
        <v>202.23180000000002</v>
      </c>
    </row>
    <row r="551" spans="1:30" s="37" customFormat="1" ht="15.75" customHeight="1" x14ac:dyDescent="0.2">
      <c r="A551" s="26">
        <v>1129</v>
      </c>
      <c r="B551" s="27" t="s">
        <v>786</v>
      </c>
      <c r="C551" s="27" t="s">
        <v>48</v>
      </c>
      <c r="D551" s="28">
        <v>0.04</v>
      </c>
      <c r="E551" s="29">
        <v>8.6</v>
      </c>
      <c r="F551" s="29">
        <v>6.19</v>
      </c>
      <c r="G551" s="30" t="s">
        <v>39</v>
      </c>
      <c r="H551" s="27" t="s">
        <v>71</v>
      </c>
      <c r="I551" s="27" t="s">
        <v>49</v>
      </c>
      <c r="J551" s="27" t="s">
        <v>72</v>
      </c>
      <c r="K551" s="27" t="s">
        <v>73</v>
      </c>
      <c r="L551" s="31" t="s">
        <v>532</v>
      </c>
      <c r="M551" s="32">
        <v>0.38</v>
      </c>
      <c r="N551" s="27" t="s">
        <v>33</v>
      </c>
      <c r="O551" s="27" t="s">
        <v>111</v>
      </c>
      <c r="P551" s="27" t="s">
        <v>403</v>
      </c>
      <c r="Q551" s="27" t="s">
        <v>788</v>
      </c>
      <c r="R551" s="33">
        <v>2118</v>
      </c>
      <c r="S551" s="34">
        <v>42051</v>
      </c>
      <c r="T551" s="34">
        <v>42058</v>
      </c>
      <c r="U551" s="29">
        <v>-63.813499999999998</v>
      </c>
      <c r="V551" s="26">
        <v>37</v>
      </c>
      <c r="W551" s="29">
        <v>311.66000000000003</v>
      </c>
      <c r="X551" s="26">
        <v>32037</v>
      </c>
      <c r="Y551" s="35">
        <v>11.48</v>
      </c>
      <c r="Z551" s="1" t="s">
        <v>3014</v>
      </c>
      <c r="AA551" s="36">
        <v>12.728</v>
      </c>
      <c r="AB551" s="54">
        <v>193.22920000000002</v>
      </c>
      <c r="AC551" s="54">
        <v>3.2008324324324327</v>
      </c>
      <c r="AD551" s="36">
        <v>356.55550000000005</v>
      </c>
    </row>
    <row r="552" spans="1:30" s="37" customFormat="1" ht="15.75" customHeight="1" x14ac:dyDescent="0.2">
      <c r="A552" s="26">
        <v>1228</v>
      </c>
      <c r="B552" s="27" t="s">
        <v>1220</v>
      </c>
      <c r="C552" s="27" t="s">
        <v>116</v>
      </c>
      <c r="D552" s="28">
        <v>0.01</v>
      </c>
      <c r="E552" s="29">
        <v>4.9800000000000004</v>
      </c>
      <c r="F552" s="29">
        <v>4.62</v>
      </c>
      <c r="G552" s="30" t="s">
        <v>87</v>
      </c>
      <c r="H552" s="27" t="s">
        <v>3095</v>
      </c>
      <c r="I552" s="27" t="s">
        <v>41</v>
      </c>
      <c r="J552" s="27" t="s">
        <v>42</v>
      </c>
      <c r="K552" s="27" t="s">
        <v>43</v>
      </c>
      <c r="L552" s="31" t="s">
        <v>1221</v>
      </c>
      <c r="M552" s="32">
        <v>0.64</v>
      </c>
      <c r="N552" s="27" t="s">
        <v>33</v>
      </c>
      <c r="O552" s="27" t="s">
        <v>111</v>
      </c>
      <c r="P552" s="27" t="s">
        <v>320</v>
      </c>
      <c r="Q552" s="27" t="s">
        <v>321</v>
      </c>
      <c r="R552" s="33">
        <v>19140</v>
      </c>
      <c r="S552" s="34">
        <v>42051</v>
      </c>
      <c r="T552" s="34">
        <v>42053</v>
      </c>
      <c r="U552" s="29">
        <v>-111.72</v>
      </c>
      <c r="V552" s="26">
        <v>41</v>
      </c>
      <c r="W552" s="29">
        <v>228.3</v>
      </c>
      <c r="X552" s="26">
        <v>55874</v>
      </c>
      <c r="Y552" s="35">
        <v>160.95999999999998</v>
      </c>
      <c r="Z552" s="1" t="s">
        <v>3014</v>
      </c>
      <c r="AA552" s="36">
        <v>2.0418000000000003</v>
      </c>
      <c r="AB552" s="54">
        <v>82.188000000000002</v>
      </c>
      <c r="AC552" s="54">
        <v>3.5637073170731708</v>
      </c>
      <c r="AD552" s="36">
        <v>333.35820000000001</v>
      </c>
    </row>
    <row r="553" spans="1:30" s="37" customFormat="1" ht="15.75" customHeight="1" x14ac:dyDescent="0.2">
      <c r="A553" s="26">
        <v>1228</v>
      </c>
      <c r="B553" s="27" t="s">
        <v>1220</v>
      </c>
      <c r="C553" s="27" t="s">
        <v>116</v>
      </c>
      <c r="D553" s="28">
        <v>0</v>
      </c>
      <c r="E553" s="29">
        <v>7.1</v>
      </c>
      <c r="F553" s="29">
        <v>6.05</v>
      </c>
      <c r="G553" s="30" t="s">
        <v>39</v>
      </c>
      <c r="H553" s="27" t="s">
        <v>3095</v>
      </c>
      <c r="I553" s="27" t="s">
        <v>49</v>
      </c>
      <c r="J553" s="27" t="s">
        <v>72</v>
      </c>
      <c r="K553" s="27" t="s">
        <v>73</v>
      </c>
      <c r="L553" s="31" t="s">
        <v>251</v>
      </c>
      <c r="M553" s="32">
        <v>0.39</v>
      </c>
      <c r="N553" s="27" t="s">
        <v>33</v>
      </c>
      <c r="O553" s="27" t="s">
        <v>111</v>
      </c>
      <c r="P553" s="27" t="s">
        <v>320</v>
      </c>
      <c r="Q553" s="27" t="s">
        <v>321</v>
      </c>
      <c r="R553" s="33">
        <v>19140</v>
      </c>
      <c r="S553" s="34">
        <v>42051</v>
      </c>
      <c r="T553" s="34">
        <v>42052</v>
      </c>
      <c r="U553" s="29">
        <v>-60.145000000000003</v>
      </c>
      <c r="V553" s="26">
        <v>28</v>
      </c>
      <c r="W553" s="29">
        <v>208.83</v>
      </c>
      <c r="X553" s="26">
        <v>55874</v>
      </c>
      <c r="Y553" s="35">
        <v>7.1</v>
      </c>
      <c r="Z553" s="1" t="s">
        <v>3014</v>
      </c>
      <c r="AA553" s="36">
        <v>0</v>
      </c>
      <c r="AB553" s="54">
        <v>127.38630000000001</v>
      </c>
      <c r="AC553" s="54">
        <v>2.9087035714285716</v>
      </c>
      <c r="AD553" s="36">
        <v>262.92500000000001</v>
      </c>
    </row>
    <row r="554" spans="1:30" s="37" customFormat="1" ht="15.75" customHeight="1" x14ac:dyDescent="0.2">
      <c r="A554" s="26">
        <v>1138</v>
      </c>
      <c r="B554" s="27" t="s">
        <v>1218</v>
      </c>
      <c r="C554" s="27" t="s">
        <v>116</v>
      </c>
      <c r="D554" s="28">
        <v>0.02</v>
      </c>
      <c r="E554" s="29">
        <v>160.97999999999999</v>
      </c>
      <c r="F554" s="29">
        <v>30</v>
      </c>
      <c r="G554" s="30" t="s">
        <v>27</v>
      </c>
      <c r="H554" s="27" t="s">
        <v>71</v>
      </c>
      <c r="I554" s="27" t="s">
        <v>29</v>
      </c>
      <c r="J554" s="27" t="s">
        <v>109</v>
      </c>
      <c r="K554" s="27" t="s">
        <v>58</v>
      </c>
      <c r="L554" s="31" t="s">
        <v>892</v>
      </c>
      <c r="M554" s="32">
        <v>0.62</v>
      </c>
      <c r="N554" s="27" t="s">
        <v>33</v>
      </c>
      <c r="O554" s="27" t="s">
        <v>53</v>
      </c>
      <c r="P554" s="27" t="s">
        <v>187</v>
      </c>
      <c r="Q554" s="27" t="s">
        <v>1219</v>
      </c>
      <c r="R554" s="33">
        <v>75056</v>
      </c>
      <c r="S554" s="34">
        <v>42051</v>
      </c>
      <c r="T554" s="34">
        <v>42054</v>
      </c>
      <c r="U554" s="29">
        <v>-51.116</v>
      </c>
      <c r="V554" s="26">
        <v>1</v>
      </c>
      <c r="W554" s="29">
        <v>192.49</v>
      </c>
      <c r="X554" s="26">
        <v>86574</v>
      </c>
      <c r="Y554" s="35">
        <v>4.9700000000000006</v>
      </c>
      <c r="Z554" s="1" t="s">
        <v>3012</v>
      </c>
      <c r="AA554" s="36">
        <v>3.2195999999999998</v>
      </c>
      <c r="AB554" s="54">
        <v>73.146200000000007</v>
      </c>
      <c r="AC554" s="54">
        <v>119.3438</v>
      </c>
      <c r="AD554" s="36">
        <v>210.38640000000001</v>
      </c>
    </row>
    <row r="555" spans="1:30" s="37" customFormat="1" ht="15.75" customHeight="1" x14ac:dyDescent="0.2">
      <c r="A555" s="26">
        <v>1228</v>
      </c>
      <c r="B555" s="27" t="s">
        <v>1220</v>
      </c>
      <c r="C555" s="27" t="s">
        <v>116</v>
      </c>
      <c r="D555" s="28">
        <v>0.06</v>
      </c>
      <c r="E555" s="29">
        <v>5.68</v>
      </c>
      <c r="F555" s="29">
        <v>1.39</v>
      </c>
      <c r="G555" s="30" t="s">
        <v>39</v>
      </c>
      <c r="H555" s="27" t="s">
        <v>3095</v>
      </c>
      <c r="I555" s="27" t="s">
        <v>49</v>
      </c>
      <c r="J555" s="27" t="s">
        <v>345</v>
      </c>
      <c r="K555" s="27" t="s">
        <v>73</v>
      </c>
      <c r="L555" s="31" t="s">
        <v>598</v>
      </c>
      <c r="M555" s="32">
        <v>0.38</v>
      </c>
      <c r="N555" s="27" t="s">
        <v>33</v>
      </c>
      <c r="O555" s="27" t="s">
        <v>111</v>
      </c>
      <c r="P555" s="27" t="s">
        <v>320</v>
      </c>
      <c r="Q555" s="27" t="s">
        <v>321</v>
      </c>
      <c r="R555" s="33">
        <v>19140</v>
      </c>
      <c r="S555" s="34">
        <v>42051</v>
      </c>
      <c r="T555" s="34">
        <v>42051</v>
      </c>
      <c r="U555" s="29">
        <v>33.01</v>
      </c>
      <c r="V555" s="26">
        <v>24</v>
      </c>
      <c r="W555" s="29">
        <v>129.53</v>
      </c>
      <c r="X555" s="26">
        <v>55874</v>
      </c>
      <c r="Y555" s="35">
        <v>5.62</v>
      </c>
      <c r="Z555" s="1" t="s">
        <v>3014</v>
      </c>
      <c r="AA555" s="36">
        <v>8.1791999999999998</v>
      </c>
      <c r="AB555" s="54">
        <v>80.308599999999998</v>
      </c>
      <c r="AC555" s="54">
        <v>2.0508916666666668</v>
      </c>
      <c r="AD555" s="36">
        <v>86.950800000000001</v>
      </c>
    </row>
    <row r="556" spans="1:30" s="37" customFormat="1" ht="15.75" customHeight="1" x14ac:dyDescent="0.2">
      <c r="A556" s="26">
        <v>1132</v>
      </c>
      <c r="B556" s="27" t="s">
        <v>1093</v>
      </c>
      <c r="C556" s="27" t="s">
        <v>48</v>
      </c>
      <c r="D556" s="28">
        <v>0.04</v>
      </c>
      <c r="E556" s="29">
        <v>8.6</v>
      </c>
      <c r="F556" s="29">
        <v>6.19</v>
      </c>
      <c r="G556" s="30" t="s">
        <v>39</v>
      </c>
      <c r="H556" s="27" t="s">
        <v>71</v>
      </c>
      <c r="I556" s="27" t="s">
        <v>49</v>
      </c>
      <c r="J556" s="27" t="s">
        <v>72</v>
      </c>
      <c r="K556" s="27" t="s">
        <v>73</v>
      </c>
      <c r="L556" s="31" t="s">
        <v>532</v>
      </c>
      <c r="M556" s="32">
        <v>0.38</v>
      </c>
      <c r="N556" s="27" t="s">
        <v>33</v>
      </c>
      <c r="O556" s="27" t="s">
        <v>53</v>
      </c>
      <c r="P556" s="27" t="s">
        <v>187</v>
      </c>
      <c r="Q556" s="27" t="s">
        <v>1094</v>
      </c>
      <c r="R556" s="33">
        <v>76039</v>
      </c>
      <c r="S556" s="34">
        <v>42051</v>
      </c>
      <c r="T556" s="34">
        <v>42058</v>
      </c>
      <c r="U556" s="29">
        <v>-63.813499999999998</v>
      </c>
      <c r="V556" s="26">
        <v>9</v>
      </c>
      <c r="W556" s="29">
        <v>75.81</v>
      </c>
      <c r="X556" s="26">
        <v>88102</v>
      </c>
      <c r="Y556" s="35">
        <v>4.9700000000000006</v>
      </c>
      <c r="Z556" s="1" t="s">
        <v>3012</v>
      </c>
      <c r="AA556" s="36">
        <v>3.0959999999999996</v>
      </c>
      <c r="AB556" s="54">
        <v>47.002200000000002</v>
      </c>
      <c r="AC556" s="54">
        <v>3.2008666666666667</v>
      </c>
      <c r="AD556" s="36">
        <v>130.33750000000001</v>
      </c>
    </row>
    <row r="557" spans="1:30" s="37" customFormat="1" ht="15.75" customHeight="1" x14ac:dyDescent="0.2">
      <c r="A557" s="26">
        <v>1229</v>
      </c>
      <c r="B557" s="27" t="s">
        <v>1222</v>
      </c>
      <c r="C557" s="27" t="s">
        <v>116</v>
      </c>
      <c r="D557" s="28">
        <v>0.01</v>
      </c>
      <c r="E557" s="29">
        <v>4.9800000000000004</v>
      </c>
      <c r="F557" s="29">
        <v>4.62</v>
      </c>
      <c r="G557" s="30" t="s">
        <v>87</v>
      </c>
      <c r="H557" s="27" t="s">
        <v>3095</v>
      </c>
      <c r="I557" s="27" t="s">
        <v>41</v>
      </c>
      <c r="J557" s="27" t="s">
        <v>42</v>
      </c>
      <c r="K557" s="27" t="s">
        <v>43</v>
      </c>
      <c r="L557" s="31" t="s">
        <v>1221</v>
      </c>
      <c r="M557" s="32">
        <v>0.64</v>
      </c>
      <c r="N557" s="27" t="s">
        <v>33</v>
      </c>
      <c r="O557" s="27" t="s">
        <v>53</v>
      </c>
      <c r="P557" s="27" t="s">
        <v>187</v>
      </c>
      <c r="Q557" s="27" t="s">
        <v>1140</v>
      </c>
      <c r="R557" s="33">
        <v>75482</v>
      </c>
      <c r="S557" s="34">
        <v>42051</v>
      </c>
      <c r="T557" s="34">
        <v>42053</v>
      </c>
      <c r="U557" s="29">
        <v>-111.72</v>
      </c>
      <c r="V557" s="26">
        <v>10</v>
      </c>
      <c r="W557" s="29">
        <v>55.68</v>
      </c>
      <c r="X557" s="26">
        <v>90378</v>
      </c>
      <c r="Y557" s="35">
        <v>209.37</v>
      </c>
      <c r="Z557" s="1" t="s">
        <v>3012</v>
      </c>
      <c r="AA557" s="36">
        <v>0.49800000000000005</v>
      </c>
      <c r="AB557" s="54">
        <v>20.044799999999999</v>
      </c>
      <c r="AC557" s="54">
        <v>3.56352</v>
      </c>
      <c r="AD557" s="36">
        <v>162.28199999999998</v>
      </c>
    </row>
    <row r="558" spans="1:30" s="37" customFormat="1" ht="15.75" customHeight="1" x14ac:dyDescent="0.2">
      <c r="A558" s="26">
        <v>1580</v>
      </c>
      <c r="B558" s="27" t="s">
        <v>1216</v>
      </c>
      <c r="C558" s="27" t="s">
        <v>48</v>
      </c>
      <c r="D558" s="28">
        <v>0.1</v>
      </c>
      <c r="E558" s="29">
        <v>11.58</v>
      </c>
      <c r="F558" s="29">
        <v>6.97</v>
      </c>
      <c r="G558" s="30" t="s">
        <v>39</v>
      </c>
      <c r="H558" s="27" t="s">
        <v>94</v>
      </c>
      <c r="I558" s="27" t="s">
        <v>49</v>
      </c>
      <c r="J558" s="27" t="s">
        <v>345</v>
      </c>
      <c r="K558" s="27" t="s">
        <v>73</v>
      </c>
      <c r="L558" s="31" t="s">
        <v>624</v>
      </c>
      <c r="M558" s="32">
        <v>0.35</v>
      </c>
      <c r="N558" s="27" t="s">
        <v>33</v>
      </c>
      <c r="O558" s="27" t="s">
        <v>111</v>
      </c>
      <c r="P558" s="27" t="s">
        <v>331</v>
      </c>
      <c r="Q558" s="27" t="s">
        <v>1217</v>
      </c>
      <c r="R558" s="33">
        <v>4901</v>
      </c>
      <c r="S558" s="34">
        <v>42051</v>
      </c>
      <c r="T558" s="34">
        <v>42055</v>
      </c>
      <c r="U558" s="29">
        <v>-8.3979999999999997</v>
      </c>
      <c r="V558" s="26">
        <v>1</v>
      </c>
      <c r="W558" s="29">
        <v>14.53</v>
      </c>
      <c r="X558" s="26">
        <v>90934</v>
      </c>
      <c r="Y558" s="35">
        <v>25.939999999999998</v>
      </c>
      <c r="Z558" s="1" t="s">
        <v>3014</v>
      </c>
      <c r="AA558" s="36">
        <v>1.1580000000000001</v>
      </c>
      <c r="AB558" s="54">
        <v>9.4444999999999997</v>
      </c>
      <c r="AC558" s="54">
        <v>5.0854999999999997</v>
      </c>
      <c r="AD558" s="36">
        <v>14.799999999999999</v>
      </c>
    </row>
    <row r="559" spans="1:30" s="37" customFormat="1" ht="15.75" customHeight="1" x14ac:dyDescent="0.2">
      <c r="A559" s="26">
        <v>2427</v>
      </c>
      <c r="B559" s="27" t="s">
        <v>1233</v>
      </c>
      <c r="C559" s="27" t="s">
        <v>38</v>
      </c>
      <c r="D559" s="28">
        <v>0.03</v>
      </c>
      <c r="E559" s="29">
        <v>40.99</v>
      </c>
      <c r="F559" s="29">
        <v>19.989999999999998</v>
      </c>
      <c r="G559" s="30" t="s">
        <v>39</v>
      </c>
      <c r="H559" s="27" t="s">
        <v>94</v>
      </c>
      <c r="I559" s="27" t="s">
        <v>49</v>
      </c>
      <c r="J559" s="27" t="s">
        <v>88</v>
      </c>
      <c r="K559" s="27" t="s">
        <v>73</v>
      </c>
      <c r="L559" s="31" t="s">
        <v>1234</v>
      </c>
      <c r="M559" s="32">
        <v>0.36</v>
      </c>
      <c r="N559" s="27" t="s">
        <v>33</v>
      </c>
      <c r="O559" s="27" t="s">
        <v>53</v>
      </c>
      <c r="P559" s="27" t="s">
        <v>187</v>
      </c>
      <c r="Q559" s="27" t="s">
        <v>1235</v>
      </c>
      <c r="R559" s="33">
        <v>76248</v>
      </c>
      <c r="S559" s="34">
        <v>42052</v>
      </c>
      <c r="T559" s="34">
        <v>42053</v>
      </c>
      <c r="U559" s="29">
        <v>395.30799999999999</v>
      </c>
      <c r="V559" s="26">
        <v>21</v>
      </c>
      <c r="W559" s="29">
        <v>885.65</v>
      </c>
      <c r="X559" s="26">
        <v>90860</v>
      </c>
      <c r="Y559" s="35">
        <v>5.99</v>
      </c>
      <c r="Z559" s="1" t="s">
        <v>3012</v>
      </c>
      <c r="AA559" s="36">
        <v>25.823699999999999</v>
      </c>
      <c r="AB559" s="54">
        <v>566.81600000000003</v>
      </c>
      <c r="AC559" s="54">
        <v>15.182571428571428</v>
      </c>
      <c r="AD559" s="36">
        <v>444.5283</v>
      </c>
    </row>
    <row r="560" spans="1:30" s="37" customFormat="1" ht="15.75" customHeight="1" x14ac:dyDescent="0.2">
      <c r="A560" s="26">
        <v>1305</v>
      </c>
      <c r="B560" s="27" t="s">
        <v>1230</v>
      </c>
      <c r="C560" s="27" t="s">
        <v>38</v>
      </c>
      <c r="D560" s="28">
        <v>0.04</v>
      </c>
      <c r="E560" s="29">
        <v>62.18</v>
      </c>
      <c r="F560" s="29">
        <v>10.84</v>
      </c>
      <c r="G560" s="30" t="s">
        <v>39</v>
      </c>
      <c r="H560" s="27" t="s">
        <v>40</v>
      </c>
      <c r="I560" s="27" t="s">
        <v>29</v>
      </c>
      <c r="J560" s="27" t="s">
        <v>126</v>
      </c>
      <c r="K560" s="27" t="s">
        <v>144</v>
      </c>
      <c r="L560" s="31" t="s">
        <v>1231</v>
      </c>
      <c r="M560" s="32">
        <v>0.63</v>
      </c>
      <c r="N560" s="27" t="s">
        <v>33</v>
      </c>
      <c r="O560" s="27" t="s">
        <v>60</v>
      </c>
      <c r="P560" s="27" t="s">
        <v>146</v>
      </c>
      <c r="Q560" s="27" t="s">
        <v>1232</v>
      </c>
      <c r="R560" s="33">
        <v>84120</v>
      </c>
      <c r="S560" s="34">
        <v>42052</v>
      </c>
      <c r="T560" s="34">
        <v>42054</v>
      </c>
      <c r="U560" s="29">
        <v>125.8077</v>
      </c>
      <c r="V560" s="26">
        <v>3</v>
      </c>
      <c r="W560" s="29">
        <v>182.33</v>
      </c>
      <c r="X560" s="26">
        <v>87002</v>
      </c>
      <c r="Y560" s="35">
        <v>62.14</v>
      </c>
      <c r="Z560" s="1" t="s">
        <v>3013</v>
      </c>
      <c r="AA560" s="36">
        <v>7.4616000000000007</v>
      </c>
      <c r="AB560" s="54">
        <v>67.462100000000007</v>
      </c>
      <c r="AC560" s="54">
        <v>38.289300000000004</v>
      </c>
      <c r="AD560" s="36">
        <v>38.220700000000022</v>
      </c>
    </row>
    <row r="561" spans="1:30" s="37" customFormat="1" ht="15.75" customHeight="1" x14ac:dyDescent="0.2">
      <c r="A561" s="26">
        <v>936</v>
      </c>
      <c r="B561" s="27" t="s">
        <v>1227</v>
      </c>
      <c r="C561" s="27" t="s">
        <v>26</v>
      </c>
      <c r="D561" s="28">
        <v>0.05</v>
      </c>
      <c r="E561" s="29">
        <v>6.04</v>
      </c>
      <c r="F561" s="29">
        <v>2.14</v>
      </c>
      <c r="G561" s="30" t="s">
        <v>87</v>
      </c>
      <c r="H561" s="27" t="s">
        <v>94</v>
      </c>
      <c r="I561" s="27" t="s">
        <v>49</v>
      </c>
      <c r="J561" s="27" t="s">
        <v>88</v>
      </c>
      <c r="K561" s="27" t="s">
        <v>51</v>
      </c>
      <c r="L561" s="31" t="s">
        <v>1228</v>
      </c>
      <c r="M561" s="32">
        <v>0.38</v>
      </c>
      <c r="N561" s="27" t="s">
        <v>33</v>
      </c>
      <c r="O561" s="27" t="s">
        <v>60</v>
      </c>
      <c r="P561" s="27" t="s">
        <v>90</v>
      </c>
      <c r="Q561" s="27" t="s">
        <v>1229</v>
      </c>
      <c r="R561" s="33">
        <v>92374</v>
      </c>
      <c r="S561" s="34">
        <v>42052</v>
      </c>
      <c r="T561" s="34">
        <v>42054</v>
      </c>
      <c r="U561" s="29">
        <v>-4.1399999999999997</v>
      </c>
      <c r="V561" s="26">
        <v>1</v>
      </c>
      <c r="W561" s="29">
        <v>8.41</v>
      </c>
      <c r="X561" s="26">
        <v>90588</v>
      </c>
      <c r="Y561" s="35">
        <v>40.96</v>
      </c>
      <c r="Z561" s="1" t="s">
        <v>3013</v>
      </c>
      <c r="AA561" s="36">
        <v>0.30200000000000005</v>
      </c>
      <c r="AB561" s="54">
        <v>5.2141999999999999</v>
      </c>
      <c r="AC561" s="54">
        <v>3.1958000000000002</v>
      </c>
      <c r="AD561" s="36">
        <v>10.108000000000001</v>
      </c>
    </row>
    <row r="562" spans="1:30" s="37" customFormat="1" ht="15.75" customHeight="1" x14ac:dyDescent="0.2">
      <c r="A562" s="26">
        <v>2498</v>
      </c>
      <c r="B562" s="27" t="s">
        <v>929</v>
      </c>
      <c r="C562" s="27" t="s">
        <v>3094</v>
      </c>
      <c r="D562" s="28">
        <v>0.09</v>
      </c>
      <c r="E562" s="29">
        <v>355.98</v>
      </c>
      <c r="F562" s="29">
        <v>58.92</v>
      </c>
      <c r="G562" s="30" t="s">
        <v>27</v>
      </c>
      <c r="H562" s="27" t="s">
        <v>94</v>
      </c>
      <c r="I562" s="27" t="s">
        <v>29</v>
      </c>
      <c r="J562" s="27" t="s">
        <v>109</v>
      </c>
      <c r="K562" s="27" t="s">
        <v>58</v>
      </c>
      <c r="L562" s="31" t="s">
        <v>694</v>
      </c>
      <c r="M562" s="32">
        <v>0.64</v>
      </c>
      <c r="N562" s="27" t="s">
        <v>33</v>
      </c>
      <c r="O562" s="27" t="s">
        <v>60</v>
      </c>
      <c r="P562" s="27" t="s">
        <v>90</v>
      </c>
      <c r="Q562" s="27" t="s">
        <v>890</v>
      </c>
      <c r="R562" s="33">
        <v>92024</v>
      </c>
      <c r="S562" s="34">
        <v>42053</v>
      </c>
      <c r="T562" s="34">
        <v>42055</v>
      </c>
      <c r="U562" s="29">
        <v>1240.25</v>
      </c>
      <c r="V562" s="26">
        <v>30</v>
      </c>
      <c r="W562" s="29">
        <v>10554.63</v>
      </c>
      <c r="X562" s="26">
        <v>16547</v>
      </c>
      <c r="Y562" s="35">
        <v>15.98</v>
      </c>
      <c r="Z562" s="1" t="s">
        <v>3013</v>
      </c>
      <c r="AA562" s="36">
        <v>961.14600000000007</v>
      </c>
      <c r="AB562" s="54">
        <v>3799.6667999999995</v>
      </c>
      <c r="AC562" s="54">
        <v>225.16543999999999</v>
      </c>
      <c r="AD562" s="36">
        <v>8294.3139999999985</v>
      </c>
    </row>
    <row r="563" spans="1:30" s="37" customFormat="1" ht="15.75" customHeight="1" x14ac:dyDescent="0.2">
      <c r="A563" s="26">
        <v>2141</v>
      </c>
      <c r="B563" s="27" t="s">
        <v>1241</v>
      </c>
      <c r="C563" s="27" t="s">
        <v>38</v>
      </c>
      <c r="D563" s="28">
        <v>0.02</v>
      </c>
      <c r="E563" s="29">
        <v>549.99</v>
      </c>
      <c r="F563" s="29">
        <v>49</v>
      </c>
      <c r="G563" s="30" t="s">
        <v>27</v>
      </c>
      <c r="H563" s="27" t="s">
        <v>71</v>
      </c>
      <c r="I563" s="27" t="s">
        <v>41</v>
      </c>
      <c r="J563" s="27" t="s">
        <v>64</v>
      </c>
      <c r="K563" s="27" t="s">
        <v>58</v>
      </c>
      <c r="L563" s="31" t="s">
        <v>1244</v>
      </c>
      <c r="M563" s="32">
        <v>0.35</v>
      </c>
      <c r="N563" s="27" t="s">
        <v>33</v>
      </c>
      <c r="O563" s="27" t="s">
        <v>60</v>
      </c>
      <c r="P563" s="27" t="s">
        <v>61</v>
      </c>
      <c r="Q563" s="27" t="s">
        <v>1243</v>
      </c>
      <c r="R563" s="33">
        <v>81301</v>
      </c>
      <c r="S563" s="34">
        <v>42053</v>
      </c>
      <c r="T563" s="34">
        <v>42055</v>
      </c>
      <c r="U563" s="29">
        <v>-381.84120000000001</v>
      </c>
      <c r="V563" s="26">
        <v>18</v>
      </c>
      <c r="W563" s="29">
        <v>9798.84</v>
      </c>
      <c r="X563" s="26">
        <v>87570</v>
      </c>
      <c r="Y563" s="35">
        <v>47.919999999999995</v>
      </c>
      <c r="Z563" s="1" t="s">
        <v>3013</v>
      </c>
      <c r="AA563" s="36">
        <v>197.99639999999999</v>
      </c>
      <c r="AB563" s="54">
        <v>6369.2460000000001</v>
      </c>
      <c r="AC563" s="54">
        <v>190.53299999999999</v>
      </c>
      <c r="AD563" s="36">
        <v>9933.6848000000009</v>
      </c>
    </row>
    <row r="564" spans="1:30" s="37" customFormat="1" ht="15.75" customHeight="1" x14ac:dyDescent="0.2">
      <c r="A564" s="26">
        <v>2499</v>
      </c>
      <c r="B564" s="27" t="s">
        <v>1251</v>
      </c>
      <c r="C564" s="27" t="s">
        <v>3094</v>
      </c>
      <c r="D564" s="28">
        <v>0.09</v>
      </c>
      <c r="E564" s="29">
        <v>355.98</v>
      </c>
      <c r="F564" s="29">
        <v>58.92</v>
      </c>
      <c r="G564" s="30" t="s">
        <v>27</v>
      </c>
      <c r="H564" s="27" t="s">
        <v>94</v>
      </c>
      <c r="I564" s="27" t="s">
        <v>29</v>
      </c>
      <c r="J564" s="27" t="s">
        <v>109</v>
      </c>
      <c r="K564" s="27" t="s">
        <v>58</v>
      </c>
      <c r="L564" s="31" t="s">
        <v>694</v>
      </c>
      <c r="M564" s="32">
        <v>0.64</v>
      </c>
      <c r="N564" s="27" t="s">
        <v>33</v>
      </c>
      <c r="O564" s="27" t="s">
        <v>53</v>
      </c>
      <c r="P564" s="27" t="s">
        <v>103</v>
      </c>
      <c r="Q564" s="27" t="s">
        <v>1252</v>
      </c>
      <c r="R564" s="33">
        <v>60901</v>
      </c>
      <c r="S564" s="34">
        <v>42053</v>
      </c>
      <c r="T564" s="34">
        <v>42055</v>
      </c>
      <c r="U564" s="29">
        <v>1240.25</v>
      </c>
      <c r="V564" s="26">
        <v>8</v>
      </c>
      <c r="W564" s="29">
        <v>2814.57</v>
      </c>
      <c r="X564" s="26">
        <v>88319</v>
      </c>
      <c r="Y564" s="35">
        <v>5.4300000000000006</v>
      </c>
      <c r="Z564" s="1" t="s">
        <v>3012</v>
      </c>
      <c r="AA564" s="36">
        <v>256.30560000000003</v>
      </c>
      <c r="AB564" s="54">
        <v>1013.2452000000001</v>
      </c>
      <c r="AC564" s="54">
        <v>225.16560000000001</v>
      </c>
      <c r="AD564" s="36">
        <v>1259.0944</v>
      </c>
    </row>
    <row r="565" spans="1:30" s="37" customFormat="1" ht="15.75" customHeight="1" x14ac:dyDescent="0.2">
      <c r="A565" s="26">
        <v>2521</v>
      </c>
      <c r="B565" s="27" t="s">
        <v>1248</v>
      </c>
      <c r="C565" s="27" t="s">
        <v>116</v>
      </c>
      <c r="D565" s="28">
        <v>0</v>
      </c>
      <c r="E565" s="29">
        <v>175.99</v>
      </c>
      <c r="F565" s="29">
        <v>4.99</v>
      </c>
      <c r="G565" s="30" t="s">
        <v>39</v>
      </c>
      <c r="H565" s="27" t="s">
        <v>71</v>
      </c>
      <c r="I565" s="27" t="s">
        <v>41</v>
      </c>
      <c r="J565" s="27" t="s">
        <v>135</v>
      </c>
      <c r="K565" s="27" t="s">
        <v>73</v>
      </c>
      <c r="L565" s="31" t="s">
        <v>1249</v>
      </c>
      <c r="M565" s="32">
        <v>0.59</v>
      </c>
      <c r="N565" s="27" t="s">
        <v>33</v>
      </c>
      <c r="O565" s="27" t="s">
        <v>53</v>
      </c>
      <c r="P565" s="27" t="s">
        <v>187</v>
      </c>
      <c r="Q565" s="27" t="s">
        <v>1250</v>
      </c>
      <c r="R565" s="33">
        <v>75109</v>
      </c>
      <c r="S565" s="34">
        <v>42053</v>
      </c>
      <c r="T565" s="34">
        <v>42056</v>
      </c>
      <c r="U565" s="29">
        <v>1656.6555000000001</v>
      </c>
      <c r="V565" s="26">
        <v>15</v>
      </c>
      <c r="W565" s="29">
        <v>2400.9499999999998</v>
      </c>
      <c r="X565" s="26">
        <v>87032</v>
      </c>
      <c r="Y565" s="35">
        <v>549.97</v>
      </c>
      <c r="Z565" s="1" t="s">
        <v>3012</v>
      </c>
      <c r="AA565" s="36">
        <v>0</v>
      </c>
      <c r="AB565" s="54">
        <v>984.3895</v>
      </c>
      <c r="AC565" s="54">
        <v>94.437366666666662</v>
      </c>
      <c r="AD565" s="36">
        <v>739.30449999999973</v>
      </c>
    </row>
    <row r="566" spans="1:30" s="37" customFormat="1" ht="15.75" customHeight="1" x14ac:dyDescent="0.2">
      <c r="A566" s="26">
        <v>2498</v>
      </c>
      <c r="B566" s="27" t="s">
        <v>929</v>
      </c>
      <c r="C566" s="27" t="s">
        <v>3094</v>
      </c>
      <c r="D566" s="28">
        <v>0.04</v>
      </c>
      <c r="E566" s="29">
        <v>218.75</v>
      </c>
      <c r="F566" s="29">
        <v>69.64</v>
      </c>
      <c r="G566" s="30" t="s">
        <v>27</v>
      </c>
      <c r="H566" s="27" t="s">
        <v>94</v>
      </c>
      <c r="I566" s="27" t="s">
        <v>29</v>
      </c>
      <c r="J566" s="27" t="s">
        <v>30</v>
      </c>
      <c r="K566" s="27" t="s">
        <v>31</v>
      </c>
      <c r="L566" s="31" t="s">
        <v>874</v>
      </c>
      <c r="M566" s="32">
        <v>0.77</v>
      </c>
      <c r="N566" s="27" t="s">
        <v>33</v>
      </c>
      <c r="O566" s="27" t="s">
        <v>60</v>
      </c>
      <c r="P566" s="27" t="s">
        <v>90</v>
      </c>
      <c r="Q566" s="27" t="s">
        <v>890</v>
      </c>
      <c r="R566" s="33">
        <v>92024</v>
      </c>
      <c r="S566" s="34">
        <v>42053</v>
      </c>
      <c r="T566" s="34">
        <v>42053</v>
      </c>
      <c r="U566" s="29">
        <v>-533.23199999999997</v>
      </c>
      <c r="V566" s="26">
        <v>8</v>
      </c>
      <c r="W566" s="29">
        <v>1749.64</v>
      </c>
      <c r="X566" s="26">
        <v>16547</v>
      </c>
      <c r="Y566" s="35">
        <v>21.98</v>
      </c>
      <c r="Z566" s="1" t="s">
        <v>3013</v>
      </c>
      <c r="AA566" s="36">
        <v>70</v>
      </c>
      <c r="AB566" s="54">
        <v>402.41719999999998</v>
      </c>
      <c r="AC566" s="54">
        <v>168.40285</v>
      </c>
      <c r="AD566" s="36">
        <v>2143.232</v>
      </c>
    </row>
    <row r="567" spans="1:30" s="37" customFormat="1" ht="15.75" customHeight="1" x14ac:dyDescent="0.2">
      <c r="A567" s="26">
        <v>1065</v>
      </c>
      <c r="B567" s="27" t="s">
        <v>1236</v>
      </c>
      <c r="C567" s="27" t="s">
        <v>26</v>
      </c>
      <c r="D567" s="28">
        <v>0.01</v>
      </c>
      <c r="E567" s="29">
        <v>15.99</v>
      </c>
      <c r="F567" s="29">
        <v>13.18</v>
      </c>
      <c r="G567" s="30" t="s">
        <v>39</v>
      </c>
      <c r="H567" s="27" t="s">
        <v>94</v>
      </c>
      <c r="I567" s="27" t="s">
        <v>49</v>
      </c>
      <c r="J567" s="27" t="s">
        <v>72</v>
      </c>
      <c r="K567" s="27" t="s">
        <v>73</v>
      </c>
      <c r="L567" s="31" t="s">
        <v>295</v>
      </c>
      <c r="M567" s="32">
        <v>0.37</v>
      </c>
      <c r="N567" s="27" t="s">
        <v>33</v>
      </c>
      <c r="O567" s="27" t="s">
        <v>53</v>
      </c>
      <c r="P567" s="27" t="s">
        <v>103</v>
      </c>
      <c r="Q567" s="27" t="s">
        <v>1237</v>
      </c>
      <c r="R567" s="33">
        <v>60459</v>
      </c>
      <c r="S567" s="34">
        <v>42053</v>
      </c>
      <c r="T567" s="34">
        <v>42055</v>
      </c>
      <c r="U567" s="29">
        <v>-99.43544</v>
      </c>
      <c r="V567" s="26">
        <v>23</v>
      </c>
      <c r="W567" s="29">
        <v>377.44</v>
      </c>
      <c r="X567" s="26">
        <v>88899</v>
      </c>
      <c r="Y567" s="35">
        <v>34.669999999999995</v>
      </c>
      <c r="Z567" s="1" t="s">
        <v>3012</v>
      </c>
      <c r="AA567" s="36">
        <v>3.6777000000000002</v>
      </c>
      <c r="AB567" s="54">
        <v>237.78720000000001</v>
      </c>
      <c r="AC567" s="54">
        <v>6.0718608695652172</v>
      </c>
      <c r="AD567" s="36">
        <v>460.01774</v>
      </c>
    </row>
    <row r="568" spans="1:30" s="37" customFormat="1" ht="15.75" customHeight="1" x14ac:dyDescent="0.2">
      <c r="A568" s="26">
        <v>2141</v>
      </c>
      <c r="B568" s="27" t="s">
        <v>1241</v>
      </c>
      <c r="C568" s="27" t="s">
        <v>38</v>
      </c>
      <c r="D568" s="28">
        <v>0.09</v>
      </c>
      <c r="E568" s="29">
        <v>34.76</v>
      </c>
      <c r="F568" s="29">
        <v>8.2200000000000006</v>
      </c>
      <c r="G568" s="30" t="s">
        <v>39</v>
      </c>
      <c r="H568" s="27" t="s">
        <v>71</v>
      </c>
      <c r="I568" s="27" t="s">
        <v>49</v>
      </c>
      <c r="J568" s="27" t="s">
        <v>78</v>
      </c>
      <c r="K568" s="27" t="s">
        <v>73</v>
      </c>
      <c r="L568" s="31" t="s">
        <v>1245</v>
      </c>
      <c r="M568" s="32">
        <v>0.56999999999999995</v>
      </c>
      <c r="N568" s="27" t="s">
        <v>33</v>
      </c>
      <c r="O568" s="27" t="s">
        <v>60</v>
      </c>
      <c r="P568" s="27" t="s">
        <v>61</v>
      </c>
      <c r="Q568" s="27" t="s">
        <v>1243</v>
      </c>
      <c r="R568" s="33">
        <v>81301</v>
      </c>
      <c r="S568" s="34">
        <v>42053</v>
      </c>
      <c r="T568" s="34">
        <v>42055</v>
      </c>
      <c r="U568" s="29">
        <v>45.3324</v>
      </c>
      <c r="V568" s="26">
        <v>7</v>
      </c>
      <c r="W568" s="29">
        <v>242.97</v>
      </c>
      <c r="X568" s="26">
        <v>87570</v>
      </c>
      <c r="Y568" s="35">
        <v>5.13</v>
      </c>
      <c r="Z568" s="1" t="s">
        <v>3013</v>
      </c>
      <c r="AA568" s="36">
        <v>21.898799999999998</v>
      </c>
      <c r="AB568" s="54">
        <v>104.47710000000001</v>
      </c>
      <c r="AC568" s="54">
        <v>19.784699999999997</v>
      </c>
      <c r="AD568" s="36">
        <v>167.5188</v>
      </c>
    </row>
    <row r="569" spans="1:30" s="37" customFormat="1" ht="15.75" customHeight="1" x14ac:dyDescent="0.2">
      <c r="A569" s="26">
        <v>2141</v>
      </c>
      <c r="B569" s="27" t="s">
        <v>1241</v>
      </c>
      <c r="C569" s="27" t="s">
        <v>38</v>
      </c>
      <c r="D569" s="28">
        <v>0.03</v>
      </c>
      <c r="E569" s="29">
        <v>22.01</v>
      </c>
      <c r="F569" s="29">
        <v>5.53</v>
      </c>
      <c r="G569" s="30" t="s">
        <v>87</v>
      </c>
      <c r="H569" s="27" t="s">
        <v>71</v>
      </c>
      <c r="I569" s="27" t="s">
        <v>49</v>
      </c>
      <c r="J569" s="27" t="s">
        <v>50</v>
      </c>
      <c r="K569" s="27" t="s">
        <v>43</v>
      </c>
      <c r="L569" s="31" t="s">
        <v>496</v>
      </c>
      <c r="M569" s="32">
        <v>0.59</v>
      </c>
      <c r="N569" s="27" t="s">
        <v>33</v>
      </c>
      <c r="O569" s="27" t="s">
        <v>60</v>
      </c>
      <c r="P569" s="27" t="s">
        <v>61</v>
      </c>
      <c r="Q569" s="27" t="s">
        <v>1243</v>
      </c>
      <c r="R569" s="33">
        <v>81301</v>
      </c>
      <c r="S569" s="34">
        <v>42053</v>
      </c>
      <c r="T569" s="34">
        <v>42054</v>
      </c>
      <c r="U569" s="29">
        <v>12.5504</v>
      </c>
      <c r="V569" s="26">
        <v>7</v>
      </c>
      <c r="W569" s="29">
        <v>154.11000000000001</v>
      </c>
      <c r="X569" s="26">
        <v>87570</v>
      </c>
      <c r="Y569" s="35">
        <v>175.99</v>
      </c>
      <c r="Z569" s="1" t="s">
        <v>3013</v>
      </c>
      <c r="AA569" s="36">
        <v>4.6220999999999997</v>
      </c>
      <c r="AB569" s="54">
        <v>63.185100000000013</v>
      </c>
      <c r="AC569" s="54">
        <v>12.989271428571429</v>
      </c>
      <c r="AD569" s="36">
        <v>131.40750000000003</v>
      </c>
    </row>
    <row r="570" spans="1:30" s="37" customFormat="1" ht="15.75" customHeight="1" x14ac:dyDescent="0.2">
      <c r="A570" s="26">
        <v>3255</v>
      </c>
      <c r="B570" s="27" t="s">
        <v>1238</v>
      </c>
      <c r="C570" s="27" t="s">
        <v>26</v>
      </c>
      <c r="D570" s="28">
        <v>0.06</v>
      </c>
      <c r="E570" s="29">
        <v>47.98</v>
      </c>
      <c r="F570" s="29">
        <v>3.61</v>
      </c>
      <c r="G570" s="30" t="s">
        <v>39</v>
      </c>
      <c r="H570" s="27" t="s">
        <v>71</v>
      </c>
      <c r="I570" s="27" t="s">
        <v>41</v>
      </c>
      <c r="J570" s="27" t="s">
        <v>42</v>
      </c>
      <c r="K570" s="27" t="s">
        <v>43</v>
      </c>
      <c r="L570" s="31" t="s">
        <v>1239</v>
      </c>
      <c r="M570" s="32">
        <v>0.71</v>
      </c>
      <c r="N570" s="27" t="s">
        <v>33</v>
      </c>
      <c r="O570" s="27" t="s">
        <v>34</v>
      </c>
      <c r="P570" s="27" t="s">
        <v>123</v>
      </c>
      <c r="Q570" s="27" t="s">
        <v>1240</v>
      </c>
      <c r="R570" s="33">
        <v>33319</v>
      </c>
      <c r="S570" s="34">
        <v>42053</v>
      </c>
      <c r="T570" s="34">
        <v>42055</v>
      </c>
      <c r="U570" s="29">
        <v>596.80799999999999</v>
      </c>
      <c r="V570" s="26">
        <v>2</v>
      </c>
      <c r="W570" s="29">
        <v>97.96</v>
      </c>
      <c r="X570" s="26">
        <v>90488</v>
      </c>
      <c r="Y570" s="35">
        <v>355.89000000000004</v>
      </c>
      <c r="Z570" s="1" t="s">
        <v>3011</v>
      </c>
      <c r="AA570" s="36">
        <v>5.7575999999999992</v>
      </c>
      <c r="AB570" s="54">
        <v>28.4084</v>
      </c>
      <c r="AC570" s="54">
        <v>34.775799999999997</v>
      </c>
      <c r="AD570" s="36">
        <v>-508.21560000000005</v>
      </c>
    </row>
    <row r="571" spans="1:30" s="37" customFormat="1" ht="15.75" customHeight="1" x14ac:dyDescent="0.2">
      <c r="A571" s="26">
        <v>91</v>
      </c>
      <c r="B571" s="27" t="s">
        <v>1246</v>
      </c>
      <c r="C571" s="27" t="s">
        <v>116</v>
      </c>
      <c r="D571" s="28">
        <v>0.05</v>
      </c>
      <c r="E571" s="29">
        <v>5.18</v>
      </c>
      <c r="F571" s="29">
        <v>2.04</v>
      </c>
      <c r="G571" s="30" t="s">
        <v>39</v>
      </c>
      <c r="H571" s="27" t="s">
        <v>71</v>
      </c>
      <c r="I571" s="27" t="s">
        <v>49</v>
      </c>
      <c r="J571" s="27" t="s">
        <v>88</v>
      </c>
      <c r="K571" s="27" t="s">
        <v>51</v>
      </c>
      <c r="L571" s="31" t="s">
        <v>833</v>
      </c>
      <c r="M571" s="32">
        <v>0.36</v>
      </c>
      <c r="N571" s="27" t="s">
        <v>33</v>
      </c>
      <c r="O571" s="27" t="s">
        <v>60</v>
      </c>
      <c r="P571" s="27" t="s">
        <v>90</v>
      </c>
      <c r="Q571" s="27" t="s">
        <v>1247</v>
      </c>
      <c r="R571" s="33">
        <v>94591</v>
      </c>
      <c r="S571" s="34">
        <v>42053</v>
      </c>
      <c r="T571" s="34">
        <v>42055</v>
      </c>
      <c r="U571" s="29">
        <v>34.010399999999997</v>
      </c>
      <c r="V571" s="26">
        <v>10</v>
      </c>
      <c r="W571" s="29">
        <v>53.54</v>
      </c>
      <c r="X571" s="26">
        <v>87176</v>
      </c>
      <c r="Y571" s="35">
        <v>218.71</v>
      </c>
      <c r="Z571" s="1" t="s">
        <v>3013</v>
      </c>
      <c r="AA571" s="36">
        <v>2.59</v>
      </c>
      <c r="AB571" s="54">
        <v>34.265599999999999</v>
      </c>
      <c r="AC571" s="54">
        <v>1.92744</v>
      </c>
      <c r="AD571" s="36">
        <v>14.8996</v>
      </c>
    </row>
    <row r="572" spans="1:30" s="37" customFormat="1" ht="15.75" customHeight="1" x14ac:dyDescent="0.2">
      <c r="A572" s="26">
        <v>2141</v>
      </c>
      <c r="B572" s="27" t="s">
        <v>1241</v>
      </c>
      <c r="C572" s="27" t="s">
        <v>38</v>
      </c>
      <c r="D572" s="28">
        <v>0.01</v>
      </c>
      <c r="E572" s="29">
        <v>5.44</v>
      </c>
      <c r="F572" s="29">
        <v>7.46</v>
      </c>
      <c r="G572" s="30" t="s">
        <v>39</v>
      </c>
      <c r="H572" s="27" t="s">
        <v>71</v>
      </c>
      <c r="I572" s="27" t="s">
        <v>49</v>
      </c>
      <c r="J572" s="27" t="s">
        <v>72</v>
      </c>
      <c r="K572" s="27" t="s">
        <v>73</v>
      </c>
      <c r="L572" s="31" t="s">
        <v>1242</v>
      </c>
      <c r="M572" s="32">
        <v>0.36</v>
      </c>
      <c r="N572" s="27" t="s">
        <v>33</v>
      </c>
      <c r="O572" s="27" t="s">
        <v>60</v>
      </c>
      <c r="P572" s="27" t="s">
        <v>61</v>
      </c>
      <c r="Q572" s="27" t="s">
        <v>1243</v>
      </c>
      <c r="R572" s="33">
        <v>81301</v>
      </c>
      <c r="S572" s="34">
        <v>42053</v>
      </c>
      <c r="T572" s="34">
        <v>42054</v>
      </c>
      <c r="U572" s="29">
        <v>-18.478200000000001</v>
      </c>
      <c r="V572" s="26">
        <v>3</v>
      </c>
      <c r="W572" s="29">
        <v>19.68</v>
      </c>
      <c r="X572" s="26">
        <v>87570</v>
      </c>
      <c r="Y572" s="35">
        <v>355.89000000000004</v>
      </c>
      <c r="Z572" s="1" t="s">
        <v>3013</v>
      </c>
      <c r="AA572" s="36">
        <v>0.16320000000000001</v>
      </c>
      <c r="AB572" s="54">
        <v>12.5952</v>
      </c>
      <c r="AC572" s="54">
        <v>2.3615999999999997</v>
      </c>
      <c r="AD572" s="36">
        <v>30.535</v>
      </c>
    </row>
    <row r="573" spans="1:30" s="37" customFormat="1" ht="15.75" customHeight="1" x14ac:dyDescent="0.2">
      <c r="A573" s="26">
        <v>2052</v>
      </c>
      <c r="B573" s="27" t="s">
        <v>1268</v>
      </c>
      <c r="C573" s="27" t="s">
        <v>3094</v>
      </c>
      <c r="D573" s="28">
        <v>0.1</v>
      </c>
      <c r="E573" s="29">
        <v>35.99</v>
      </c>
      <c r="F573" s="29">
        <v>1.1000000000000001</v>
      </c>
      <c r="G573" s="30" t="s">
        <v>87</v>
      </c>
      <c r="H573" s="27" t="s">
        <v>71</v>
      </c>
      <c r="I573" s="27" t="s">
        <v>41</v>
      </c>
      <c r="J573" s="27" t="s">
        <v>135</v>
      </c>
      <c r="K573" s="27" t="s">
        <v>73</v>
      </c>
      <c r="L573" s="31" t="s">
        <v>274</v>
      </c>
      <c r="M573" s="32">
        <v>0.55000000000000004</v>
      </c>
      <c r="N573" s="27" t="s">
        <v>33</v>
      </c>
      <c r="O573" s="27" t="s">
        <v>60</v>
      </c>
      <c r="P573" s="27" t="s">
        <v>640</v>
      </c>
      <c r="Q573" s="27" t="s">
        <v>1269</v>
      </c>
      <c r="R573" s="33">
        <v>87105</v>
      </c>
      <c r="S573" s="34">
        <v>42054</v>
      </c>
      <c r="T573" s="34">
        <v>42055</v>
      </c>
      <c r="U573" s="29">
        <v>390.09840000000003</v>
      </c>
      <c r="V573" s="26">
        <v>19</v>
      </c>
      <c r="W573" s="29">
        <v>565.36</v>
      </c>
      <c r="X573" s="26">
        <v>87234</v>
      </c>
      <c r="Y573" s="35">
        <v>4.2300000000000004</v>
      </c>
      <c r="Z573" s="1" t="s">
        <v>3013</v>
      </c>
      <c r="AA573" s="36">
        <v>68.381</v>
      </c>
      <c r="AB573" s="54">
        <v>254.41199999999998</v>
      </c>
      <c r="AC573" s="54">
        <v>16.365684210526318</v>
      </c>
      <c r="AD573" s="36">
        <v>105.78059999999994</v>
      </c>
    </row>
    <row r="574" spans="1:30" s="37" customFormat="1" ht="15.75" customHeight="1" x14ac:dyDescent="0.2">
      <c r="A574" s="26">
        <v>1303</v>
      </c>
      <c r="B574" s="27" t="s">
        <v>1256</v>
      </c>
      <c r="C574" s="27" t="s">
        <v>48</v>
      </c>
      <c r="D574" s="28">
        <v>0.01</v>
      </c>
      <c r="E574" s="29">
        <v>65.989999999999995</v>
      </c>
      <c r="F574" s="29">
        <v>5.31</v>
      </c>
      <c r="G574" s="30" t="s">
        <v>39</v>
      </c>
      <c r="H574" s="27" t="s">
        <v>40</v>
      </c>
      <c r="I574" s="27" t="s">
        <v>41</v>
      </c>
      <c r="J574" s="27" t="s">
        <v>135</v>
      </c>
      <c r="K574" s="27" t="s">
        <v>73</v>
      </c>
      <c r="L574" s="31" t="s">
        <v>1262</v>
      </c>
      <c r="M574" s="32">
        <v>0.56999999999999995</v>
      </c>
      <c r="N574" s="27" t="s">
        <v>33</v>
      </c>
      <c r="O574" s="27" t="s">
        <v>60</v>
      </c>
      <c r="P574" s="27" t="s">
        <v>146</v>
      </c>
      <c r="Q574" s="27" t="s">
        <v>1258</v>
      </c>
      <c r="R574" s="33">
        <v>84074</v>
      </c>
      <c r="S574" s="34">
        <v>42054</v>
      </c>
      <c r="T574" s="34">
        <v>42061</v>
      </c>
      <c r="U574" s="29">
        <v>250.36272</v>
      </c>
      <c r="V574" s="26">
        <v>9</v>
      </c>
      <c r="W574" s="29">
        <v>536.9</v>
      </c>
      <c r="X574" s="26">
        <v>87005</v>
      </c>
      <c r="Y574" s="35">
        <v>39.449999999999996</v>
      </c>
      <c r="Z574" s="1" t="s">
        <v>3013</v>
      </c>
      <c r="AA574" s="36">
        <v>5.9390999999999998</v>
      </c>
      <c r="AB574" s="54">
        <v>230.86700000000002</v>
      </c>
      <c r="AC574" s="54">
        <v>34.00366666666666</v>
      </c>
      <c r="AD574" s="36">
        <v>275.28817999999995</v>
      </c>
    </row>
    <row r="575" spans="1:30" s="37" customFormat="1" ht="15.75" customHeight="1" x14ac:dyDescent="0.2">
      <c r="A575" s="26">
        <v>2287</v>
      </c>
      <c r="B575" s="27" t="s">
        <v>1263</v>
      </c>
      <c r="C575" s="27" t="s">
        <v>48</v>
      </c>
      <c r="D575" s="28">
        <v>0.1</v>
      </c>
      <c r="E575" s="29">
        <v>54.1</v>
      </c>
      <c r="F575" s="29">
        <v>19.989999999999998</v>
      </c>
      <c r="G575" s="30" t="s">
        <v>39</v>
      </c>
      <c r="H575" s="27" t="s">
        <v>94</v>
      </c>
      <c r="I575" s="27" t="s">
        <v>49</v>
      </c>
      <c r="J575" s="27" t="s">
        <v>78</v>
      </c>
      <c r="K575" s="27" t="s">
        <v>73</v>
      </c>
      <c r="L575" s="31" t="s">
        <v>1264</v>
      </c>
      <c r="M575" s="32">
        <v>0.59</v>
      </c>
      <c r="N575" s="27" t="s">
        <v>33</v>
      </c>
      <c r="O575" s="27" t="s">
        <v>34</v>
      </c>
      <c r="P575" s="27" t="s">
        <v>271</v>
      </c>
      <c r="Q575" s="27" t="s">
        <v>1265</v>
      </c>
      <c r="R575" s="33">
        <v>29483</v>
      </c>
      <c r="S575" s="34">
        <v>42054</v>
      </c>
      <c r="T575" s="34">
        <v>42059</v>
      </c>
      <c r="U575" s="29">
        <v>34.067999999999998</v>
      </c>
      <c r="V575" s="26">
        <v>9</v>
      </c>
      <c r="W575" s="29">
        <v>469.59</v>
      </c>
      <c r="X575" s="26">
        <v>90147</v>
      </c>
      <c r="Y575" s="35">
        <v>11.239999999999998</v>
      </c>
      <c r="Z575" s="1" t="s">
        <v>3011</v>
      </c>
      <c r="AA575" s="36">
        <v>48.69</v>
      </c>
      <c r="AB575" s="54">
        <v>192.53190000000001</v>
      </c>
      <c r="AC575" s="54">
        <v>30.784233333333329</v>
      </c>
      <c r="AD575" s="36">
        <v>366.84199999999998</v>
      </c>
    </row>
    <row r="576" spans="1:30" s="37" customFormat="1" ht="15.75" customHeight="1" x14ac:dyDescent="0.2">
      <c r="A576" s="26">
        <v>1303</v>
      </c>
      <c r="B576" s="27" t="s">
        <v>1256</v>
      </c>
      <c r="C576" s="27" t="s">
        <v>38</v>
      </c>
      <c r="D576" s="28">
        <v>0.03</v>
      </c>
      <c r="E576" s="29">
        <v>39.479999999999997</v>
      </c>
      <c r="F576" s="29">
        <v>1.99</v>
      </c>
      <c r="G576" s="30" t="s">
        <v>39</v>
      </c>
      <c r="H576" s="27" t="s">
        <v>40</v>
      </c>
      <c r="I576" s="27" t="s">
        <v>41</v>
      </c>
      <c r="J576" s="27" t="s">
        <v>42</v>
      </c>
      <c r="K576" s="27" t="s">
        <v>43</v>
      </c>
      <c r="L576" s="31" t="s">
        <v>1257</v>
      </c>
      <c r="M576" s="32">
        <v>0.54</v>
      </c>
      <c r="N576" s="27" t="s">
        <v>33</v>
      </c>
      <c r="O576" s="27" t="s">
        <v>60</v>
      </c>
      <c r="P576" s="27" t="s">
        <v>146</v>
      </c>
      <c r="Q576" s="27" t="s">
        <v>1258</v>
      </c>
      <c r="R576" s="33">
        <v>84074</v>
      </c>
      <c r="S576" s="34">
        <v>42054</v>
      </c>
      <c r="T576" s="34">
        <v>42056</v>
      </c>
      <c r="U576" s="29">
        <v>317.08949999999999</v>
      </c>
      <c r="V576" s="26">
        <v>12</v>
      </c>
      <c r="W576" s="29">
        <v>459.55</v>
      </c>
      <c r="X576" s="26">
        <v>87003</v>
      </c>
      <c r="Y576" s="35">
        <v>65.97999999999999</v>
      </c>
      <c r="Z576" s="1" t="s">
        <v>3013</v>
      </c>
      <c r="AA576" s="36">
        <v>14.212799999999998</v>
      </c>
      <c r="AB576" s="54">
        <v>211.393</v>
      </c>
      <c r="AC576" s="54">
        <v>20.679750000000002</v>
      </c>
      <c r="AD576" s="36">
        <v>126.2577</v>
      </c>
    </row>
    <row r="577" spans="1:30" s="37" customFormat="1" ht="15.75" customHeight="1" x14ac:dyDescent="0.2">
      <c r="A577" s="26">
        <v>2052</v>
      </c>
      <c r="B577" s="27" t="s">
        <v>1268</v>
      </c>
      <c r="C577" s="27" t="s">
        <v>3094</v>
      </c>
      <c r="D577" s="28">
        <v>7.0000000000000007E-2</v>
      </c>
      <c r="E577" s="29">
        <v>31.78</v>
      </c>
      <c r="F577" s="29">
        <v>1.99</v>
      </c>
      <c r="G577" s="30" t="s">
        <v>39</v>
      </c>
      <c r="H577" s="27" t="s">
        <v>71</v>
      </c>
      <c r="I577" s="27" t="s">
        <v>41</v>
      </c>
      <c r="J577" s="27" t="s">
        <v>42</v>
      </c>
      <c r="K577" s="27" t="s">
        <v>43</v>
      </c>
      <c r="L577" s="31" t="s">
        <v>870</v>
      </c>
      <c r="M577" s="32">
        <v>0.42</v>
      </c>
      <c r="N577" s="27" t="s">
        <v>33</v>
      </c>
      <c r="O577" s="27" t="s">
        <v>60</v>
      </c>
      <c r="P577" s="27" t="s">
        <v>640</v>
      </c>
      <c r="Q577" s="27" t="s">
        <v>1269</v>
      </c>
      <c r="R577" s="33">
        <v>87105</v>
      </c>
      <c r="S577" s="34">
        <v>42054</v>
      </c>
      <c r="T577" s="34">
        <v>42056</v>
      </c>
      <c r="U577" s="29">
        <v>265.11180000000002</v>
      </c>
      <c r="V577" s="26">
        <v>13</v>
      </c>
      <c r="W577" s="29">
        <v>384.22</v>
      </c>
      <c r="X577" s="26">
        <v>87234</v>
      </c>
      <c r="Y577" s="35">
        <v>54</v>
      </c>
      <c r="Z577" s="1" t="s">
        <v>3013</v>
      </c>
      <c r="AA577" s="36">
        <v>28.919800000000002</v>
      </c>
      <c r="AB577" s="54">
        <v>222.84760000000006</v>
      </c>
      <c r="AC577" s="54">
        <v>12.413261538461539</v>
      </c>
      <c r="AD577" s="36">
        <v>88.198399999999992</v>
      </c>
    </row>
    <row r="578" spans="1:30" s="37" customFormat="1" ht="15.75" customHeight="1" x14ac:dyDescent="0.2">
      <c r="A578" s="26">
        <v>2828</v>
      </c>
      <c r="B578" s="27" t="s">
        <v>1259</v>
      </c>
      <c r="C578" s="27" t="s">
        <v>38</v>
      </c>
      <c r="D578" s="28">
        <v>0.05</v>
      </c>
      <c r="E578" s="29">
        <v>11.29</v>
      </c>
      <c r="F578" s="29">
        <v>5.03</v>
      </c>
      <c r="G578" s="30" t="s">
        <v>39</v>
      </c>
      <c r="H578" s="27" t="s">
        <v>94</v>
      </c>
      <c r="I578" s="27" t="s">
        <v>49</v>
      </c>
      <c r="J578" s="27" t="s">
        <v>78</v>
      </c>
      <c r="K578" s="27" t="s">
        <v>73</v>
      </c>
      <c r="L578" s="31" t="s">
        <v>1260</v>
      </c>
      <c r="M578" s="32">
        <v>0.59</v>
      </c>
      <c r="N578" s="27" t="s">
        <v>33</v>
      </c>
      <c r="O578" s="27" t="s">
        <v>60</v>
      </c>
      <c r="P578" s="27" t="s">
        <v>90</v>
      </c>
      <c r="Q578" s="27" t="s">
        <v>1261</v>
      </c>
      <c r="R578" s="33">
        <v>92243</v>
      </c>
      <c r="S578" s="34">
        <v>42054</v>
      </c>
      <c r="T578" s="34">
        <v>42056</v>
      </c>
      <c r="U578" s="29">
        <v>-35.26</v>
      </c>
      <c r="V578" s="26">
        <v>8</v>
      </c>
      <c r="W578" s="29">
        <v>90.46</v>
      </c>
      <c r="X578" s="26">
        <v>87720</v>
      </c>
      <c r="Y578" s="35">
        <v>5.98</v>
      </c>
      <c r="Z578" s="1" t="s">
        <v>3013</v>
      </c>
      <c r="AA578" s="36">
        <v>4.516</v>
      </c>
      <c r="AB578" s="54">
        <v>37.0886</v>
      </c>
      <c r="AC578" s="54">
        <v>6.6714249999999993</v>
      </c>
      <c r="AD578" s="36">
        <v>116.17399999999999</v>
      </c>
    </row>
    <row r="579" spans="1:30" s="37" customFormat="1" ht="15.75" customHeight="1" x14ac:dyDescent="0.2">
      <c r="A579" s="26">
        <v>1827</v>
      </c>
      <c r="B579" s="27" t="s">
        <v>1266</v>
      </c>
      <c r="C579" s="27" t="s">
        <v>3094</v>
      </c>
      <c r="D579" s="28">
        <v>0</v>
      </c>
      <c r="E579" s="29">
        <v>5.98</v>
      </c>
      <c r="F579" s="29">
        <v>0.96</v>
      </c>
      <c r="G579" s="30" t="s">
        <v>39</v>
      </c>
      <c r="H579" s="27" t="s">
        <v>94</v>
      </c>
      <c r="I579" s="27" t="s">
        <v>49</v>
      </c>
      <c r="J579" s="27" t="s">
        <v>50</v>
      </c>
      <c r="K579" s="27" t="s">
        <v>51</v>
      </c>
      <c r="L579" s="31" t="s">
        <v>1267</v>
      </c>
      <c r="M579" s="32">
        <v>0.6</v>
      </c>
      <c r="N579" s="27" t="s">
        <v>33</v>
      </c>
      <c r="O579" s="27" t="s">
        <v>53</v>
      </c>
      <c r="P579" s="27" t="s">
        <v>213</v>
      </c>
      <c r="Q579" s="27" t="s">
        <v>928</v>
      </c>
      <c r="R579" s="33">
        <v>52601</v>
      </c>
      <c r="S579" s="34">
        <v>42054</v>
      </c>
      <c r="T579" s="34">
        <v>42055</v>
      </c>
      <c r="U579" s="29">
        <v>38.039700000000003</v>
      </c>
      <c r="V579" s="26">
        <v>9</v>
      </c>
      <c r="W579" s="29">
        <v>55.13</v>
      </c>
      <c r="X579" s="26">
        <v>86956</v>
      </c>
      <c r="Y579" s="35">
        <v>5.9600000000000009</v>
      </c>
      <c r="Z579" s="1" t="s">
        <v>3012</v>
      </c>
      <c r="AA579" s="36">
        <v>0</v>
      </c>
      <c r="AB579" s="54">
        <v>22.052000000000003</v>
      </c>
      <c r="AC579" s="54">
        <v>3.6753333333333331</v>
      </c>
      <c r="AD579" s="36">
        <v>16.130299999999998</v>
      </c>
    </row>
    <row r="580" spans="1:30" s="37" customFormat="1" ht="15.75" customHeight="1" x14ac:dyDescent="0.2">
      <c r="A580" s="26">
        <v>1828</v>
      </c>
      <c r="B580" s="27" t="s">
        <v>250</v>
      </c>
      <c r="C580" s="27" t="s">
        <v>3094</v>
      </c>
      <c r="D580" s="28">
        <v>0.02</v>
      </c>
      <c r="E580" s="29">
        <v>5.98</v>
      </c>
      <c r="F580" s="29">
        <v>5.46</v>
      </c>
      <c r="G580" s="30" t="s">
        <v>39</v>
      </c>
      <c r="H580" s="27" t="s">
        <v>94</v>
      </c>
      <c r="I580" s="27" t="s">
        <v>49</v>
      </c>
      <c r="J580" s="27" t="s">
        <v>88</v>
      </c>
      <c r="K580" s="27" t="s">
        <v>73</v>
      </c>
      <c r="L580" s="31" t="s">
        <v>1156</v>
      </c>
      <c r="M580" s="32">
        <v>0.36</v>
      </c>
      <c r="N580" s="27" t="s">
        <v>33</v>
      </c>
      <c r="O580" s="27" t="s">
        <v>53</v>
      </c>
      <c r="P580" s="27" t="s">
        <v>213</v>
      </c>
      <c r="Q580" s="27" t="s">
        <v>252</v>
      </c>
      <c r="R580" s="33">
        <v>50613</v>
      </c>
      <c r="S580" s="34">
        <v>42054</v>
      </c>
      <c r="T580" s="34">
        <v>42055</v>
      </c>
      <c r="U580" s="29">
        <v>-47.12</v>
      </c>
      <c r="V580" s="26">
        <v>7</v>
      </c>
      <c r="W580" s="29">
        <v>44.8</v>
      </c>
      <c r="X580" s="26">
        <v>86956</v>
      </c>
      <c r="Y580" s="35">
        <v>31.71</v>
      </c>
      <c r="Z580" s="1" t="s">
        <v>3012</v>
      </c>
      <c r="AA580" s="36">
        <v>0.83720000000000006</v>
      </c>
      <c r="AB580" s="54">
        <v>28.671999999999997</v>
      </c>
      <c r="AC580" s="54">
        <v>2.3039999999999998</v>
      </c>
      <c r="AD580" s="36">
        <v>85.622799999999984</v>
      </c>
    </row>
    <row r="581" spans="1:30" s="37" customFormat="1" ht="15.75" customHeight="1" x14ac:dyDescent="0.2">
      <c r="A581" s="26">
        <v>993</v>
      </c>
      <c r="B581" s="27" t="s">
        <v>1253</v>
      </c>
      <c r="C581" s="27" t="s">
        <v>38</v>
      </c>
      <c r="D581" s="28">
        <v>0.05</v>
      </c>
      <c r="E581" s="29">
        <v>4.28</v>
      </c>
      <c r="F581" s="29">
        <v>5.17</v>
      </c>
      <c r="G581" s="30" t="s">
        <v>39</v>
      </c>
      <c r="H581" s="27" t="s">
        <v>3095</v>
      </c>
      <c r="I581" s="27" t="s">
        <v>49</v>
      </c>
      <c r="J581" s="27" t="s">
        <v>88</v>
      </c>
      <c r="K581" s="27" t="s">
        <v>73</v>
      </c>
      <c r="L581" s="31" t="s">
        <v>1254</v>
      </c>
      <c r="M581" s="32">
        <v>0.4</v>
      </c>
      <c r="N581" s="27" t="s">
        <v>33</v>
      </c>
      <c r="O581" s="27" t="s">
        <v>60</v>
      </c>
      <c r="P581" s="27" t="s">
        <v>90</v>
      </c>
      <c r="Q581" s="27" t="s">
        <v>1255</v>
      </c>
      <c r="R581" s="33">
        <v>93030</v>
      </c>
      <c r="S581" s="34">
        <v>42054</v>
      </c>
      <c r="T581" s="34">
        <v>42054</v>
      </c>
      <c r="U581" s="29">
        <v>-104.57</v>
      </c>
      <c r="V581" s="26">
        <v>9</v>
      </c>
      <c r="W581" s="29">
        <v>38.58</v>
      </c>
      <c r="X581" s="26">
        <v>89432</v>
      </c>
      <c r="Y581" s="35">
        <v>5.98</v>
      </c>
      <c r="Z581" s="1" t="s">
        <v>3013</v>
      </c>
      <c r="AA581" s="36">
        <v>1.9260000000000002</v>
      </c>
      <c r="AB581" s="54">
        <v>23.148</v>
      </c>
      <c r="AC581" s="54">
        <v>1.7146666666666666</v>
      </c>
      <c r="AD581" s="36">
        <v>136.05399999999997</v>
      </c>
    </row>
    <row r="582" spans="1:30" s="37" customFormat="1" ht="15.75" customHeight="1" x14ac:dyDescent="0.2">
      <c r="A582" s="26">
        <v>2052</v>
      </c>
      <c r="B582" s="27" t="s">
        <v>1268</v>
      </c>
      <c r="C582" s="27" t="s">
        <v>3094</v>
      </c>
      <c r="D582" s="28">
        <v>0</v>
      </c>
      <c r="E582" s="29">
        <v>5.98</v>
      </c>
      <c r="F582" s="29">
        <v>2.5</v>
      </c>
      <c r="G582" s="30" t="s">
        <v>39</v>
      </c>
      <c r="H582" s="27" t="s">
        <v>71</v>
      </c>
      <c r="I582" s="27" t="s">
        <v>49</v>
      </c>
      <c r="J582" s="27" t="s">
        <v>345</v>
      </c>
      <c r="K582" s="27" t="s">
        <v>73</v>
      </c>
      <c r="L582" s="31" t="s">
        <v>1270</v>
      </c>
      <c r="M582" s="32">
        <v>0.36</v>
      </c>
      <c r="N582" s="27" t="s">
        <v>33</v>
      </c>
      <c r="O582" s="27" t="s">
        <v>60</v>
      </c>
      <c r="P582" s="27" t="s">
        <v>640</v>
      </c>
      <c r="Q582" s="27" t="s">
        <v>1269</v>
      </c>
      <c r="R582" s="33">
        <v>87105</v>
      </c>
      <c r="S582" s="34">
        <v>42054</v>
      </c>
      <c r="T582" s="34">
        <v>42055</v>
      </c>
      <c r="U582" s="29">
        <v>9.5608000000000004</v>
      </c>
      <c r="V582" s="26">
        <v>5</v>
      </c>
      <c r="W582" s="29">
        <v>31.64</v>
      </c>
      <c r="X582" s="26">
        <v>87234</v>
      </c>
      <c r="Y582" s="35">
        <v>35.89</v>
      </c>
      <c r="Z582" s="1" t="s">
        <v>3013</v>
      </c>
      <c r="AA582" s="36">
        <v>0</v>
      </c>
      <c r="AB582" s="54">
        <v>20.249600000000001</v>
      </c>
      <c r="AC582" s="54">
        <v>2.2780800000000001</v>
      </c>
      <c r="AD582" s="36">
        <v>19.5792</v>
      </c>
    </row>
    <row r="583" spans="1:30" s="37" customFormat="1" ht="15.75" customHeight="1" x14ac:dyDescent="0.2">
      <c r="A583" s="26">
        <v>1485</v>
      </c>
      <c r="B583" s="27" t="s">
        <v>1282</v>
      </c>
      <c r="C583" s="27" t="s">
        <v>3094</v>
      </c>
      <c r="D583" s="28">
        <v>0.05</v>
      </c>
      <c r="E583" s="29">
        <v>225.02</v>
      </c>
      <c r="F583" s="29">
        <v>28.66</v>
      </c>
      <c r="G583" s="30" t="s">
        <v>27</v>
      </c>
      <c r="H583" s="27" t="s">
        <v>71</v>
      </c>
      <c r="I583" s="27" t="s">
        <v>49</v>
      </c>
      <c r="J583" s="27" t="s">
        <v>78</v>
      </c>
      <c r="K583" s="27" t="s">
        <v>58</v>
      </c>
      <c r="L583" s="31" t="s">
        <v>1286</v>
      </c>
      <c r="M583" s="32">
        <v>0.72</v>
      </c>
      <c r="N583" s="27" t="s">
        <v>33</v>
      </c>
      <c r="O583" s="27" t="s">
        <v>53</v>
      </c>
      <c r="P583" s="27" t="s">
        <v>103</v>
      </c>
      <c r="Q583" s="27" t="s">
        <v>1284</v>
      </c>
      <c r="R583" s="33">
        <v>60516</v>
      </c>
      <c r="S583" s="34">
        <v>42055</v>
      </c>
      <c r="T583" s="34">
        <v>42057</v>
      </c>
      <c r="U583" s="29">
        <v>1428.9104</v>
      </c>
      <c r="V583" s="26">
        <v>21</v>
      </c>
      <c r="W583" s="29">
        <v>4636.63</v>
      </c>
      <c r="X583" s="26">
        <v>91236</v>
      </c>
      <c r="Y583" s="35">
        <v>4.0299999999999994</v>
      </c>
      <c r="Z583" s="1" t="s">
        <v>3012</v>
      </c>
      <c r="AA583" s="36">
        <v>236.27100000000002</v>
      </c>
      <c r="AB583" s="54">
        <v>1298.2564000000002</v>
      </c>
      <c r="AC583" s="54">
        <v>158.97017142857143</v>
      </c>
      <c r="AD583" s="36">
        <v>2942.7885999999999</v>
      </c>
    </row>
    <row r="584" spans="1:30" s="37" customFormat="1" ht="15.75" customHeight="1" x14ac:dyDescent="0.2">
      <c r="A584" s="26">
        <v>2882</v>
      </c>
      <c r="B584" s="27" t="s">
        <v>671</v>
      </c>
      <c r="C584" s="27" t="s">
        <v>38</v>
      </c>
      <c r="D584" s="28">
        <v>0.02</v>
      </c>
      <c r="E584" s="29">
        <v>10.68</v>
      </c>
      <c r="F584" s="29">
        <v>13.04</v>
      </c>
      <c r="G584" s="30" t="s">
        <v>39</v>
      </c>
      <c r="H584" s="27" t="s">
        <v>40</v>
      </c>
      <c r="I584" s="27" t="s">
        <v>29</v>
      </c>
      <c r="J584" s="27" t="s">
        <v>126</v>
      </c>
      <c r="K584" s="27" t="s">
        <v>65</v>
      </c>
      <c r="L584" s="31" t="s">
        <v>1273</v>
      </c>
      <c r="M584" s="32">
        <v>0.6</v>
      </c>
      <c r="N584" s="27" t="s">
        <v>33</v>
      </c>
      <c r="O584" s="27" t="s">
        <v>34</v>
      </c>
      <c r="P584" s="27" t="s">
        <v>97</v>
      </c>
      <c r="Q584" s="27" t="s">
        <v>673</v>
      </c>
      <c r="R584" s="33">
        <v>28206</v>
      </c>
      <c r="S584" s="34">
        <v>42055</v>
      </c>
      <c r="T584" s="34">
        <v>42057</v>
      </c>
      <c r="U584" s="29">
        <v>-307.29649999999998</v>
      </c>
      <c r="V584" s="26">
        <v>31</v>
      </c>
      <c r="W584" s="29">
        <v>350.48</v>
      </c>
      <c r="X584" s="26">
        <v>55300</v>
      </c>
      <c r="Y584" s="35">
        <v>3.74</v>
      </c>
      <c r="Z584" s="1" t="s">
        <v>3011</v>
      </c>
      <c r="AA584" s="36">
        <v>6.6216000000000008</v>
      </c>
      <c r="AB584" s="54">
        <v>140.19200000000001</v>
      </c>
      <c r="AC584" s="54">
        <v>6.7834838709677419</v>
      </c>
      <c r="AD584" s="36">
        <v>638.11490000000003</v>
      </c>
    </row>
    <row r="585" spans="1:30" s="37" customFormat="1" ht="15.75" customHeight="1" x14ac:dyDescent="0.2">
      <c r="A585" s="26">
        <v>2882</v>
      </c>
      <c r="B585" s="27" t="s">
        <v>671</v>
      </c>
      <c r="C585" s="27" t="s">
        <v>38</v>
      </c>
      <c r="D585" s="28">
        <v>0.01</v>
      </c>
      <c r="E585" s="29">
        <v>3.75</v>
      </c>
      <c r="F585" s="29">
        <v>0.5</v>
      </c>
      <c r="G585" s="30" t="s">
        <v>39</v>
      </c>
      <c r="H585" s="27" t="s">
        <v>40</v>
      </c>
      <c r="I585" s="27" t="s">
        <v>49</v>
      </c>
      <c r="J585" s="27" t="s">
        <v>152</v>
      </c>
      <c r="K585" s="27" t="s">
        <v>73</v>
      </c>
      <c r="L585" s="31" t="s">
        <v>1272</v>
      </c>
      <c r="M585" s="32">
        <v>0.37</v>
      </c>
      <c r="N585" s="27" t="s">
        <v>33</v>
      </c>
      <c r="O585" s="27" t="s">
        <v>34</v>
      </c>
      <c r="P585" s="27" t="s">
        <v>97</v>
      </c>
      <c r="Q585" s="27" t="s">
        <v>673</v>
      </c>
      <c r="R585" s="33">
        <v>28206</v>
      </c>
      <c r="S585" s="34">
        <v>42055</v>
      </c>
      <c r="T585" s="34">
        <v>42056</v>
      </c>
      <c r="U585" s="29">
        <v>55.194600000000001</v>
      </c>
      <c r="V585" s="26">
        <v>48</v>
      </c>
      <c r="W585" s="29">
        <v>180.48</v>
      </c>
      <c r="X585" s="26">
        <v>55300</v>
      </c>
      <c r="Y585" s="35">
        <v>10.66</v>
      </c>
      <c r="Z585" s="1" t="s">
        <v>3011</v>
      </c>
      <c r="AA585" s="36">
        <v>1.7999999999999998</v>
      </c>
      <c r="AB585" s="54">
        <v>113.7024</v>
      </c>
      <c r="AC585" s="54">
        <v>1.3912</v>
      </c>
      <c r="AD585" s="36">
        <v>122.9854</v>
      </c>
    </row>
    <row r="586" spans="1:30" s="37" customFormat="1" ht="15.75" customHeight="1" x14ac:dyDescent="0.2">
      <c r="A586" s="26">
        <v>2882</v>
      </c>
      <c r="B586" s="27" t="s">
        <v>671</v>
      </c>
      <c r="C586" s="27" t="s">
        <v>38</v>
      </c>
      <c r="D586" s="28">
        <v>0.03</v>
      </c>
      <c r="E586" s="29">
        <v>4.0599999999999996</v>
      </c>
      <c r="F586" s="29">
        <v>6.89</v>
      </c>
      <c r="G586" s="30" t="s">
        <v>39</v>
      </c>
      <c r="H586" s="27" t="s">
        <v>40</v>
      </c>
      <c r="I586" s="27" t="s">
        <v>49</v>
      </c>
      <c r="J586" s="27" t="s">
        <v>95</v>
      </c>
      <c r="K586" s="27" t="s">
        <v>73</v>
      </c>
      <c r="L586" s="31" t="s">
        <v>1271</v>
      </c>
      <c r="M586" s="32">
        <v>0.6</v>
      </c>
      <c r="N586" s="27" t="s">
        <v>33</v>
      </c>
      <c r="O586" s="27" t="s">
        <v>34</v>
      </c>
      <c r="P586" s="27" t="s">
        <v>97</v>
      </c>
      <c r="Q586" s="27" t="s">
        <v>673</v>
      </c>
      <c r="R586" s="33">
        <v>28206</v>
      </c>
      <c r="S586" s="34">
        <v>42055</v>
      </c>
      <c r="T586" s="34">
        <v>42057</v>
      </c>
      <c r="U586" s="29">
        <v>-246.27610000000001</v>
      </c>
      <c r="V586" s="26">
        <v>37</v>
      </c>
      <c r="W586" s="29">
        <v>159.88999999999999</v>
      </c>
      <c r="X586" s="26">
        <v>55300</v>
      </c>
      <c r="Y586" s="35">
        <v>4.0299999999999994</v>
      </c>
      <c r="Z586" s="1" t="s">
        <v>3011</v>
      </c>
      <c r="AA586" s="36">
        <v>4.5065999999999988</v>
      </c>
      <c r="AB586" s="54">
        <v>63.955999999999996</v>
      </c>
      <c r="AC586" s="54">
        <v>2.5928108108108101</v>
      </c>
      <c r="AD586" s="36">
        <v>394.76949999999999</v>
      </c>
    </row>
    <row r="587" spans="1:30" s="37" customFormat="1" ht="15.75" customHeight="1" x14ac:dyDescent="0.2">
      <c r="A587" s="26">
        <v>1485</v>
      </c>
      <c r="B587" s="27" t="s">
        <v>1282</v>
      </c>
      <c r="C587" s="27" t="s">
        <v>3094</v>
      </c>
      <c r="D587" s="28">
        <v>0.04</v>
      </c>
      <c r="E587" s="29">
        <v>11.5</v>
      </c>
      <c r="F587" s="29">
        <v>7.19</v>
      </c>
      <c r="G587" s="30" t="s">
        <v>39</v>
      </c>
      <c r="H587" s="27" t="s">
        <v>71</v>
      </c>
      <c r="I587" s="27" t="s">
        <v>49</v>
      </c>
      <c r="J587" s="27" t="s">
        <v>72</v>
      </c>
      <c r="K587" s="27" t="s">
        <v>73</v>
      </c>
      <c r="L587" s="31" t="s">
        <v>1283</v>
      </c>
      <c r="M587" s="32">
        <v>0.4</v>
      </c>
      <c r="N587" s="27" t="s">
        <v>33</v>
      </c>
      <c r="O587" s="27" t="s">
        <v>53</v>
      </c>
      <c r="P587" s="27" t="s">
        <v>103</v>
      </c>
      <c r="Q587" s="27" t="s">
        <v>1284</v>
      </c>
      <c r="R587" s="33">
        <v>60516</v>
      </c>
      <c r="S587" s="34">
        <v>42055</v>
      </c>
      <c r="T587" s="34">
        <v>42058</v>
      </c>
      <c r="U587" s="29">
        <v>-23.357880000000002</v>
      </c>
      <c r="V587" s="26">
        <v>14</v>
      </c>
      <c r="W587" s="29">
        <v>157.81</v>
      </c>
      <c r="X587" s="26">
        <v>91236</v>
      </c>
      <c r="Y587" s="35">
        <v>3.74</v>
      </c>
      <c r="Z587" s="1" t="s">
        <v>3012</v>
      </c>
      <c r="AA587" s="36">
        <v>6.44</v>
      </c>
      <c r="AB587" s="54">
        <v>94.685999999999993</v>
      </c>
      <c r="AC587" s="54">
        <v>4.5088571428571429</v>
      </c>
      <c r="AD587" s="36">
        <v>167.53788</v>
      </c>
    </row>
    <row r="588" spans="1:30" s="37" customFormat="1" ht="15.75" customHeight="1" x14ac:dyDescent="0.2">
      <c r="A588" s="26">
        <v>233</v>
      </c>
      <c r="B588" s="27" t="s">
        <v>1279</v>
      </c>
      <c r="C588" s="27" t="s">
        <v>116</v>
      </c>
      <c r="D588" s="28">
        <v>0.04</v>
      </c>
      <c r="E588" s="29">
        <v>9.65</v>
      </c>
      <c r="F588" s="29">
        <v>6.22</v>
      </c>
      <c r="G588" s="30" t="s">
        <v>39</v>
      </c>
      <c r="H588" s="27" t="s">
        <v>3095</v>
      </c>
      <c r="I588" s="27" t="s">
        <v>29</v>
      </c>
      <c r="J588" s="27" t="s">
        <v>126</v>
      </c>
      <c r="K588" s="27" t="s">
        <v>73</v>
      </c>
      <c r="L588" s="31" t="s">
        <v>1281</v>
      </c>
      <c r="M588" s="32">
        <v>0.55000000000000004</v>
      </c>
      <c r="N588" s="27" t="s">
        <v>33</v>
      </c>
      <c r="O588" s="27" t="s">
        <v>53</v>
      </c>
      <c r="P588" s="27" t="s">
        <v>103</v>
      </c>
      <c r="Q588" s="27" t="s">
        <v>1280</v>
      </c>
      <c r="R588" s="33">
        <v>60462</v>
      </c>
      <c r="S588" s="34">
        <v>42055</v>
      </c>
      <c r="T588" s="34">
        <v>42056</v>
      </c>
      <c r="U588" s="29">
        <v>-53.62</v>
      </c>
      <c r="V588" s="26">
        <v>12</v>
      </c>
      <c r="W588" s="29">
        <v>120.47</v>
      </c>
      <c r="X588" s="26">
        <v>90237</v>
      </c>
      <c r="Y588" s="35">
        <v>10.66</v>
      </c>
      <c r="Z588" s="1" t="s">
        <v>3012</v>
      </c>
      <c r="AA588" s="36">
        <v>4.6319999999999997</v>
      </c>
      <c r="AB588" s="54">
        <v>54.211499999999994</v>
      </c>
      <c r="AC588" s="54">
        <v>5.5215416666666668</v>
      </c>
      <c r="AD588" s="36">
        <v>163.238</v>
      </c>
    </row>
    <row r="589" spans="1:30" s="37" customFormat="1" ht="15.75" customHeight="1" x14ac:dyDescent="0.2">
      <c r="A589" s="26">
        <v>3284</v>
      </c>
      <c r="B589" s="27" t="s">
        <v>1276</v>
      </c>
      <c r="C589" s="27" t="s">
        <v>38</v>
      </c>
      <c r="D589" s="28">
        <v>0.05</v>
      </c>
      <c r="E589" s="29">
        <v>19.23</v>
      </c>
      <c r="F589" s="29">
        <v>6.15</v>
      </c>
      <c r="G589" s="30" t="s">
        <v>87</v>
      </c>
      <c r="H589" s="27" t="s">
        <v>94</v>
      </c>
      <c r="I589" s="27" t="s">
        <v>29</v>
      </c>
      <c r="J589" s="27" t="s">
        <v>126</v>
      </c>
      <c r="K589" s="27" t="s">
        <v>43</v>
      </c>
      <c r="L589" s="31" t="s">
        <v>1277</v>
      </c>
      <c r="M589" s="32">
        <v>0.44</v>
      </c>
      <c r="N589" s="27" t="s">
        <v>33</v>
      </c>
      <c r="O589" s="27" t="s">
        <v>34</v>
      </c>
      <c r="P589" s="27" t="s">
        <v>123</v>
      </c>
      <c r="Q589" s="27" t="s">
        <v>1278</v>
      </c>
      <c r="R589" s="33">
        <v>34741</v>
      </c>
      <c r="S589" s="34">
        <v>42055</v>
      </c>
      <c r="T589" s="34">
        <v>42057</v>
      </c>
      <c r="U589" s="29">
        <v>-2133.2779999999998</v>
      </c>
      <c r="V589" s="26">
        <v>6</v>
      </c>
      <c r="W589" s="29">
        <v>119.78</v>
      </c>
      <c r="X589" s="26">
        <v>90751</v>
      </c>
      <c r="Y589" s="35">
        <v>19.18</v>
      </c>
      <c r="Z589" s="1" t="s">
        <v>3011</v>
      </c>
      <c r="AA589" s="36">
        <v>5.7690000000000001</v>
      </c>
      <c r="AB589" s="54">
        <v>67.076800000000006</v>
      </c>
      <c r="AC589" s="54">
        <v>8.7838666666666665</v>
      </c>
      <c r="AD589" s="36">
        <v>2241.1390000000001</v>
      </c>
    </row>
    <row r="590" spans="1:30" s="37" customFormat="1" ht="15.75" customHeight="1" x14ac:dyDescent="0.2">
      <c r="A590" s="26">
        <v>2886</v>
      </c>
      <c r="B590" s="27" t="s">
        <v>1274</v>
      </c>
      <c r="C590" s="27" t="s">
        <v>38</v>
      </c>
      <c r="D590" s="28">
        <v>0.02</v>
      </c>
      <c r="E590" s="29">
        <v>10.68</v>
      </c>
      <c r="F590" s="29">
        <v>13.04</v>
      </c>
      <c r="G590" s="30" t="s">
        <v>39</v>
      </c>
      <c r="H590" s="27" t="s">
        <v>40</v>
      </c>
      <c r="I590" s="27" t="s">
        <v>29</v>
      </c>
      <c r="J590" s="27" t="s">
        <v>126</v>
      </c>
      <c r="K590" s="27" t="s">
        <v>65</v>
      </c>
      <c r="L590" s="31" t="s">
        <v>1273</v>
      </c>
      <c r="M590" s="32">
        <v>0.6</v>
      </c>
      <c r="N590" s="27" t="s">
        <v>33</v>
      </c>
      <c r="O590" s="27" t="s">
        <v>111</v>
      </c>
      <c r="P590" s="27" t="s">
        <v>317</v>
      </c>
      <c r="Q590" s="27" t="s">
        <v>1275</v>
      </c>
      <c r="R590" s="33">
        <v>44134</v>
      </c>
      <c r="S590" s="34">
        <v>42055</v>
      </c>
      <c r="T590" s="34">
        <v>42057</v>
      </c>
      <c r="U590" s="29">
        <v>-231.05</v>
      </c>
      <c r="V590" s="26">
        <v>8</v>
      </c>
      <c r="W590" s="29">
        <v>90.45</v>
      </c>
      <c r="X590" s="26">
        <v>87630</v>
      </c>
      <c r="Y590" s="35">
        <v>5.7399999999999993</v>
      </c>
      <c r="Z590" s="1" t="s">
        <v>3014</v>
      </c>
      <c r="AA590" s="36">
        <v>1.7088000000000001</v>
      </c>
      <c r="AB590" s="54">
        <v>36.18</v>
      </c>
      <c r="AC590" s="54">
        <v>6.7837500000000004</v>
      </c>
      <c r="AD590" s="36">
        <v>306.75120000000004</v>
      </c>
    </row>
    <row r="591" spans="1:30" s="37" customFormat="1" ht="15.75" customHeight="1" x14ac:dyDescent="0.2">
      <c r="A591" s="26">
        <v>233</v>
      </c>
      <c r="B591" s="27" t="s">
        <v>1279</v>
      </c>
      <c r="C591" s="27" t="s">
        <v>116</v>
      </c>
      <c r="D591" s="28">
        <v>7.0000000000000007E-2</v>
      </c>
      <c r="E591" s="29">
        <v>5.81</v>
      </c>
      <c r="F591" s="29">
        <v>8.49</v>
      </c>
      <c r="G591" s="30" t="s">
        <v>39</v>
      </c>
      <c r="H591" s="27" t="s">
        <v>3095</v>
      </c>
      <c r="I591" s="27" t="s">
        <v>49</v>
      </c>
      <c r="J591" s="27" t="s">
        <v>72</v>
      </c>
      <c r="K591" s="27" t="s">
        <v>73</v>
      </c>
      <c r="L591" s="31" t="s">
        <v>330</v>
      </c>
      <c r="M591" s="32">
        <v>0.39</v>
      </c>
      <c r="N591" s="27" t="s">
        <v>33</v>
      </c>
      <c r="O591" s="27" t="s">
        <v>53</v>
      </c>
      <c r="P591" s="27" t="s">
        <v>103</v>
      </c>
      <c r="Q591" s="27" t="s">
        <v>1280</v>
      </c>
      <c r="R591" s="33">
        <v>60462</v>
      </c>
      <c r="S591" s="34">
        <v>42055</v>
      </c>
      <c r="T591" s="34">
        <v>42057</v>
      </c>
      <c r="U591" s="29">
        <v>-243.23650000000001</v>
      </c>
      <c r="V591" s="26">
        <v>10</v>
      </c>
      <c r="W591" s="29">
        <v>58.8</v>
      </c>
      <c r="X591" s="26">
        <v>90237</v>
      </c>
      <c r="Y591" s="35">
        <v>9.6100000000000012</v>
      </c>
      <c r="Z591" s="1" t="s">
        <v>3012</v>
      </c>
      <c r="AA591" s="36">
        <v>4.0670000000000002</v>
      </c>
      <c r="AB591" s="54">
        <v>35.867999999999995</v>
      </c>
      <c r="AC591" s="54">
        <v>2.2932000000000001</v>
      </c>
      <c r="AD591" s="36">
        <v>289.47949999999997</v>
      </c>
    </row>
    <row r="592" spans="1:30" s="37" customFormat="1" ht="15.75" customHeight="1" x14ac:dyDescent="0.2">
      <c r="A592" s="26">
        <v>2886</v>
      </c>
      <c r="B592" s="27" t="s">
        <v>1274</v>
      </c>
      <c r="C592" s="27" t="s">
        <v>38</v>
      </c>
      <c r="D592" s="28">
        <v>0.01</v>
      </c>
      <c r="E592" s="29">
        <v>3.75</v>
      </c>
      <c r="F592" s="29">
        <v>0.5</v>
      </c>
      <c r="G592" s="30" t="s">
        <v>39</v>
      </c>
      <c r="H592" s="27" t="s">
        <v>40</v>
      </c>
      <c r="I592" s="27" t="s">
        <v>49</v>
      </c>
      <c r="J592" s="27" t="s">
        <v>152</v>
      </c>
      <c r="K592" s="27" t="s">
        <v>73</v>
      </c>
      <c r="L592" s="31" t="s">
        <v>1272</v>
      </c>
      <c r="M592" s="32">
        <v>0.37</v>
      </c>
      <c r="N592" s="27" t="s">
        <v>33</v>
      </c>
      <c r="O592" s="27" t="s">
        <v>111</v>
      </c>
      <c r="P592" s="27" t="s">
        <v>317</v>
      </c>
      <c r="Q592" s="27" t="s">
        <v>1275</v>
      </c>
      <c r="R592" s="33">
        <v>44134</v>
      </c>
      <c r="S592" s="34">
        <v>42055</v>
      </c>
      <c r="T592" s="34">
        <v>42056</v>
      </c>
      <c r="U592" s="29">
        <v>31.1328</v>
      </c>
      <c r="V592" s="26">
        <v>12</v>
      </c>
      <c r="W592" s="29">
        <v>45.12</v>
      </c>
      <c r="X592" s="26">
        <v>87630</v>
      </c>
      <c r="Y592" s="35">
        <v>11.46</v>
      </c>
      <c r="Z592" s="1" t="s">
        <v>3014</v>
      </c>
      <c r="AA592" s="36">
        <v>0.44999999999999996</v>
      </c>
      <c r="AB592" s="54">
        <v>28.425599999999999</v>
      </c>
      <c r="AC592" s="54">
        <v>1.3912</v>
      </c>
      <c r="AD592" s="36">
        <v>13.037199999999999</v>
      </c>
    </row>
    <row r="593" spans="1:30" s="37" customFormat="1" ht="15.75" customHeight="1" x14ac:dyDescent="0.2">
      <c r="A593" s="26">
        <v>2886</v>
      </c>
      <c r="B593" s="27" t="s">
        <v>1274</v>
      </c>
      <c r="C593" s="27" t="s">
        <v>38</v>
      </c>
      <c r="D593" s="28">
        <v>0.03</v>
      </c>
      <c r="E593" s="29">
        <v>4.0599999999999996</v>
      </c>
      <c r="F593" s="29">
        <v>6.89</v>
      </c>
      <c r="G593" s="30" t="s">
        <v>39</v>
      </c>
      <c r="H593" s="27" t="s">
        <v>40</v>
      </c>
      <c r="I593" s="27" t="s">
        <v>49</v>
      </c>
      <c r="J593" s="27" t="s">
        <v>95</v>
      </c>
      <c r="K593" s="27" t="s">
        <v>73</v>
      </c>
      <c r="L593" s="31" t="s">
        <v>1271</v>
      </c>
      <c r="M593" s="32">
        <v>0.6</v>
      </c>
      <c r="N593" s="27" t="s">
        <v>33</v>
      </c>
      <c r="O593" s="27" t="s">
        <v>111</v>
      </c>
      <c r="P593" s="27" t="s">
        <v>317</v>
      </c>
      <c r="Q593" s="27" t="s">
        <v>1275</v>
      </c>
      <c r="R593" s="33">
        <v>44134</v>
      </c>
      <c r="S593" s="34">
        <v>42055</v>
      </c>
      <c r="T593" s="34">
        <v>42057</v>
      </c>
      <c r="U593" s="29">
        <v>-185.17</v>
      </c>
      <c r="V593" s="26">
        <v>9</v>
      </c>
      <c r="W593" s="29">
        <v>38.89</v>
      </c>
      <c r="X593" s="26">
        <v>87630</v>
      </c>
      <c r="Y593" s="35">
        <v>15.68</v>
      </c>
      <c r="Z593" s="1" t="s">
        <v>3014</v>
      </c>
      <c r="AA593" s="36">
        <v>1.0961999999999998</v>
      </c>
      <c r="AB593" s="54">
        <v>15.556000000000001</v>
      </c>
      <c r="AC593" s="54">
        <v>2.5926666666666667</v>
      </c>
      <c r="AD593" s="36">
        <v>216.07380000000001</v>
      </c>
    </row>
    <row r="594" spans="1:30" s="37" customFormat="1" ht="15.75" customHeight="1" x14ac:dyDescent="0.2">
      <c r="A594" s="26">
        <v>1485</v>
      </c>
      <c r="B594" s="27" t="s">
        <v>1282</v>
      </c>
      <c r="C594" s="27" t="s">
        <v>3094</v>
      </c>
      <c r="D594" s="28">
        <v>0.02</v>
      </c>
      <c r="E594" s="29">
        <v>15.7</v>
      </c>
      <c r="F594" s="29">
        <v>11.25</v>
      </c>
      <c r="G594" s="30" t="s">
        <v>39</v>
      </c>
      <c r="H594" s="27" t="s">
        <v>71</v>
      </c>
      <c r="I594" s="27" t="s">
        <v>49</v>
      </c>
      <c r="J594" s="27" t="s">
        <v>78</v>
      </c>
      <c r="K594" s="27" t="s">
        <v>73</v>
      </c>
      <c r="L594" s="31" t="s">
        <v>1285</v>
      </c>
      <c r="M594" s="32">
        <v>0.6</v>
      </c>
      <c r="N594" s="27" t="s">
        <v>33</v>
      </c>
      <c r="O594" s="27" t="s">
        <v>53</v>
      </c>
      <c r="P594" s="27" t="s">
        <v>103</v>
      </c>
      <c r="Q594" s="27" t="s">
        <v>1284</v>
      </c>
      <c r="R594" s="33">
        <v>60516</v>
      </c>
      <c r="S594" s="34">
        <v>42055</v>
      </c>
      <c r="T594" s="34">
        <v>42056</v>
      </c>
      <c r="U594" s="29">
        <v>-18.241599999999998</v>
      </c>
      <c r="V594" s="26">
        <v>1</v>
      </c>
      <c r="W594" s="29">
        <v>19.440000000000001</v>
      </c>
      <c r="X594" s="26">
        <v>91236</v>
      </c>
      <c r="Y594" s="35">
        <v>224.97</v>
      </c>
      <c r="Z594" s="1" t="s">
        <v>3012</v>
      </c>
      <c r="AA594" s="36">
        <v>0.314</v>
      </c>
      <c r="AB594" s="54">
        <v>7.7760000000000007</v>
      </c>
      <c r="AC594" s="54">
        <v>11.664</v>
      </c>
      <c r="AD594" s="36">
        <v>26.117599999999999</v>
      </c>
    </row>
    <row r="595" spans="1:30" s="37" customFormat="1" ht="15.75" customHeight="1" x14ac:dyDescent="0.2">
      <c r="A595" s="26">
        <v>553</v>
      </c>
      <c r="B595" s="27" t="s">
        <v>851</v>
      </c>
      <c r="C595" s="27" t="s">
        <v>3094</v>
      </c>
      <c r="D595" s="28">
        <v>7.0000000000000007E-2</v>
      </c>
      <c r="E595" s="29">
        <v>2036.48</v>
      </c>
      <c r="F595" s="29">
        <v>14.7</v>
      </c>
      <c r="G595" s="30" t="s">
        <v>27</v>
      </c>
      <c r="H595" s="27" t="s">
        <v>94</v>
      </c>
      <c r="I595" s="27" t="s">
        <v>41</v>
      </c>
      <c r="J595" s="27" t="s">
        <v>57</v>
      </c>
      <c r="K595" s="27" t="s">
        <v>58</v>
      </c>
      <c r="L595" s="31" t="s">
        <v>59</v>
      </c>
      <c r="M595" s="32">
        <v>0.55000000000000004</v>
      </c>
      <c r="N595" s="27" t="s">
        <v>33</v>
      </c>
      <c r="O595" s="27" t="s">
        <v>60</v>
      </c>
      <c r="P595" s="27" t="s">
        <v>90</v>
      </c>
      <c r="Q595" s="27" t="s">
        <v>100</v>
      </c>
      <c r="R595" s="33">
        <v>90008</v>
      </c>
      <c r="S595" s="34">
        <v>42056</v>
      </c>
      <c r="T595" s="34">
        <v>42056</v>
      </c>
      <c r="U595" s="29">
        <v>4073.25</v>
      </c>
      <c r="V595" s="26">
        <v>25</v>
      </c>
      <c r="W595" s="29">
        <v>43046.2</v>
      </c>
      <c r="X595" s="26">
        <v>2433</v>
      </c>
      <c r="Y595" s="35">
        <v>49.97</v>
      </c>
      <c r="Z595" s="1" t="s">
        <v>3013</v>
      </c>
      <c r="AA595" s="36">
        <v>3563.8400000000006</v>
      </c>
      <c r="AB595" s="54">
        <v>19370.789999999997</v>
      </c>
      <c r="AC595" s="54">
        <v>947.01640000000009</v>
      </c>
      <c r="AD595" s="36">
        <v>35394.409999999996</v>
      </c>
    </row>
    <row r="596" spans="1:30" s="37" customFormat="1" ht="15.75" customHeight="1" x14ac:dyDescent="0.2">
      <c r="A596" s="26">
        <v>555</v>
      </c>
      <c r="B596" s="27" t="s">
        <v>1300</v>
      </c>
      <c r="C596" s="27" t="s">
        <v>3094</v>
      </c>
      <c r="D596" s="28">
        <v>7.0000000000000007E-2</v>
      </c>
      <c r="E596" s="29">
        <v>2036.48</v>
      </c>
      <c r="F596" s="29">
        <v>14.7</v>
      </c>
      <c r="G596" s="30" t="s">
        <v>27</v>
      </c>
      <c r="H596" s="27" t="s">
        <v>94</v>
      </c>
      <c r="I596" s="27" t="s">
        <v>41</v>
      </c>
      <c r="J596" s="27" t="s">
        <v>57</v>
      </c>
      <c r="K596" s="27" t="s">
        <v>58</v>
      </c>
      <c r="L596" s="31" t="s">
        <v>59</v>
      </c>
      <c r="M596" s="32">
        <v>0.55000000000000004</v>
      </c>
      <c r="N596" s="27" t="s">
        <v>33</v>
      </c>
      <c r="O596" s="27" t="s">
        <v>60</v>
      </c>
      <c r="P596" s="27" t="s">
        <v>146</v>
      </c>
      <c r="Q596" s="27" t="s">
        <v>1301</v>
      </c>
      <c r="R596" s="33">
        <v>84062</v>
      </c>
      <c r="S596" s="34">
        <v>42056</v>
      </c>
      <c r="T596" s="34">
        <v>42056</v>
      </c>
      <c r="U596" s="29">
        <v>6028.41</v>
      </c>
      <c r="V596" s="26">
        <v>6</v>
      </c>
      <c r="W596" s="29">
        <v>10331.09</v>
      </c>
      <c r="X596" s="26">
        <v>86190</v>
      </c>
      <c r="Y596" s="35">
        <v>49.97</v>
      </c>
      <c r="Z596" s="1" t="s">
        <v>3013</v>
      </c>
      <c r="AA596" s="36">
        <v>855.3216000000001</v>
      </c>
      <c r="AB596" s="54">
        <v>4648.9904999999999</v>
      </c>
      <c r="AC596" s="54">
        <v>947.01658333333341</v>
      </c>
      <c r="AD596" s="36">
        <v>3432.6584000000003</v>
      </c>
    </row>
    <row r="597" spans="1:30" s="37" customFormat="1" ht="15.75" customHeight="1" x14ac:dyDescent="0.2">
      <c r="A597" s="26">
        <v>2225</v>
      </c>
      <c r="B597" s="27" t="s">
        <v>1291</v>
      </c>
      <c r="C597" s="27" t="s">
        <v>26</v>
      </c>
      <c r="D597" s="28">
        <v>0</v>
      </c>
      <c r="E597" s="29">
        <v>100.89</v>
      </c>
      <c r="F597" s="29">
        <v>42</v>
      </c>
      <c r="G597" s="30" t="s">
        <v>27</v>
      </c>
      <c r="H597" s="27" t="s">
        <v>3095</v>
      </c>
      <c r="I597" s="27" t="s">
        <v>29</v>
      </c>
      <c r="J597" s="27" t="s">
        <v>109</v>
      </c>
      <c r="K597" s="27" t="s">
        <v>58</v>
      </c>
      <c r="L597" s="31" t="s">
        <v>1292</v>
      </c>
      <c r="M597" s="32">
        <v>0.61</v>
      </c>
      <c r="N597" s="27" t="s">
        <v>33</v>
      </c>
      <c r="O597" s="27" t="s">
        <v>60</v>
      </c>
      <c r="P597" s="27" t="s">
        <v>640</v>
      </c>
      <c r="Q597" s="27" t="s">
        <v>1293</v>
      </c>
      <c r="R597" s="33">
        <v>88240</v>
      </c>
      <c r="S597" s="34">
        <v>42056</v>
      </c>
      <c r="T597" s="34">
        <v>42057</v>
      </c>
      <c r="U597" s="29">
        <v>1500.12</v>
      </c>
      <c r="V597" s="26">
        <v>15</v>
      </c>
      <c r="W597" s="29">
        <v>1608.11</v>
      </c>
      <c r="X597" s="26">
        <v>89970</v>
      </c>
      <c r="Y597" s="35">
        <v>100.89</v>
      </c>
      <c r="Z597" s="1" t="s">
        <v>3013</v>
      </c>
      <c r="AA597" s="36">
        <v>0</v>
      </c>
      <c r="AB597" s="54">
        <v>627.16290000000004</v>
      </c>
      <c r="AC597" s="54">
        <v>65.396473333333333</v>
      </c>
      <c r="AD597" s="36">
        <v>65.990000000000009</v>
      </c>
    </row>
    <row r="598" spans="1:30" s="37" customFormat="1" ht="15.75" customHeight="1" x14ac:dyDescent="0.2">
      <c r="A598" s="26">
        <v>181</v>
      </c>
      <c r="B598" s="27" t="s">
        <v>1287</v>
      </c>
      <c r="C598" s="27" t="s">
        <v>26</v>
      </c>
      <c r="D598" s="28">
        <v>0.02</v>
      </c>
      <c r="E598" s="29">
        <v>49.99</v>
      </c>
      <c r="F598" s="29">
        <v>19.989999999999998</v>
      </c>
      <c r="G598" s="30" t="s">
        <v>39</v>
      </c>
      <c r="H598" s="27" t="s">
        <v>3095</v>
      </c>
      <c r="I598" s="27" t="s">
        <v>41</v>
      </c>
      <c r="J598" s="27" t="s">
        <v>42</v>
      </c>
      <c r="K598" s="27" t="s">
        <v>73</v>
      </c>
      <c r="L598" s="31" t="s">
        <v>1288</v>
      </c>
      <c r="M598" s="32">
        <v>0.41</v>
      </c>
      <c r="N598" s="27" t="s">
        <v>33</v>
      </c>
      <c r="O598" s="27" t="s">
        <v>60</v>
      </c>
      <c r="P598" s="27" t="s">
        <v>90</v>
      </c>
      <c r="Q598" s="27" t="s">
        <v>941</v>
      </c>
      <c r="R598" s="33">
        <v>94122</v>
      </c>
      <c r="S598" s="34">
        <v>42056</v>
      </c>
      <c r="T598" s="34">
        <v>42056</v>
      </c>
      <c r="U598" s="29">
        <v>-76.89</v>
      </c>
      <c r="V598" s="26">
        <v>18</v>
      </c>
      <c r="W598" s="29">
        <v>901.81</v>
      </c>
      <c r="X598" s="26">
        <v>38087</v>
      </c>
      <c r="Y598" s="35">
        <v>4.33</v>
      </c>
      <c r="Z598" s="1" t="s">
        <v>3013</v>
      </c>
      <c r="AA598" s="36">
        <v>17.996400000000001</v>
      </c>
      <c r="AB598" s="54">
        <v>532.06790000000001</v>
      </c>
      <c r="AC598" s="54">
        <v>20.541227777777774</v>
      </c>
      <c r="AD598" s="36">
        <v>940.71359999999993</v>
      </c>
    </row>
    <row r="599" spans="1:30" s="37" customFormat="1" ht="15.75" customHeight="1" x14ac:dyDescent="0.2">
      <c r="A599" s="26">
        <v>875</v>
      </c>
      <c r="B599" s="27" t="s">
        <v>1294</v>
      </c>
      <c r="C599" s="27" t="s">
        <v>38</v>
      </c>
      <c r="D599" s="28">
        <v>0.09</v>
      </c>
      <c r="E599" s="29">
        <v>155.99</v>
      </c>
      <c r="F599" s="29">
        <v>8.99</v>
      </c>
      <c r="G599" s="30" t="s">
        <v>39</v>
      </c>
      <c r="H599" s="27" t="s">
        <v>3095</v>
      </c>
      <c r="I599" s="27" t="s">
        <v>41</v>
      </c>
      <c r="J599" s="27" t="s">
        <v>135</v>
      </c>
      <c r="K599" s="27" t="s">
        <v>73</v>
      </c>
      <c r="L599" s="31" t="s">
        <v>1297</v>
      </c>
      <c r="M599" s="32">
        <v>0.57999999999999996</v>
      </c>
      <c r="N599" s="27" t="s">
        <v>33</v>
      </c>
      <c r="O599" s="27" t="s">
        <v>60</v>
      </c>
      <c r="P599" s="27" t="s">
        <v>146</v>
      </c>
      <c r="Q599" s="27" t="s">
        <v>1296</v>
      </c>
      <c r="R599" s="33">
        <v>84106</v>
      </c>
      <c r="S599" s="34">
        <v>42056</v>
      </c>
      <c r="T599" s="34">
        <v>42058</v>
      </c>
      <c r="U599" s="29">
        <v>-232.22056000000001</v>
      </c>
      <c r="V599" s="26">
        <v>4</v>
      </c>
      <c r="W599" s="29">
        <v>497.11</v>
      </c>
      <c r="X599" s="26">
        <v>89059</v>
      </c>
      <c r="Y599" s="35">
        <v>155.9</v>
      </c>
      <c r="Z599" s="1" t="s">
        <v>3013</v>
      </c>
      <c r="AA599" s="36">
        <v>56.156399999999998</v>
      </c>
      <c r="AB599" s="54">
        <v>208.78620000000004</v>
      </c>
      <c r="AC599" s="54">
        <v>72.080950000000001</v>
      </c>
      <c r="AD599" s="36">
        <v>664.18416000000002</v>
      </c>
    </row>
    <row r="600" spans="1:30" s="37" customFormat="1" ht="15.75" customHeight="1" x14ac:dyDescent="0.2">
      <c r="A600" s="26">
        <v>184</v>
      </c>
      <c r="B600" s="27" t="s">
        <v>1289</v>
      </c>
      <c r="C600" s="27" t="s">
        <v>26</v>
      </c>
      <c r="D600" s="28">
        <v>0.02</v>
      </c>
      <c r="E600" s="29">
        <v>49.99</v>
      </c>
      <c r="F600" s="29">
        <v>19.989999999999998</v>
      </c>
      <c r="G600" s="30" t="s">
        <v>39</v>
      </c>
      <c r="H600" s="27" t="s">
        <v>3095</v>
      </c>
      <c r="I600" s="27" t="s">
        <v>41</v>
      </c>
      <c r="J600" s="27" t="s">
        <v>42</v>
      </c>
      <c r="K600" s="27" t="s">
        <v>73</v>
      </c>
      <c r="L600" s="31" t="s">
        <v>1288</v>
      </c>
      <c r="M600" s="32">
        <v>0.41</v>
      </c>
      <c r="N600" s="27" t="s">
        <v>33</v>
      </c>
      <c r="O600" s="27" t="s">
        <v>111</v>
      </c>
      <c r="P600" s="27" t="s">
        <v>403</v>
      </c>
      <c r="Q600" s="27" t="s">
        <v>1290</v>
      </c>
      <c r="R600" s="33">
        <v>2474</v>
      </c>
      <c r="S600" s="34">
        <v>42056</v>
      </c>
      <c r="T600" s="34">
        <v>42056</v>
      </c>
      <c r="U600" s="29">
        <v>-76.89</v>
      </c>
      <c r="V600" s="26">
        <v>5</v>
      </c>
      <c r="W600" s="29">
        <v>250.5</v>
      </c>
      <c r="X600" s="26">
        <v>88360</v>
      </c>
      <c r="Y600" s="35">
        <v>4.8100000000000005</v>
      </c>
      <c r="Z600" s="1" t="s">
        <v>3014</v>
      </c>
      <c r="AA600" s="36">
        <v>4.9990000000000006</v>
      </c>
      <c r="AB600" s="54">
        <v>147.79500000000002</v>
      </c>
      <c r="AC600" s="54">
        <v>20.541</v>
      </c>
      <c r="AD600" s="36">
        <v>302.40100000000001</v>
      </c>
    </row>
    <row r="601" spans="1:30" s="37" customFormat="1" ht="15.75" customHeight="1" x14ac:dyDescent="0.2">
      <c r="A601" s="26">
        <v>875</v>
      </c>
      <c r="B601" s="27" t="s">
        <v>1294</v>
      </c>
      <c r="C601" s="27" t="s">
        <v>38</v>
      </c>
      <c r="D601" s="28">
        <v>0.04</v>
      </c>
      <c r="E601" s="29">
        <v>4.37</v>
      </c>
      <c r="F601" s="29">
        <v>5.15</v>
      </c>
      <c r="G601" s="30" t="s">
        <v>39</v>
      </c>
      <c r="H601" s="27" t="s">
        <v>3095</v>
      </c>
      <c r="I601" s="27" t="s">
        <v>49</v>
      </c>
      <c r="J601" s="27" t="s">
        <v>95</v>
      </c>
      <c r="K601" s="27" t="s">
        <v>73</v>
      </c>
      <c r="L601" s="31" t="s">
        <v>1295</v>
      </c>
      <c r="M601" s="32">
        <v>0.59</v>
      </c>
      <c r="N601" s="27" t="s">
        <v>33</v>
      </c>
      <c r="O601" s="27" t="s">
        <v>60</v>
      </c>
      <c r="P601" s="27" t="s">
        <v>146</v>
      </c>
      <c r="Q601" s="27" t="s">
        <v>1296</v>
      </c>
      <c r="R601" s="33">
        <v>84106</v>
      </c>
      <c r="S601" s="34">
        <v>42056</v>
      </c>
      <c r="T601" s="34">
        <v>42057</v>
      </c>
      <c r="U601" s="29">
        <v>-74.479600000000005</v>
      </c>
      <c r="V601" s="26">
        <v>18</v>
      </c>
      <c r="W601" s="29">
        <v>78.59</v>
      </c>
      <c r="X601" s="26">
        <v>89059</v>
      </c>
      <c r="Y601" s="35">
        <v>2036.41</v>
      </c>
      <c r="Z601" s="1" t="s">
        <v>3013</v>
      </c>
      <c r="AA601" s="36">
        <v>3.1464000000000003</v>
      </c>
      <c r="AB601" s="54">
        <v>32.221900000000005</v>
      </c>
      <c r="AC601" s="54">
        <v>2.5760055555555557</v>
      </c>
      <c r="AD601" s="36">
        <v>144.7732</v>
      </c>
    </row>
    <row r="602" spans="1:30" s="37" customFormat="1" ht="15.75" customHeight="1" x14ac:dyDescent="0.2">
      <c r="A602" s="26">
        <v>2472</v>
      </c>
      <c r="B602" s="27" t="s">
        <v>1298</v>
      </c>
      <c r="C602" s="27" t="s">
        <v>48</v>
      </c>
      <c r="D602" s="28">
        <v>0.1</v>
      </c>
      <c r="E602" s="29">
        <v>4.91</v>
      </c>
      <c r="F602" s="29">
        <v>0.5</v>
      </c>
      <c r="G602" s="30" t="s">
        <v>87</v>
      </c>
      <c r="H602" s="27" t="s">
        <v>71</v>
      </c>
      <c r="I602" s="27" t="s">
        <v>49</v>
      </c>
      <c r="J602" s="27" t="s">
        <v>152</v>
      </c>
      <c r="K602" s="27" t="s">
        <v>73</v>
      </c>
      <c r="L602" s="31" t="s">
        <v>973</v>
      </c>
      <c r="M602" s="32">
        <v>0.36</v>
      </c>
      <c r="N602" s="27" t="s">
        <v>33</v>
      </c>
      <c r="O602" s="27" t="s">
        <v>53</v>
      </c>
      <c r="P602" s="27" t="s">
        <v>103</v>
      </c>
      <c r="Q602" s="27" t="s">
        <v>1299</v>
      </c>
      <c r="R602" s="33">
        <v>60432</v>
      </c>
      <c r="S602" s="34">
        <v>42056</v>
      </c>
      <c r="T602" s="34">
        <v>42056</v>
      </c>
      <c r="U602" s="29">
        <v>35.279699999999998</v>
      </c>
      <c r="V602" s="26">
        <v>10</v>
      </c>
      <c r="W602" s="29">
        <v>51.13</v>
      </c>
      <c r="X602" s="26">
        <v>86514</v>
      </c>
      <c r="Y602" s="35">
        <v>2036.41</v>
      </c>
      <c r="Z602" s="1" t="s">
        <v>3012</v>
      </c>
      <c r="AA602" s="36">
        <v>4.91</v>
      </c>
      <c r="AB602" s="54">
        <v>32.723200000000006</v>
      </c>
      <c r="AC602" s="54">
        <v>1.8406800000000001</v>
      </c>
      <c r="AD602" s="36">
        <v>10.440300000000001</v>
      </c>
    </row>
    <row r="603" spans="1:30" s="37" customFormat="1" ht="15.75" customHeight="1" x14ac:dyDescent="0.2">
      <c r="A603" s="26">
        <v>236</v>
      </c>
      <c r="B603" s="27" t="s">
        <v>1311</v>
      </c>
      <c r="C603" s="27" t="s">
        <v>3094</v>
      </c>
      <c r="D603" s="28">
        <v>0</v>
      </c>
      <c r="E603" s="29">
        <v>442.14</v>
      </c>
      <c r="F603" s="29">
        <v>14.7</v>
      </c>
      <c r="G603" s="30" t="s">
        <v>27</v>
      </c>
      <c r="H603" s="27" t="s">
        <v>94</v>
      </c>
      <c r="I603" s="27" t="s">
        <v>41</v>
      </c>
      <c r="J603" s="27" t="s">
        <v>57</v>
      </c>
      <c r="K603" s="27" t="s">
        <v>58</v>
      </c>
      <c r="L603" s="31" t="s">
        <v>1312</v>
      </c>
      <c r="M603" s="32">
        <v>0.56000000000000005</v>
      </c>
      <c r="N603" s="27" t="s">
        <v>33</v>
      </c>
      <c r="O603" s="27" t="s">
        <v>60</v>
      </c>
      <c r="P603" s="27" t="s">
        <v>61</v>
      </c>
      <c r="Q603" s="27" t="s">
        <v>1313</v>
      </c>
      <c r="R603" s="33">
        <v>80027</v>
      </c>
      <c r="S603" s="34">
        <v>42057</v>
      </c>
      <c r="T603" s="34">
        <v>42057</v>
      </c>
      <c r="U603" s="29">
        <v>3294.8258999999998</v>
      </c>
      <c r="V603" s="26">
        <v>10</v>
      </c>
      <c r="W603" s="29">
        <v>4775.1099999999997</v>
      </c>
      <c r="X603" s="26">
        <v>86621</v>
      </c>
      <c r="Y603" s="35">
        <v>150.85999999999999</v>
      </c>
      <c r="Z603" s="1" t="s">
        <v>3013</v>
      </c>
      <c r="AA603" s="36">
        <v>0</v>
      </c>
      <c r="AB603" s="54">
        <v>2101.0483999999997</v>
      </c>
      <c r="AC603" s="54">
        <v>267.40616</v>
      </c>
      <c r="AD603" s="36">
        <v>1465.5841</v>
      </c>
    </row>
    <row r="604" spans="1:30" s="37" customFormat="1" ht="15.75" customHeight="1" x14ac:dyDescent="0.2">
      <c r="A604" s="26">
        <v>3136</v>
      </c>
      <c r="B604" s="27" t="s">
        <v>1302</v>
      </c>
      <c r="C604" s="27" t="s">
        <v>26</v>
      </c>
      <c r="D604" s="28">
        <v>0.03</v>
      </c>
      <c r="E604" s="29">
        <v>150.88999999999999</v>
      </c>
      <c r="F604" s="29">
        <v>60.2</v>
      </c>
      <c r="G604" s="30" t="s">
        <v>27</v>
      </c>
      <c r="H604" s="27" t="s">
        <v>40</v>
      </c>
      <c r="I604" s="27" t="s">
        <v>29</v>
      </c>
      <c r="J604" s="27" t="s">
        <v>109</v>
      </c>
      <c r="K604" s="27" t="s">
        <v>58</v>
      </c>
      <c r="L604" s="31" t="s">
        <v>1303</v>
      </c>
      <c r="M604" s="32">
        <v>0.77</v>
      </c>
      <c r="N604" s="27" t="s">
        <v>33</v>
      </c>
      <c r="O604" s="27" t="s">
        <v>111</v>
      </c>
      <c r="P604" s="27" t="s">
        <v>331</v>
      </c>
      <c r="Q604" s="27" t="s">
        <v>332</v>
      </c>
      <c r="R604" s="33">
        <v>4073</v>
      </c>
      <c r="S604" s="34">
        <v>42057</v>
      </c>
      <c r="T604" s="34">
        <v>42057</v>
      </c>
      <c r="U604" s="29">
        <v>-677.87199999999996</v>
      </c>
      <c r="V604" s="26">
        <v>23</v>
      </c>
      <c r="W604" s="29">
        <v>3596.03</v>
      </c>
      <c r="X604" s="26">
        <v>86791</v>
      </c>
      <c r="Y604" s="35">
        <v>34.910000000000004</v>
      </c>
      <c r="Z604" s="1" t="s">
        <v>3014</v>
      </c>
      <c r="AA604" s="36">
        <v>104.11409999999998</v>
      </c>
      <c r="AB604" s="54">
        <v>827.08690000000001</v>
      </c>
      <c r="AC604" s="54">
        <v>120.38883043478261</v>
      </c>
      <c r="AD604" s="36">
        <v>4109.5879000000004</v>
      </c>
    </row>
    <row r="605" spans="1:30" s="37" customFormat="1" ht="15.75" customHeight="1" x14ac:dyDescent="0.2">
      <c r="A605" s="26">
        <v>1991</v>
      </c>
      <c r="B605" s="27" t="s">
        <v>1308</v>
      </c>
      <c r="C605" s="27" t="s">
        <v>116</v>
      </c>
      <c r="D605" s="28">
        <v>0</v>
      </c>
      <c r="E605" s="29">
        <v>47.9</v>
      </c>
      <c r="F605" s="29">
        <v>5.86</v>
      </c>
      <c r="G605" s="30" t="s">
        <v>39</v>
      </c>
      <c r="H605" s="27" t="s">
        <v>71</v>
      </c>
      <c r="I605" s="27" t="s">
        <v>49</v>
      </c>
      <c r="J605" s="27" t="s">
        <v>88</v>
      </c>
      <c r="K605" s="27" t="s">
        <v>73</v>
      </c>
      <c r="L605" s="31" t="s">
        <v>1309</v>
      </c>
      <c r="M605" s="32">
        <v>0.37</v>
      </c>
      <c r="N605" s="27" t="s">
        <v>33</v>
      </c>
      <c r="O605" s="27" t="s">
        <v>60</v>
      </c>
      <c r="P605" s="27" t="s">
        <v>146</v>
      </c>
      <c r="Q605" s="27" t="s">
        <v>1310</v>
      </c>
      <c r="R605" s="33">
        <v>84118</v>
      </c>
      <c r="S605" s="34">
        <v>42057</v>
      </c>
      <c r="T605" s="34">
        <v>42059</v>
      </c>
      <c r="U605" s="29">
        <v>638.38109999999995</v>
      </c>
      <c r="V605" s="26">
        <v>18</v>
      </c>
      <c r="W605" s="29">
        <v>925.19</v>
      </c>
      <c r="X605" s="26">
        <v>90002</v>
      </c>
      <c r="Y605" s="35">
        <v>55.44</v>
      </c>
      <c r="Z605" s="1" t="s">
        <v>3013</v>
      </c>
      <c r="AA605" s="36">
        <v>0</v>
      </c>
      <c r="AB605" s="54">
        <v>582.86970000000008</v>
      </c>
      <c r="AC605" s="54">
        <v>19.017794444444444</v>
      </c>
      <c r="AD605" s="36">
        <v>280.94890000000009</v>
      </c>
    </row>
    <row r="606" spans="1:30" s="37" customFormat="1" ht="15.75" customHeight="1" x14ac:dyDescent="0.2">
      <c r="A606" s="26">
        <v>2968</v>
      </c>
      <c r="B606" s="27" t="s">
        <v>1319</v>
      </c>
      <c r="C606" s="27" t="s">
        <v>3094</v>
      </c>
      <c r="D606" s="28">
        <v>0.04</v>
      </c>
      <c r="E606" s="29">
        <v>150.97999999999999</v>
      </c>
      <c r="F606" s="29">
        <v>16.010000000000002</v>
      </c>
      <c r="G606" s="30" t="s">
        <v>27</v>
      </c>
      <c r="H606" s="27" t="s">
        <v>3095</v>
      </c>
      <c r="I606" s="27" t="s">
        <v>29</v>
      </c>
      <c r="J606" s="27" t="s">
        <v>30</v>
      </c>
      <c r="K606" s="27" t="s">
        <v>31</v>
      </c>
      <c r="L606" s="31" t="s">
        <v>1322</v>
      </c>
      <c r="M606" s="32">
        <v>0.7</v>
      </c>
      <c r="N606" s="27" t="s">
        <v>33</v>
      </c>
      <c r="O606" s="27" t="s">
        <v>34</v>
      </c>
      <c r="P606" s="27" t="s">
        <v>123</v>
      </c>
      <c r="Q606" s="27" t="s">
        <v>1321</v>
      </c>
      <c r="R606" s="33">
        <v>33021</v>
      </c>
      <c r="S606" s="34">
        <v>42057</v>
      </c>
      <c r="T606" s="34">
        <v>42058</v>
      </c>
      <c r="U606" s="29">
        <v>-125.86</v>
      </c>
      <c r="V606" s="26">
        <v>5</v>
      </c>
      <c r="W606" s="29">
        <v>731.38</v>
      </c>
      <c r="X606" s="26">
        <v>86085</v>
      </c>
      <c r="Y606" s="35">
        <v>47.9</v>
      </c>
      <c r="Z606" s="1" t="s">
        <v>3011</v>
      </c>
      <c r="AA606" s="36">
        <v>30.196000000000002</v>
      </c>
      <c r="AB606" s="54">
        <v>219.41400000000004</v>
      </c>
      <c r="AC606" s="54">
        <v>102.39320000000001</v>
      </c>
      <c r="AD606" s="36">
        <v>811.03399999999999</v>
      </c>
    </row>
    <row r="607" spans="1:30" s="37" customFormat="1" ht="15.75" customHeight="1" x14ac:dyDescent="0.2">
      <c r="A607" s="26">
        <v>1728</v>
      </c>
      <c r="B607" s="27" t="s">
        <v>1305</v>
      </c>
      <c r="C607" s="27" t="s">
        <v>38</v>
      </c>
      <c r="D607" s="28">
        <v>0.04</v>
      </c>
      <c r="E607" s="29">
        <v>55.48</v>
      </c>
      <c r="F607" s="29">
        <v>6.79</v>
      </c>
      <c r="G607" s="30" t="s">
        <v>39</v>
      </c>
      <c r="H607" s="27" t="s">
        <v>94</v>
      </c>
      <c r="I607" s="27" t="s">
        <v>49</v>
      </c>
      <c r="J607" s="27" t="s">
        <v>88</v>
      </c>
      <c r="K607" s="27" t="s">
        <v>73</v>
      </c>
      <c r="L607" s="31" t="s">
        <v>1306</v>
      </c>
      <c r="M607" s="32">
        <v>0.37</v>
      </c>
      <c r="N607" s="27" t="s">
        <v>33</v>
      </c>
      <c r="O607" s="27" t="s">
        <v>111</v>
      </c>
      <c r="P607" s="27" t="s">
        <v>317</v>
      </c>
      <c r="Q607" s="27" t="s">
        <v>1307</v>
      </c>
      <c r="R607" s="33">
        <v>45429</v>
      </c>
      <c r="S607" s="34">
        <v>42057</v>
      </c>
      <c r="T607" s="34">
        <v>42059</v>
      </c>
      <c r="U607" s="29">
        <v>376.88490000000002</v>
      </c>
      <c r="V607" s="26">
        <v>10</v>
      </c>
      <c r="W607" s="29">
        <v>546.21</v>
      </c>
      <c r="X607" s="26">
        <v>87195</v>
      </c>
      <c r="Y607" s="35">
        <v>442.14</v>
      </c>
      <c r="Z607" s="1" t="s">
        <v>3014</v>
      </c>
      <c r="AA607" s="36">
        <v>22.192</v>
      </c>
      <c r="AB607" s="54">
        <v>344.1123</v>
      </c>
      <c r="AC607" s="54">
        <v>20.209769999999999</v>
      </c>
      <c r="AD607" s="36">
        <v>140.34309999999999</v>
      </c>
    </row>
    <row r="608" spans="1:30" s="37" customFormat="1" ht="15.75" customHeight="1" x14ac:dyDescent="0.2">
      <c r="A608" s="26">
        <v>32</v>
      </c>
      <c r="B608" s="27" t="s">
        <v>644</v>
      </c>
      <c r="C608" s="27" t="s">
        <v>38</v>
      </c>
      <c r="D608" s="28">
        <v>0.08</v>
      </c>
      <c r="E608" s="29">
        <v>34.99</v>
      </c>
      <c r="F608" s="29">
        <v>7.73</v>
      </c>
      <c r="G608" s="30" t="s">
        <v>39</v>
      </c>
      <c r="H608" s="27" t="s">
        <v>94</v>
      </c>
      <c r="I608" s="27" t="s">
        <v>49</v>
      </c>
      <c r="J608" s="27" t="s">
        <v>50</v>
      </c>
      <c r="K608" s="27" t="s">
        <v>73</v>
      </c>
      <c r="L608" s="31" t="s">
        <v>1304</v>
      </c>
      <c r="M608" s="32">
        <v>0.59</v>
      </c>
      <c r="N608" s="27" t="s">
        <v>33</v>
      </c>
      <c r="O608" s="27" t="s">
        <v>60</v>
      </c>
      <c r="P608" s="27" t="s">
        <v>139</v>
      </c>
      <c r="Q608" s="27" t="s">
        <v>646</v>
      </c>
      <c r="R608" s="33">
        <v>97526</v>
      </c>
      <c r="S608" s="34">
        <v>42057</v>
      </c>
      <c r="T608" s="34">
        <v>42058</v>
      </c>
      <c r="U608" s="29">
        <v>144.69</v>
      </c>
      <c r="V608" s="26">
        <v>13</v>
      </c>
      <c r="W608" s="29">
        <v>424.68</v>
      </c>
      <c r="X608" s="26">
        <v>89199</v>
      </c>
      <c r="Y608" s="35">
        <v>5.17</v>
      </c>
      <c r="Z608" s="1" t="s">
        <v>3013</v>
      </c>
      <c r="AA608" s="36">
        <v>36.389600000000002</v>
      </c>
      <c r="AB608" s="54">
        <v>174.11880000000002</v>
      </c>
      <c r="AC608" s="54">
        <v>19.27393846153846</v>
      </c>
      <c r="AD608" s="36">
        <v>235.87040000000002</v>
      </c>
    </row>
    <row r="609" spans="1:30" s="37" customFormat="1" ht="15.75" customHeight="1" x14ac:dyDescent="0.2">
      <c r="A609" s="26">
        <v>2653</v>
      </c>
      <c r="B609" s="27" t="s">
        <v>1316</v>
      </c>
      <c r="C609" s="27" t="s">
        <v>3094</v>
      </c>
      <c r="D609" s="28">
        <v>0.02</v>
      </c>
      <c r="E609" s="29">
        <v>34.229999999999997</v>
      </c>
      <c r="F609" s="29">
        <v>5.0199999999999996</v>
      </c>
      <c r="G609" s="30" t="s">
        <v>39</v>
      </c>
      <c r="H609" s="27" t="s">
        <v>40</v>
      </c>
      <c r="I609" s="27" t="s">
        <v>29</v>
      </c>
      <c r="J609" s="27" t="s">
        <v>126</v>
      </c>
      <c r="K609" s="27" t="s">
        <v>73</v>
      </c>
      <c r="L609" s="31" t="s">
        <v>1318</v>
      </c>
      <c r="M609" s="32">
        <v>0.55000000000000004</v>
      </c>
      <c r="N609" s="27" t="s">
        <v>33</v>
      </c>
      <c r="O609" s="27" t="s">
        <v>53</v>
      </c>
      <c r="P609" s="27" t="s">
        <v>537</v>
      </c>
      <c r="Q609" s="27" t="s">
        <v>1317</v>
      </c>
      <c r="R609" s="33">
        <v>67037</v>
      </c>
      <c r="S609" s="34">
        <v>42057</v>
      </c>
      <c r="T609" s="34">
        <v>42059</v>
      </c>
      <c r="U609" s="29">
        <v>270.79050000000001</v>
      </c>
      <c r="V609" s="26">
        <v>11</v>
      </c>
      <c r="W609" s="29">
        <v>392.45</v>
      </c>
      <c r="X609" s="26">
        <v>89360</v>
      </c>
      <c r="Y609" s="35">
        <v>4.9300000000000006</v>
      </c>
      <c r="Z609" s="1" t="s">
        <v>3012</v>
      </c>
      <c r="AA609" s="36">
        <v>7.5305999999999997</v>
      </c>
      <c r="AB609" s="54">
        <v>176.60249999999996</v>
      </c>
      <c r="AC609" s="54">
        <v>19.622500000000002</v>
      </c>
      <c r="AD609" s="36">
        <v>109.10890000000001</v>
      </c>
    </row>
    <row r="610" spans="1:30" s="37" customFormat="1" ht="15.75" customHeight="1" x14ac:dyDescent="0.2">
      <c r="A610" s="26">
        <v>2653</v>
      </c>
      <c r="B610" s="27" t="s">
        <v>1316</v>
      </c>
      <c r="C610" s="27" t="s">
        <v>3094</v>
      </c>
      <c r="D610" s="28">
        <v>0.05</v>
      </c>
      <c r="E610" s="29">
        <v>4.9800000000000004</v>
      </c>
      <c r="F610" s="29">
        <v>4.62</v>
      </c>
      <c r="G610" s="30" t="s">
        <v>39</v>
      </c>
      <c r="H610" s="27" t="s">
        <v>40</v>
      </c>
      <c r="I610" s="27" t="s">
        <v>41</v>
      </c>
      <c r="J610" s="27" t="s">
        <v>42</v>
      </c>
      <c r="K610" s="27" t="s">
        <v>43</v>
      </c>
      <c r="L610" s="31" t="s">
        <v>1221</v>
      </c>
      <c r="M610" s="32">
        <v>0.64</v>
      </c>
      <c r="N610" s="27" t="s">
        <v>33</v>
      </c>
      <c r="O610" s="27" t="s">
        <v>53</v>
      </c>
      <c r="P610" s="27" t="s">
        <v>537</v>
      </c>
      <c r="Q610" s="27" t="s">
        <v>1317</v>
      </c>
      <c r="R610" s="33">
        <v>67037</v>
      </c>
      <c r="S610" s="34">
        <v>42057</v>
      </c>
      <c r="T610" s="34">
        <v>42058</v>
      </c>
      <c r="U610" s="29">
        <v>-98.35</v>
      </c>
      <c r="V610" s="26">
        <v>7</v>
      </c>
      <c r="W610" s="29">
        <v>34.32</v>
      </c>
      <c r="X610" s="26">
        <v>89360</v>
      </c>
      <c r="Y610" s="35">
        <v>34.209999999999994</v>
      </c>
      <c r="Z610" s="1" t="s">
        <v>3012</v>
      </c>
      <c r="AA610" s="36">
        <v>1.7430000000000001</v>
      </c>
      <c r="AB610" s="54">
        <v>12.3552</v>
      </c>
      <c r="AC610" s="54">
        <v>3.1378285714285714</v>
      </c>
      <c r="AD610" s="36">
        <v>126.30699999999999</v>
      </c>
    </row>
    <row r="611" spans="1:30" s="37" customFormat="1" ht="15.75" customHeight="1" x14ac:dyDescent="0.2">
      <c r="A611" s="26">
        <v>829</v>
      </c>
      <c r="B611" s="27" t="s">
        <v>1314</v>
      </c>
      <c r="C611" s="27" t="s">
        <v>3094</v>
      </c>
      <c r="D611" s="28">
        <v>0.01</v>
      </c>
      <c r="E611" s="29">
        <v>5.18</v>
      </c>
      <c r="F611" s="29">
        <v>2.04</v>
      </c>
      <c r="G611" s="30" t="s">
        <v>39</v>
      </c>
      <c r="H611" s="27" t="s">
        <v>94</v>
      </c>
      <c r="I611" s="27" t="s">
        <v>49</v>
      </c>
      <c r="J611" s="27" t="s">
        <v>88</v>
      </c>
      <c r="K611" s="27" t="s">
        <v>51</v>
      </c>
      <c r="L611" s="31" t="s">
        <v>833</v>
      </c>
      <c r="M611" s="32">
        <v>0.36</v>
      </c>
      <c r="N611" s="27" t="s">
        <v>33</v>
      </c>
      <c r="O611" s="27" t="s">
        <v>34</v>
      </c>
      <c r="P611" s="27" t="s">
        <v>45</v>
      </c>
      <c r="Q611" s="27" t="s">
        <v>1315</v>
      </c>
      <c r="R611" s="33">
        <v>71854</v>
      </c>
      <c r="S611" s="34">
        <v>42057</v>
      </c>
      <c r="T611" s="34">
        <v>42059</v>
      </c>
      <c r="U611" s="29">
        <v>-17.654</v>
      </c>
      <c r="V611" s="26">
        <v>5</v>
      </c>
      <c r="W611" s="29">
        <v>28.46</v>
      </c>
      <c r="X611" s="26">
        <v>90271</v>
      </c>
      <c r="Y611" s="35">
        <v>9.6</v>
      </c>
      <c r="Z611" s="1" t="s">
        <v>3011</v>
      </c>
      <c r="AA611" s="36">
        <v>0.25900000000000001</v>
      </c>
      <c r="AB611" s="54">
        <v>18.214400000000001</v>
      </c>
      <c r="AC611" s="54">
        <v>2.0491199999999998</v>
      </c>
      <c r="AD611" s="36">
        <v>43.814999999999998</v>
      </c>
    </row>
    <row r="612" spans="1:30" s="37" customFormat="1" ht="15.75" customHeight="1" x14ac:dyDescent="0.2">
      <c r="A612" s="26">
        <v>2968</v>
      </c>
      <c r="B612" s="27" t="s">
        <v>1319</v>
      </c>
      <c r="C612" s="27" t="s">
        <v>3094</v>
      </c>
      <c r="D612" s="28">
        <v>0.08</v>
      </c>
      <c r="E612" s="29">
        <v>9.68</v>
      </c>
      <c r="F612" s="29">
        <v>2.0299999999999998</v>
      </c>
      <c r="G612" s="30" t="s">
        <v>39</v>
      </c>
      <c r="H612" s="27" t="s">
        <v>3095</v>
      </c>
      <c r="I612" s="27" t="s">
        <v>49</v>
      </c>
      <c r="J612" s="27" t="s">
        <v>88</v>
      </c>
      <c r="K612" s="27" t="s">
        <v>51</v>
      </c>
      <c r="L612" s="31" t="s">
        <v>1320</v>
      </c>
      <c r="M612" s="32">
        <v>0.37</v>
      </c>
      <c r="N612" s="27" t="s">
        <v>33</v>
      </c>
      <c r="O612" s="27" t="s">
        <v>34</v>
      </c>
      <c r="P612" s="27" t="s">
        <v>123</v>
      </c>
      <c r="Q612" s="27" t="s">
        <v>1321</v>
      </c>
      <c r="R612" s="33">
        <v>33021</v>
      </c>
      <c r="S612" s="34">
        <v>42057</v>
      </c>
      <c r="T612" s="34">
        <v>42059</v>
      </c>
      <c r="U612" s="29">
        <v>-536.24199999999996</v>
      </c>
      <c r="V612" s="26">
        <v>1</v>
      </c>
      <c r="W612" s="29">
        <v>10.94</v>
      </c>
      <c r="X612" s="26">
        <v>86085</v>
      </c>
      <c r="Y612" s="35">
        <v>150.94</v>
      </c>
      <c r="Z612" s="1" t="s">
        <v>3011</v>
      </c>
      <c r="AA612" s="36">
        <v>0.77439999999999998</v>
      </c>
      <c r="AB612" s="54">
        <v>6.8921999999999999</v>
      </c>
      <c r="AC612" s="54">
        <v>4.0477999999999996</v>
      </c>
      <c r="AD612" s="36">
        <v>544.37760000000003</v>
      </c>
    </row>
    <row r="613" spans="1:30" s="37" customFormat="1" ht="15.75" customHeight="1" x14ac:dyDescent="0.2">
      <c r="A613" s="26">
        <v>2697</v>
      </c>
      <c r="B613" s="27" t="s">
        <v>1323</v>
      </c>
      <c r="C613" s="27" t="s">
        <v>26</v>
      </c>
      <c r="D613" s="28">
        <v>0.01</v>
      </c>
      <c r="E613" s="29">
        <v>119.99</v>
      </c>
      <c r="F613" s="29">
        <v>56.14</v>
      </c>
      <c r="G613" s="30" t="s">
        <v>27</v>
      </c>
      <c r="H613" s="27" t="s">
        <v>94</v>
      </c>
      <c r="I613" s="27" t="s">
        <v>41</v>
      </c>
      <c r="J613" s="27" t="s">
        <v>57</v>
      </c>
      <c r="K613" s="27" t="s">
        <v>31</v>
      </c>
      <c r="L613" s="31" t="s">
        <v>587</v>
      </c>
      <c r="M613" s="32">
        <v>0.39</v>
      </c>
      <c r="N613" s="27" t="s">
        <v>33</v>
      </c>
      <c r="O613" s="27" t="s">
        <v>34</v>
      </c>
      <c r="P613" s="27" t="s">
        <v>164</v>
      </c>
      <c r="Q613" s="27" t="s">
        <v>1324</v>
      </c>
      <c r="R613" s="33">
        <v>35216</v>
      </c>
      <c r="S613" s="34">
        <v>42058</v>
      </c>
      <c r="T613" s="34">
        <v>42059</v>
      </c>
      <c r="U613" s="29">
        <v>-1197.0419999999999</v>
      </c>
      <c r="V613" s="26">
        <v>21</v>
      </c>
      <c r="W613" s="29">
        <v>2569.5700000000002</v>
      </c>
      <c r="X613" s="26">
        <v>87678</v>
      </c>
      <c r="Y613" s="35">
        <v>1.7</v>
      </c>
      <c r="Z613" s="1" t="s">
        <v>3011</v>
      </c>
      <c r="AA613" s="36">
        <v>25.197900000000001</v>
      </c>
      <c r="AB613" s="54">
        <v>1567.4377000000002</v>
      </c>
      <c r="AC613" s="54">
        <v>47.720585714285718</v>
      </c>
      <c r="AD613" s="36">
        <v>3685.2741000000001</v>
      </c>
    </row>
    <row r="614" spans="1:30" s="37" customFormat="1" ht="15.75" customHeight="1" x14ac:dyDescent="0.2">
      <c r="A614" s="26">
        <v>2892</v>
      </c>
      <c r="B614" s="27" t="s">
        <v>1331</v>
      </c>
      <c r="C614" s="27" t="s">
        <v>38</v>
      </c>
      <c r="D614" s="28">
        <v>0.1</v>
      </c>
      <c r="E614" s="29">
        <v>209.37</v>
      </c>
      <c r="F614" s="29">
        <v>69</v>
      </c>
      <c r="G614" s="30" t="s">
        <v>39</v>
      </c>
      <c r="H614" s="27" t="s">
        <v>40</v>
      </c>
      <c r="I614" s="27" t="s">
        <v>29</v>
      </c>
      <c r="J614" s="27" t="s">
        <v>30</v>
      </c>
      <c r="K614" s="27" t="s">
        <v>65</v>
      </c>
      <c r="L614" s="31" t="s">
        <v>1224</v>
      </c>
      <c r="M614" s="32">
        <v>0.79</v>
      </c>
      <c r="N614" s="27" t="s">
        <v>33</v>
      </c>
      <c r="O614" s="27" t="s">
        <v>53</v>
      </c>
      <c r="P614" s="27" t="s">
        <v>289</v>
      </c>
      <c r="Q614" s="27" t="s">
        <v>1332</v>
      </c>
      <c r="R614" s="33">
        <v>48154</v>
      </c>
      <c r="S614" s="34">
        <v>42058</v>
      </c>
      <c r="T614" s="34">
        <v>42060</v>
      </c>
      <c r="U614" s="29">
        <v>-165.59492040000001</v>
      </c>
      <c r="V614" s="26">
        <v>11</v>
      </c>
      <c r="W614" s="29">
        <v>2125.12</v>
      </c>
      <c r="X614" s="26">
        <v>90011</v>
      </c>
      <c r="Y614" s="35">
        <v>119.97999999999999</v>
      </c>
      <c r="Z614" s="1" t="s">
        <v>3012</v>
      </c>
      <c r="AA614" s="36">
        <v>230.30700000000002</v>
      </c>
      <c r="AB614" s="54">
        <v>446.27519999999993</v>
      </c>
      <c r="AC614" s="54">
        <v>152.62225454545455</v>
      </c>
      <c r="AD614" s="36">
        <v>1991.4079204</v>
      </c>
    </row>
    <row r="615" spans="1:30" s="37" customFormat="1" ht="15.75" customHeight="1" x14ac:dyDescent="0.2">
      <c r="A615" s="26">
        <v>247</v>
      </c>
      <c r="B615" s="27" t="s">
        <v>1335</v>
      </c>
      <c r="C615" s="27" t="s">
        <v>116</v>
      </c>
      <c r="D615" s="28">
        <v>0.02</v>
      </c>
      <c r="E615" s="29">
        <v>146.05000000000001</v>
      </c>
      <c r="F615" s="29">
        <v>80.2</v>
      </c>
      <c r="G615" s="30" t="s">
        <v>27</v>
      </c>
      <c r="H615" s="27" t="s">
        <v>94</v>
      </c>
      <c r="I615" s="27" t="s">
        <v>29</v>
      </c>
      <c r="J615" s="27" t="s">
        <v>30</v>
      </c>
      <c r="K615" s="27" t="s">
        <v>31</v>
      </c>
      <c r="L615" s="31" t="s">
        <v>971</v>
      </c>
      <c r="M615" s="32">
        <v>0.71</v>
      </c>
      <c r="N615" s="27" t="s">
        <v>33</v>
      </c>
      <c r="O615" s="27" t="s">
        <v>34</v>
      </c>
      <c r="P615" s="27" t="s">
        <v>400</v>
      </c>
      <c r="Q615" s="27" t="s">
        <v>1336</v>
      </c>
      <c r="R615" s="33">
        <v>37804</v>
      </c>
      <c r="S615" s="34">
        <v>42058</v>
      </c>
      <c r="T615" s="34">
        <v>42058</v>
      </c>
      <c r="U615" s="29">
        <v>-101.19199999999999</v>
      </c>
      <c r="V615" s="26">
        <v>5</v>
      </c>
      <c r="W615" s="29">
        <v>798.69</v>
      </c>
      <c r="X615" s="26">
        <v>89139</v>
      </c>
      <c r="Y615" s="35">
        <v>13.78</v>
      </c>
      <c r="Z615" s="1" t="s">
        <v>3011</v>
      </c>
      <c r="AA615" s="36">
        <v>14.605</v>
      </c>
      <c r="AB615" s="54">
        <v>231.62010000000004</v>
      </c>
      <c r="AC615" s="54">
        <v>113.41398</v>
      </c>
      <c r="AD615" s="36">
        <v>805.077</v>
      </c>
    </row>
    <row r="616" spans="1:30" s="37" customFormat="1" ht="15.75" customHeight="1" x14ac:dyDescent="0.2">
      <c r="A616" s="26">
        <v>247</v>
      </c>
      <c r="B616" s="27" t="s">
        <v>1335</v>
      </c>
      <c r="C616" s="27" t="s">
        <v>116</v>
      </c>
      <c r="D616" s="28">
        <v>0.06</v>
      </c>
      <c r="E616" s="29">
        <v>65.989999999999995</v>
      </c>
      <c r="F616" s="29">
        <v>5.92</v>
      </c>
      <c r="G616" s="30" t="s">
        <v>39</v>
      </c>
      <c r="H616" s="27" t="s">
        <v>94</v>
      </c>
      <c r="I616" s="27" t="s">
        <v>41</v>
      </c>
      <c r="J616" s="27" t="s">
        <v>135</v>
      </c>
      <c r="K616" s="27" t="s">
        <v>73</v>
      </c>
      <c r="L616" s="31" t="s">
        <v>264</v>
      </c>
      <c r="M616" s="32">
        <v>0.55000000000000004</v>
      </c>
      <c r="N616" s="27" t="s">
        <v>33</v>
      </c>
      <c r="O616" s="27" t="s">
        <v>34</v>
      </c>
      <c r="P616" s="27" t="s">
        <v>400</v>
      </c>
      <c r="Q616" s="27" t="s">
        <v>1336</v>
      </c>
      <c r="R616" s="33">
        <v>37804</v>
      </c>
      <c r="S616" s="34">
        <v>42058</v>
      </c>
      <c r="T616" s="34">
        <v>42059</v>
      </c>
      <c r="U616" s="29">
        <v>-3.3319999999999999</v>
      </c>
      <c r="V616" s="26">
        <v>14</v>
      </c>
      <c r="W616" s="29">
        <v>792.11</v>
      </c>
      <c r="X616" s="26">
        <v>89139</v>
      </c>
      <c r="Y616" s="35">
        <v>33.25</v>
      </c>
      <c r="Z616" s="1" t="s">
        <v>3011</v>
      </c>
      <c r="AA616" s="36">
        <v>55.431599999999996</v>
      </c>
      <c r="AB616" s="54">
        <v>356.44949999999994</v>
      </c>
      <c r="AC616" s="54">
        <v>31.118607142857147</v>
      </c>
      <c r="AD616" s="36">
        <v>734.09040000000005</v>
      </c>
    </row>
    <row r="617" spans="1:30" s="37" customFormat="1" ht="15.75" customHeight="1" x14ac:dyDescent="0.2">
      <c r="A617" s="26">
        <v>2865</v>
      </c>
      <c r="B617" s="27" t="s">
        <v>1325</v>
      </c>
      <c r="C617" s="27" t="s">
        <v>26</v>
      </c>
      <c r="D617" s="28">
        <v>0.04</v>
      </c>
      <c r="E617" s="29">
        <v>33.29</v>
      </c>
      <c r="F617" s="29">
        <v>8.74</v>
      </c>
      <c r="G617" s="30" t="s">
        <v>39</v>
      </c>
      <c r="H617" s="27" t="s">
        <v>94</v>
      </c>
      <c r="I617" s="27" t="s">
        <v>49</v>
      </c>
      <c r="J617" s="27" t="s">
        <v>78</v>
      </c>
      <c r="K617" s="27" t="s">
        <v>73</v>
      </c>
      <c r="L617" s="31" t="s">
        <v>1328</v>
      </c>
      <c r="M617" s="32">
        <v>0.61</v>
      </c>
      <c r="N617" s="27" t="s">
        <v>33</v>
      </c>
      <c r="O617" s="27" t="s">
        <v>53</v>
      </c>
      <c r="P617" s="27" t="s">
        <v>187</v>
      </c>
      <c r="Q617" s="27" t="s">
        <v>1327</v>
      </c>
      <c r="R617" s="33">
        <v>75460</v>
      </c>
      <c r="S617" s="34">
        <v>42058</v>
      </c>
      <c r="T617" s="34">
        <v>42059</v>
      </c>
      <c r="U617" s="29">
        <v>87.03</v>
      </c>
      <c r="V617" s="26">
        <v>8</v>
      </c>
      <c r="W617" s="29">
        <v>273.33999999999997</v>
      </c>
      <c r="X617" s="26">
        <v>90871</v>
      </c>
      <c r="Y617" s="35">
        <v>20.97</v>
      </c>
      <c r="Z617" s="1" t="s">
        <v>3012</v>
      </c>
      <c r="AA617" s="36">
        <v>10.652799999999999</v>
      </c>
      <c r="AB617" s="54">
        <v>106.6026</v>
      </c>
      <c r="AC617" s="54">
        <v>20.842174999999997</v>
      </c>
      <c r="AD617" s="36">
        <v>166.91719999999998</v>
      </c>
    </row>
    <row r="618" spans="1:30" s="37" customFormat="1" ht="15.75" customHeight="1" x14ac:dyDescent="0.2">
      <c r="A618" s="26">
        <v>508</v>
      </c>
      <c r="B618" s="27" t="s">
        <v>1329</v>
      </c>
      <c r="C618" s="27" t="s">
        <v>38</v>
      </c>
      <c r="D618" s="28">
        <v>0.01</v>
      </c>
      <c r="E618" s="29">
        <v>20.98</v>
      </c>
      <c r="F618" s="29">
        <v>53.03</v>
      </c>
      <c r="G618" s="30" t="s">
        <v>27</v>
      </c>
      <c r="H618" s="27" t="s">
        <v>94</v>
      </c>
      <c r="I618" s="27" t="s">
        <v>49</v>
      </c>
      <c r="J618" s="27" t="s">
        <v>78</v>
      </c>
      <c r="K618" s="27" t="s">
        <v>58</v>
      </c>
      <c r="L618" s="31" t="s">
        <v>1090</v>
      </c>
      <c r="M618" s="32">
        <v>0.78</v>
      </c>
      <c r="N618" s="27" t="s">
        <v>33</v>
      </c>
      <c r="O618" s="27" t="s">
        <v>34</v>
      </c>
      <c r="P618" s="27" t="s">
        <v>388</v>
      </c>
      <c r="Q618" s="27" t="s">
        <v>1330</v>
      </c>
      <c r="R618" s="33">
        <v>41011</v>
      </c>
      <c r="S618" s="34">
        <v>42058</v>
      </c>
      <c r="T618" s="34">
        <v>42058</v>
      </c>
      <c r="U618" s="29">
        <v>-282.08179999999999</v>
      </c>
      <c r="V618" s="26">
        <v>5</v>
      </c>
      <c r="W618" s="29">
        <v>123</v>
      </c>
      <c r="X618" s="26">
        <v>87356</v>
      </c>
      <c r="Y618" s="35">
        <v>209.27</v>
      </c>
      <c r="Z618" s="1" t="s">
        <v>3011</v>
      </c>
      <c r="AA618" s="36">
        <v>1.0490000000000002</v>
      </c>
      <c r="AB618" s="54">
        <v>27.059999999999995</v>
      </c>
      <c r="AC618" s="54">
        <v>19.188000000000002</v>
      </c>
      <c r="AD618" s="36">
        <v>351.00279999999998</v>
      </c>
    </row>
    <row r="619" spans="1:30" s="37" customFormat="1" ht="15.75" customHeight="1" x14ac:dyDescent="0.2">
      <c r="A619" s="26">
        <v>2865</v>
      </c>
      <c r="B619" s="27" t="s">
        <v>1325</v>
      </c>
      <c r="C619" s="27" t="s">
        <v>26</v>
      </c>
      <c r="D619" s="28">
        <v>0.01</v>
      </c>
      <c r="E619" s="29">
        <v>13.79</v>
      </c>
      <c r="F619" s="29">
        <v>8.7799999999999994</v>
      </c>
      <c r="G619" s="30" t="s">
        <v>39</v>
      </c>
      <c r="H619" s="27" t="s">
        <v>94</v>
      </c>
      <c r="I619" s="27" t="s">
        <v>29</v>
      </c>
      <c r="J619" s="27" t="s">
        <v>126</v>
      </c>
      <c r="K619" s="27" t="s">
        <v>73</v>
      </c>
      <c r="L619" s="31" t="s">
        <v>1326</v>
      </c>
      <c r="M619" s="32">
        <v>0.43</v>
      </c>
      <c r="N619" s="27" t="s">
        <v>33</v>
      </c>
      <c r="O619" s="27" t="s">
        <v>53</v>
      </c>
      <c r="P619" s="27" t="s">
        <v>187</v>
      </c>
      <c r="Q619" s="27" t="s">
        <v>1327</v>
      </c>
      <c r="R619" s="33">
        <v>75460</v>
      </c>
      <c r="S619" s="34">
        <v>42058</v>
      </c>
      <c r="T619" s="34">
        <v>42060</v>
      </c>
      <c r="U619" s="29">
        <v>-36.770000000000003</v>
      </c>
      <c r="V619" s="26">
        <v>4</v>
      </c>
      <c r="W619" s="29">
        <v>56.68</v>
      </c>
      <c r="X619" s="26">
        <v>90871</v>
      </c>
      <c r="Y619" s="35">
        <v>4.91</v>
      </c>
      <c r="Z619" s="1" t="s">
        <v>3012</v>
      </c>
      <c r="AA619" s="36">
        <v>0.55159999999999998</v>
      </c>
      <c r="AB619" s="54">
        <v>32.307600000000001</v>
      </c>
      <c r="AC619" s="54">
        <v>6.0930999999999997</v>
      </c>
      <c r="AD619" s="36">
        <v>84.118400000000008</v>
      </c>
    </row>
    <row r="620" spans="1:30" s="37" customFormat="1" ht="15.75" customHeight="1" x14ac:dyDescent="0.2">
      <c r="A620" s="26">
        <v>2893</v>
      </c>
      <c r="B620" s="27" t="s">
        <v>1333</v>
      </c>
      <c r="C620" s="27" t="s">
        <v>38</v>
      </c>
      <c r="D620" s="28">
        <v>7.0000000000000007E-2</v>
      </c>
      <c r="E620" s="29">
        <v>4.9800000000000004</v>
      </c>
      <c r="F620" s="29">
        <v>4.7</v>
      </c>
      <c r="G620" s="30" t="s">
        <v>39</v>
      </c>
      <c r="H620" s="27" t="s">
        <v>40</v>
      </c>
      <c r="I620" s="27" t="s">
        <v>49</v>
      </c>
      <c r="J620" s="27" t="s">
        <v>88</v>
      </c>
      <c r="K620" s="27" t="s">
        <v>73</v>
      </c>
      <c r="L620" s="31" t="s">
        <v>1334</v>
      </c>
      <c r="M620" s="32">
        <v>0.38</v>
      </c>
      <c r="N620" s="27" t="s">
        <v>33</v>
      </c>
      <c r="O620" s="27" t="s">
        <v>53</v>
      </c>
      <c r="P620" s="27" t="s">
        <v>289</v>
      </c>
      <c r="Q620" s="27" t="s">
        <v>510</v>
      </c>
      <c r="R620" s="33">
        <v>48071</v>
      </c>
      <c r="S620" s="34">
        <v>42058</v>
      </c>
      <c r="T620" s="34">
        <v>42059</v>
      </c>
      <c r="U620" s="29">
        <v>-21.684000000000001</v>
      </c>
      <c r="V620" s="26">
        <v>9</v>
      </c>
      <c r="W620" s="29">
        <v>45.05</v>
      </c>
      <c r="X620" s="26">
        <v>90011</v>
      </c>
      <c r="Y620" s="35">
        <v>146.03</v>
      </c>
      <c r="Z620" s="1" t="s">
        <v>3012</v>
      </c>
      <c r="AA620" s="36">
        <v>3.1374000000000009</v>
      </c>
      <c r="AB620" s="54">
        <v>27.930999999999997</v>
      </c>
      <c r="AC620" s="54">
        <v>1.9021111111111111</v>
      </c>
      <c r="AD620" s="36">
        <v>58.896599999999999</v>
      </c>
    </row>
    <row r="621" spans="1:30" s="37" customFormat="1" ht="15.75" customHeight="1" x14ac:dyDescent="0.2">
      <c r="A621" s="26">
        <v>2697</v>
      </c>
      <c r="B621" s="27" t="s">
        <v>1323</v>
      </c>
      <c r="C621" s="27" t="s">
        <v>26</v>
      </c>
      <c r="D621" s="28">
        <v>0.04</v>
      </c>
      <c r="E621" s="29">
        <v>1.74</v>
      </c>
      <c r="F621" s="29">
        <v>4.08</v>
      </c>
      <c r="G621" s="30" t="s">
        <v>39</v>
      </c>
      <c r="H621" s="27" t="s">
        <v>94</v>
      </c>
      <c r="I621" s="27" t="s">
        <v>29</v>
      </c>
      <c r="J621" s="27" t="s">
        <v>126</v>
      </c>
      <c r="K621" s="27" t="s">
        <v>43</v>
      </c>
      <c r="L621" s="31" t="s">
        <v>770</v>
      </c>
      <c r="M621" s="32">
        <v>0.53</v>
      </c>
      <c r="N621" s="27" t="s">
        <v>33</v>
      </c>
      <c r="O621" s="27" t="s">
        <v>34</v>
      </c>
      <c r="P621" s="27" t="s">
        <v>164</v>
      </c>
      <c r="Q621" s="27" t="s">
        <v>1324</v>
      </c>
      <c r="R621" s="33">
        <v>35216</v>
      </c>
      <c r="S621" s="34">
        <v>42058</v>
      </c>
      <c r="T621" s="34">
        <v>42060</v>
      </c>
      <c r="U621" s="29">
        <v>9.2520000000000007</v>
      </c>
      <c r="V621" s="26">
        <v>16</v>
      </c>
      <c r="W621" s="29">
        <v>29.08</v>
      </c>
      <c r="X621" s="26">
        <v>87678</v>
      </c>
      <c r="Y621" s="35">
        <v>65.929999999999993</v>
      </c>
      <c r="Z621" s="1" t="s">
        <v>3011</v>
      </c>
      <c r="AA621" s="36">
        <v>1.1135999999999999</v>
      </c>
      <c r="AB621" s="54">
        <v>13.667599999999998</v>
      </c>
      <c r="AC621" s="54">
        <v>0.96327499999999999</v>
      </c>
      <c r="AD621" s="36">
        <v>14.634399999999998</v>
      </c>
    </row>
    <row r="622" spans="1:30" s="37" customFormat="1" ht="15.75" customHeight="1" x14ac:dyDescent="0.2">
      <c r="A622" s="26">
        <v>1894</v>
      </c>
      <c r="B622" s="27" t="s">
        <v>1339</v>
      </c>
      <c r="C622" s="27" t="s">
        <v>26</v>
      </c>
      <c r="D622" s="28">
        <v>0</v>
      </c>
      <c r="E622" s="29">
        <v>300.98</v>
      </c>
      <c r="F622" s="29">
        <v>164.73</v>
      </c>
      <c r="G622" s="30" t="s">
        <v>27</v>
      </c>
      <c r="H622" s="27" t="s">
        <v>71</v>
      </c>
      <c r="I622" s="27" t="s">
        <v>29</v>
      </c>
      <c r="J622" s="27" t="s">
        <v>109</v>
      </c>
      <c r="K622" s="27" t="s">
        <v>58</v>
      </c>
      <c r="L622" s="31" t="s">
        <v>1340</v>
      </c>
      <c r="M622" s="32">
        <v>0.56000000000000005</v>
      </c>
      <c r="N622" s="27" t="s">
        <v>33</v>
      </c>
      <c r="O622" s="27" t="s">
        <v>53</v>
      </c>
      <c r="P622" s="27" t="s">
        <v>357</v>
      </c>
      <c r="Q622" s="27" t="s">
        <v>1341</v>
      </c>
      <c r="R622" s="33">
        <v>54915</v>
      </c>
      <c r="S622" s="34">
        <v>42059</v>
      </c>
      <c r="T622" s="34">
        <v>42060</v>
      </c>
      <c r="U622" s="29">
        <v>2653.2914999999998</v>
      </c>
      <c r="V622" s="26">
        <v>12</v>
      </c>
      <c r="W622" s="29">
        <v>3845.35</v>
      </c>
      <c r="X622" s="26">
        <v>91261</v>
      </c>
      <c r="Y622" s="35">
        <v>48.55</v>
      </c>
      <c r="Z622" s="1" t="s">
        <v>3012</v>
      </c>
      <c r="AA622" s="36">
        <v>0</v>
      </c>
      <c r="AB622" s="54">
        <v>1691.9539999999997</v>
      </c>
      <c r="AC622" s="54">
        <v>179.44966666666667</v>
      </c>
      <c r="AD622" s="36">
        <v>1027.3285000000001</v>
      </c>
    </row>
    <row r="623" spans="1:30" s="37" customFormat="1" ht="15.75" customHeight="1" x14ac:dyDescent="0.2">
      <c r="A623" s="26">
        <v>1919</v>
      </c>
      <c r="B623" s="27" t="s">
        <v>1342</v>
      </c>
      <c r="C623" s="27" t="s">
        <v>38</v>
      </c>
      <c r="D623" s="28">
        <v>0</v>
      </c>
      <c r="E623" s="29">
        <v>195.99</v>
      </c>
      <c r="F623" s="29">
        <v>8.99</v>
      </c>
      <c r="G623" s="30" t="s">
        <v>39</v>
      </c>
      <c r="H623" s="27" t="s">
        <v>71</v>
      </c>
      <c r="I623" s="27" t="s">
        <v>41</v>
      </c>
      <c r="J623" s="27" t="s">
        <v>135</v>
      </c>
      <c r="K623" s="27" t="s">
        <v>73</v>
      </c>
      <c r="L623" s="31" t="s">
        <v>1343</v>
      </c>
      <c r="M623" s="32">
        <v>0.6</v>
      </c>
      <c r="N623" s="27" t="s">
        <v>33</v>
      </c>
      <c r="O623" s="27" t="s">
        <v>34</v>
      </c>
      <c r="P623" s="27" t="s">
        <v>45</v>
      </c>
      <c r="Q623" s="27" t="s">
        <v>1344</v>
      </c>
      <c r="R623" s="33">
        <v>71603</v>
      </c>
      <c r="S623" s="34">
        <v>42059</v>
      </c>
      <c r="T623" s="34">
        <v>42060</v>
      </c>
      <c r="U623" s="29">
        <v>114.88200000000001</v>
      </c>
      <c r="V623" s="26">
        <v>5</v>
      </c>
      <c r="W623" s="29">
        <v>882.93</v>
      </c>
      <c r="X623" s="26">
        <v>85896</v>
      </c>
      <c r="Y623" s="35">
        <v>300.98</v>
      </c>
      <c r="Z623" s="1" t="s">
        <v>3011</v>
      </c>
      <c r="AA623" s="36">
        <v>0</v>
      </c>
      <c r="AB623" s="54">
        <v>353.17200000000003</v>
      </c>
      <c r="AC623" s="54">
        <v>105.95159999999998</v>
      </c>
      <c r="AD623" s="36">
        <v>759.05799999999999</v>
      </c>
    </row>
    <row r="624" spans="1:30" s="37" customFormat="1" ht="15.75" customHeight="1" x14ac:dyDescent="0.2">
      <c r="A624" s="26">
        <v>1649</v>
      </c>
      <c r="B624" s="27" t="s">
        <v>1337</v>
      </c>
      <c r="C624" s="27" t="s">
        <v>26</v>
      </c>
      <c r="D624" s="28">
        <v>0.03</v>
      </c>
      <c r="E624" s="29">
        <v>48.58</v>
      </c>
      <c r="F624" s="29">
        <v>3.99</v>
      </c>
      <c r="G624" s="30" t="s">
        <v>87</v>
      </c>
      <c r="H624" s="27" t="s">
        <v>94</v>
      </c>
      <c r="I624" s="27" t="s">
        <v>49</v>
      </c>
      <c r="J624" s="27" t="s">
        <v>95</v>
      </c>
      <c r="K624" s="27" t="s">
        <v>73</v>
      </c>
      <c r="L624" s="31" t="s">
        <v>1338</v>
      </c>
      <c r="M624" s="32">
        <v>0.56000000000000005</v>
      </c>
      <c r="N624" s="27" t="s">
        <v>33</v>
      </c>
      <c r="O624" s="27" t="s">
        <v>111</v>
      </c>
      <c r="P624" s="27" t="s">
        <v>112</v>
      </c>
      <c r="Q624" s="27" t="s">
        <v>542</v>
      </c>
      <c r="R624" s="33">
        <v>11598</v>
      </c>
      <c r="S624" s="34">
        <v>42059</v>
      </c>
      <c r="T624" s="34">
        <v>42061</v>
      </c>
      <c r="U624" s="29">
        <v>100.1328</v>
      </c>
      <c r="V624" s="26">
        <v>3</v>
      </c>
      <c r="W624" s="29">
        <v>145.12</v>
      </c>
      <c r="X624" s="26">
        <v>91041</v>
      </c>
      <c r="Y624" s="35">
        <v>2.85</v>
      </c>
      <c r="Z624" s="1" t="s">
        <v>3014</v>
      </c>
      <c r="AA624" s="36">
        <v>4.3721999999999994</v>
      </c>
      <c r="AB624" s="54">
        <v>63.852799999999995</v>
      </c>
      <c r="AC624" s="54">
        <v>27.089066666666671</v>
      </c>
      <c r="AD624" s="36">
        <v>36.625</v>
      </c>
    </row>
    <row r="625" spans="1:30" s="37" customFormat="1" ht="15.75" customHeight="1" x14ac:dyDescent="0.2">
      <c r="A625" s="26">
        <v>961</v>
      </c>
      <c r="B625" s="27" t="s">
        <v>1347</v>
      </c>
      <c r="C625" s="27" t="s">
        <v>3094</v>
      </c>
      <c r="D625" s="28">
        <v>0.05</v>
      </c>
      <c r="E625" s="29">
        <v>124.49</v>
      </c>
      <c r="F625" s="29">
        <v>51.94</v>
      </c>
      <c r="G625" s="30" t="s">
        <v>27</v>
      </c>
      <c r="H625" s="27" t="s">
        <v>71</v>
      </c>
      <c r="I625" s="27" t="s">
        <v>29</v>
      </c>
      <c r="J625" s="27" t="s">
        <v>30</v>
      </c>
      <c r="K625" s="27" t="s">
        <v>31</v>
      </c>
      <c r="L625" s="31" t="s">
        <v>1149</v>
      </c>
      <c r="M625" s="32">
        <v>0.63</v>
      </c>
      <c r="N625" s="27" t="s">
        <v>33</v>
      </c>
      <c r="O625" s="27" t="s">
        <v>60</v>
      </c>
      <c r="P625" s="27" t="s">
        <v>90</v>
      </c>
      <c r="Q625" s="27" t="s">
        <v>1348</v>
      </c>
      <c r="R625" s="33">
        <v>94061</v>
      </c>
      <c r="S625" s="34">
        <v>42059</v>
      </c>
      <c r="T625" s="34">
        <v>42059</v>
      </c>
      <c r="U625" s="29">
        <v>-44.163600000000002</v>
      </c>
      <c r="V625" s="26">
        <v>1</v>
      </c>
      <c r="W625" s="29">
        <v>120.12</v>
      </c>
      <c r="X625" s="26">
        <v>89402</v>
      </c>
      <c r="Y625" s="35">
        <v>195.99</v>
      </c>
      <c r="Z625" s="1" t="s">
        <v>3013</v>
      </c>
      <c r="AA625" s="36">
        <v>6.2244999999999999</v>
      </c>
      <c r="AB625" s="54">
        <v>44.444400000000002</v>
      </c>
      <c r="AC625" s="54">
        <v>75.675600000000003</v>
      </c>
      <c r="AD625" s="36">
        <v>106.1191</v>
      </c>
    </row>
    <row r="626" spans="1:30" s="37" customFormat="1" ht="15.75" customHeight="1" x14ac:dyDescent="0.2">
      <c r="A626" s="26">
        <v>2398</v>
      </c>
      <c r="B626" s="27" t="s">
        <v>1349</v>
      </c>
      <c r="C626" s="27" t="s">
        <v>3094</v>
      </c>
      <c r="D626" s="28">
        <v>0.03</v>
      </c>
      <c r="E626" s="29">
        <v>7.64</v>
      </c>
      <c r="F626" s="29">
        <v>5.83</v>
      </c>
      <c r="G626" s="30" t="s">
        <v>39</v>
      </c>
      <c r="H626" s="27" t="s">
        <v>94</v>
      </c>
      <c r="I626" s="27" t="s">
        <v>49</v>
      </c>
      <c r="J626" s="27" t="s">
        <v>88</v>
      </c>
      <c r="K626" s="27" t="s">
        <v>51</v>
      </c>
      <c r="L626" s="31" t="s">
        <v>232</v>
      </c>
      <c r="M626" s="32">
        <v>0.36</v>
      </c>
      <c r="N626" s="27" t="s">
        <v>33</v>
      </c>
      <c r="O626" s="27" t="s">
        <v>53</v>
      </c>
      <c r="P626" s="27" t="s">
        <v>103</v>
      </c>
      <c r="Q626" s="27" t="s">
        <v>1350</v>
      </c>
      <c r="R626" s="33">
        <v>60103</v>
      </c>
      <c r="S626" s="34">
        <v>42059</v>
      </c>
      <c r="T626" s="34">
        <v>42061</v>
      </c>
      <c r="U626" s="29">
        <v>-15.090400000000001</v>
      </c>
      <c r="V626" s="26">
        <v>12</v>
      </c>
      <c r="W626" s="29">
        <v>96.86</v>
      </c>
      <c r="X626" s="26">
        <v>86373</v>
      </c>
      <c r="Y626" s="35">
        <v>4.04</v>
      </c>
      <c r="Z626" s="1" t="s">
        <v>3012</v>
      </c>
      <c r="AA626" s="36">
        <v>2.7504</v>
      </c>
      <c r="AB626" s="54">
        <v>61.990400000000001</v>
      </c>
      <c r="AC626" s="54">
        <v>2.9058000000000002</v>
      </c>
      <c r="AD626" s="36">
        <v>103.37</v>
      </c>
    </row>
    <row r="627" spans="1:30" s="37" customFormat="1" ht="15.75" customHeight="1" x14ac:dyDescent="0.2">
      <c r="A627" s="26">
        <v>1127</v>
      </c>
      <c r="B627" s="27" t="s">
        <v>1345</v>
      </c>
      <c r="C627" s="27" t="s">
        <v>116</v>
      </c>
      <c r="D627" s="28">
        <v>0.02</v>
      </c>
      <c r="E627" s="29">
        <v>4.0599999999999996</v>
      </c>
      <c r="F627" s="29">
        <v>6.89</v>
      </c>
      <c r="G627" s="30" t="s">
        <v>39</v>
      </c>
      <c r="H627" s="27" t="s">
        <v>40</v>
      </c>
      <c r="I627" s="27" t="s">
        <v>49</v>
      </c>
      <c r="J627" s="27" t="s">
        <v>95</v>
      </c>
      <c r="K627" s="27" t="s">
        <v>73</v>
      </c>
      <c r="L627" s="31" t="s">
        <v>1271</v>
      </c>
      <c r="M627" s="32">
        <v>0.6</v>
      </c>
      <c r="N627" s="27" t="s">
        <v>33</v>
      </c>
      <c r="O627" s="27" t="s">
        <v>53</v>
      </c>
      <c r="P627" s="27" t="s">
        <v>187</v>
      </c>
      <c r="Q627" s="27" t="s">
        <v>1346</v>
      </c>
      <c r="R627" s="33">
        <v>78852</v>
      </c>
      <c r="S627" s="34">
        <v>42059</v>
      </c>
      <c r="T627" s="34">
        <v>42061</v>
      </c>
      <c r="U627" s="29">
        <v>-93.735200000000006</v>
      </c>
      <c r="V627" s="26">
        <v>16</v>
      </c>
      <c r="W627" s="29">
        <v>66.81</v>
      </c>
      <c r="X627" s="26">
        <v>87221</v>
      </c>
      <c r="Y627" s="35">
        <v>124.44</v>
      </c>
      <c r="Z627" s="1" t="s">
        <v>3012</v>
      </c>
      <c r="AA627" s="36">
        <v>1.2991999999999999</v>
      </c>
      <c r="AB627" s="54">
        <v>26.724000000000004</v>
      </c>
      <c r="AC627" s="54">
        <v>2.5053749999999999</v>
      </c>
      <c r="AD627" s="36">
        <v>152.35599999999999</v>
      </c>
    </row>
    <row r="628" spans="1:30" s="37" customFormat="1" ht="15.75" customHeight="1" x14ac:dyDescent="0.2">
      <c r="A628" s="26">
        <v>1894</v>
      </c>
      <c r="B628" s="27" t="s">
        <v>1339</v>
      </c>
      <c r="C628" s="27" t="s">
        <v>26</v>
      </c>
      <c r="D628" s="28">
        <v>0.09</v>
      </c>
      <c r="E628" s="29">
        <v>2.94</v>
      </c>
      <c r="F628" s="29">
        <v>0.96</v>
      </c>
      <c r="G628" s="30" t="s">
        <v>39</v>
      </c>
      <c r="H628" s="27" t="s">
        <v>71</v>
      </c>
      <c r="I628" s="27" t="s">
        <v>49</v>
      </c>
      <c r="J628" s="27" t="s">
        <v>50</v>
      </c>
      <c r="K628" s="27" t="s">
        <v>51</v>
      </c>
      <c r="L628" s="31" t="s">
        <v>829</v>
      </c>
      <c r="M628" s="32">
        <v>0.57999999999999996</v>
      </c>
      <c r="N628" s="27" t="s">
        <v>33</v>
      </c>
      <c r="O628" s="27" t="s">
        <v>53</v>
      </c>
      <c r="P628" s="27" t="s">
        <v>357</v>
      </c>
      <c r="Q628" s="27" t="s">
        <v>1341</v>
      </c>
      <c r="R628" s="33">
        <v>54915</v>
      </c>
      <c r="S628" s="34">
        <v>42059</v>
      </c>
      <c r="T628" s="34">
        <v>42061</v>
      </c>
      <c r="U628" s="29">
        <v>-1.84</v>
      </c>
      <c r="V628" s="26">
        <v>1</v>
      </c>
      <c r="W628" s="29">
        <v>3.77</v>
      </c>
      <c r="X628" s="26">
        <v>91261</v>
      </c>
      <c r="Y628" s="35">
        <v>7.6099999999999994</v>
      </c>
      <c r="Z628" s="1" t="s">
        <v>3012</v>
      </c>
      <c r="AA628" s="36">
        <v>0.2646</v>
      </c>
      <c r="AB628" s="54">
        <v>1.5834000000000001</v>
      </c>
      <c r="AC628" s="54">
        <v>2.1865999999999999</v>
      </c>
      <c r="AD628" s="36">
        <v>4.3854000000000006</v>
      </c>
    </row>
    <row r="629" spans="1:30" s="37" customFormat="1" ht="15.75" customHeight="1" x14ac:dyDescent="0.2">
      <c r="A629" s="26">
        <v>1193</v>
      </c>
      <c r="B629" s="27" t="s">
        <v>1351</v>
      </c>
      <c r="C629" s="27" t="s">
        <v>38</v>
      </c>
      <c r="D629" s="28">
        <v>0.05</v>
      </c>
      <c r="E629" s="29">
        <v>52.4</v>
      </c>
      <c r="F629" s="29">
        <v>16.11</v>
      </c>
      <c r="G629" s="30" t="s">
        <v>39</v>
      </c>
      <c r="H629" s="27" t="s">
        <v>40</v>
      </c>
      <c r="I629" s="27" t="s">
        <v>49</v>
      </c>
      <c r="J629" s="27" t="s">
        <v>72</v>
      </c>
      <c r="K629" s="27" t="s">
        <v>73</v>
      </c>
      <c r="L629" s="31" t="s">
        <v>1352</v>
      </c>
      <c r="M629" s="32">
        <v>0.39</v>
      </c>
      <c r="N629" s="27" t="s">
        <v>33</v>
      </c>
      <c r="O629" s="27" t="s">
        <v>111</v>
      </c>
      <c r="P629" s="27" t="s">
        <v>374</v>
      </c>
      <c r="Q629" s="27" t="s">
        <v>67</v>
      </c>
      <c r="R629" s="33">
        <v>20016</v>
      </c>
      <c r="S629" s="34">
        <v>42060</v>
      </c>
      <c r="T629" s="34">
        <v>42062</v>
      </c>
      <c r="U629" s="29">
        <v>592.52650000000006</v>
      </c>
      <c r="V629" s="26">
        <v>85</v>
      </c>
      <c r="W629" s="29">
        <v>4556.63</v>
      </c>
      <c r="X629" s="26">
        <v>29350</v>
      </c>
      <c r="Y629" s="35">
        <v>52.35</v>
      </c>
      <c r="Z629" s="1" t="s">
        <v>3014</v>
      </c>
      <c r="AA629" s="36">
        <v>222.70000000000002</v>
      </c>
      <c r="AB629" s="54">
        <v>2779.5443</v>
      </c>
      <c r="AC629" s="54">
        <v>20.906890588235296</v>
      </c>
      <c r="AD629" s="36">
        <v>3725.2934999999998</v>
      </c>
    </row>
    <row r="630" spans="1:30" s="37" customFormat="1" ht="15.75" customHeight="1" x14ac:dyDescent="0.2">
      <c r="A630" s="26">
        <v>1193</v>
      </c>
      <c r="B630" s="27" t="s">
        <v>1351</v>
      </c>
      <c r="C630" s="27" t="s">
        <v>38</v>
      </c>
      <c r="D630" s="28">
        <v>0.05</v>
      </c>
      <c r="E630" s="29">
        <v>36.549999999999997</v>
      </c>
      <c r="F630" s="29">
        <v>13.89</v>
      </c>
      <c r="G630" s="30" t="s">
        <v>87</v>
      </c>
      <c r="H630" s="27" t="s">
        <v>40</v>
      </c>
      <c r="I630" s="27" t="s">
        <v>49</v>
      </c>
      <c r="J630" s="27" t="s">
        <v>50</v>
      </c>
      <c r="K630" s="27" t="s">
        <v>51</v>
      </c>
      <c r="L630" s="31" t="s">
        <v>1353</v>
      </c>
      <c r="M630" s="32">
        <v>0.41</v>
      </c>
      <c r="N630" s="27" t="s">
        <v>33</v>
      </c>
      <c r="O630" s="27" t="s">
        <v>111</v>
      </c>
      <c r="P630" s="27" t="s">
        <v>374</v>
      </c>
      <c r="Q630" s="27" t="s">
        <v>67</v>
      </c>
      <c r="R630" s="33">
        <v>20016</v>
      </c>
      <c r="S630" s="34">
        <v>42060</v>
      </c>
      <c r="T630" s="34">
        <v>42061</v>
      </c>
      <c r="U630" s="29">
        <v>232.8</v>
      </c>
      <c r="V630" s="26">
        <v>83</v>
      </c>
      <c r="W630" s="29">
        <v>2948.61</v>
      </c>
      <c r="X630" s="26">
        <v>29350</v>
      </c>
      <c r="Y630" s="35">
        <v>36.5</v>
      </c>
      <c r="Z630" s="1" t="s">
        <v>3014</v>
      </c>
      <c r="AA630" s="36">
        <v>151.6825</v>
      </c>
      <c r="AB630" s="54">
        <v>1739.6799000000003</v>
      </c>
      <c r="AC630" s="54">
        <v>14.565422891566264</v>
      </c>
      <c r="AD630" s="36">
        <v>2550.2375000000002</v>
      </c>
    </row>
    <row r="631" spans="1:30" s="37" customFormat="1" ht="15.75" customHeight="1" x14ac:dyDescent="0.2">
      <c r="A631" s="26">
        <v>1200</v>
      </c>
      <c r="B631" s="27" t="s">
        <v>1358</v>
      </c>
      <c r="C631" s="27" t="s">
        <v>38</v>
      </c>
      <c r="D631" s="28">
        <v>0.05</v>
      </c>
      <c r="E631" s="29">
        <v>52.4</v>
      </c>
      <c r="F631" s="29">
        <v>16.11</v>
      </c>
      <c r="G631" s="30" t="s">
        <v>39</v>
      </c>
      <c r="H631" s="27" t="s">
        <v>40</v>
      </c>
      <c r="I631" s="27" t="s">
        <v>49</v>
      </c>
      <c r="J631" s="27" t="s">
        <v>72</v>
      </c>
      <c r="K631" s="27" t="s">
        <v>73</v>
      </c>
      <c r="L631" s="31" t="s">
        <v>1352</v>
      </c>
      <c r="M631" s="32">
        <v>0.39</v>
      </c>
      <c r="N631" s="27" t="s">
        <v>33</v>
      </c>
      <c r="O631" s="27" t="s">
        <v>111</v>
      </c>
      <c r="P631" s="27" t="s">
        <v>397</v>
      </c>
      <c r="Q631" s="27" t="s">
        <v>1359</v>
      </c>
      <c r="R631" s="33">
        <v>7407</v>
      </c>
      <c r="S631" s="34">
        <v>42060</v>
      </c>
      <c r="T631" s="34">
        <v>42062</v>
      </c>
      <c r="U631" s="29">
        <v>776.77440000000001</v>
      </c>
      <c r="V631" s="26">
        <v>21</v>
      </c>
      <c r="W631" s="29">
        <v>1125.76</v>
      </c>
      <c r="X631" s="26">
        <v>87585</v>
      </c>
      <c r="Y631" s="35">
        <v>15.040000000000001</v>
      </c>
      <c r="Z631" s="1" t="s">
        <v>3014</v>
      </c>
      <c r="AA631" s="36">
        <v>55.02</v>
      </c>
      <c r="AB631" s="54">
        <v>686.71359999999993</v>
      </c>
      <c r="AC631" s="54">
        <v>20.906971428571428</v>
      </c>
      <c r="AD631" s="36">
        <v>277.85559999999998</v>
      </c>
    </row>
    <row r="632" spans="1:30" s="37" customFormat="1" ht="15.75" customHeight="1" x14ac:dyDescent="0.2">
      <c r="A632" s="26">
        <v>1202</v>
      </c>
      <c r="B632" s="27" t="s">
        <v>1360</v>
      </c>
      <c r="C632" s="27" t="s">
        <v>38</v>
      </c>
      <c r="D632" s="28">
        <v>0.05</v>
      </c>
      <c r="E632" s="29">
        <v>36.549999999999997</v>
      </c>
      <c r="F632" s="29">
        <v>13.89</v>
      </c>
      <c r="G632" s="30" t="s">
        <v>87</v>
      </c>
      <c r="H632" s="27" t="s">
        <v>40</v>
      </c>
      <c r="I632" s="27" t="s">
        <v>49</v>
      </c>
      <c r="J632" s="27" t="s">
        <v>50</v>
      </c>
      <c r="K632" s="27" t="s">
        <v>51</v>
      </c>
      <c r="L632" s="31" t="s">
        <v>1353</v>
      </c>
      <c r="M632" s="32">
        <v>0.41</v>
      </c>
      <c r="N632" s="27" t="s">
        <v>33</v>
      </c>
      <c r="O632" s="27" t="s">
        <v>111</v>
      </c>
      <c r="P632" s="27" t="s">
        <v>397</v>
      </c>
      <c r="Q632" s="27" t="s">
        <v>1361</v>
      </c>
      <c r="R632" s="33">
        <v>7079</v>
      </c>
      <c r="S632" s="34">
        <v>42060</v>
      </c>
      <c r="T632" s="34">
        <v>42061</v>
      </c>
      <c r="U632" s="29">
        <v>344.54399999999998</v>
      </c>
      <c r="V632" s="26">
        <v>21</v>
      </c>
      <c r="W632" s="29">
        <v>746.03</v>
      </c>
      <c r="X632" s="26">
        <v>87585</v>
      </c>
      <c r="Y632" s="35">
        <v>52.35</v>
      </c>
      <c r="Z632" s="1" t="s">
        <v>3014</v>
      </c>
      <c r="AA632" s="36">
        <v>38.377499999999998</v>
      </c>
      <c r="AB632" s="54">
        <v>440.15770000000003</v>
      </c>
      <c r="AC632" s="54">
        <v>14.565347619047618</v>
      </c>
      <c r="AD632" s="36">
        <v>349.21850000000001</v>
      </c>
    </row>
    <row r="633" spans="1:30" s="37" customFormat="1" ht="15.75" customHeight="1" x14ac:dyDescent="0.2">
      <c r="A633" s="26">
        <v>868</v>
      </c>
      <c r="B633" s="27" t="s">
        <v>1368</v>
      </c>
      <c r="C633" s="27" t="s">
        <v>3094</v>
      </c>
      <c r="D633" s="28">
        <v>0</v>
      </c>
      <c r="E633" s="29">
        <v>80.98</v>
      </c>
      <c r="F633" s="29">
        <v>35</v>
      </c>
      <c r="G633" s="30" t="s">
        <v>39</v>
      </c>
      <c r="H633" s="27" t="s">
        <v>94</v>
      </c>
      <c r="I633" s="27" t="s">
        <v>49</v>
      </c>
      <c r="J633" s="27" t="s">
        <v>78</v>
      </c>
      <c r="K633" s="27" t="s">
        <v>65</v>
      </c>
      <c r="L633" s="31" t="s">
        <v>707</v>
      </c>
      <c r="M633" s="32">
        <v>0.83</v>
      </c>
      <c r="N633" s="27" t="s">
        <v>33</v>
      </c>
      <c r="O633" s="27" t="s">
        <v>53</v>
      </c>
      <c r="P633" s="27" t="s">
        <v>84</v>
      </c>
      <c r="Q633" s="27" t="s">
        <v>1370</v>
      </c>
      <c r="R633" s="33">
        <v>55126</v>
      </c>
      <c r="S633" s="34">
        <v>42060</v>
      </c>
      <c r="T633" s="34">
        <v>42062</v>
      </c>
      <c r="U633" s="29">
        <v>-684.78</v>
      </c>
      <c r="V633" s="26">
        <v>8</v>
      </c>
      <c r="W633" s="29">
        <v>682.79</v>
      </c>
      <c r="X633" s="26">
        <v>91194</v>
      </c>
      <c r="Y633" s="35">
        <v>36.5</v>
      </c>
      <c r="Z633" s="1" t="s">
        <v>3012</v>
      </c>
      <c r="AA633" s="36">
        <v>0</v>
      </c>
      <c r="AB633" s="54">
        <v>116.07430000000002</v>
      </c>
      <c r="AC633" s="54">
        <v>70.839462499999996</v>
      </c>
      <c r="AD633" s="36">
        <v>1332.57</v>
      </c>
    </row>
    <row r="634" spans="1:30" s="37" customFormat="1" ht="15.75" customHeight="1" x14ac:dyDescent="0.2">
      <c r="A634" s="26">
        <v>851</v>
      </c>
      <c r="B634" s="27" t="s">
        <v>1364</v>
      </c>
      <c r="C634" s="27" t="s">
        <v>48</v>
      </c>
      <c r="D634" s="28">
        <v>0.1</v>
      </c>
      <c r="E634" s="29">
        <v>50.98</v>
      </c>
      <c r="F634" s="29">
        <v>22.24</v>
      </c>
      <c r="G634" s="30" t="s">
        <v>39</v>
      </c>
      <c r="H634" s="27" t="s">
        <v>94</v>
      </c>
      <c r="I634" s="27" t="s">
        <v>29</v>
      </c>
      <c r="J634" s="27" t="s">
        <v>126</v>
      </c>
      <c r="K634" s="27" t="s">
        <v>65</v>
      </c>
      <c r="L634" s="31" t="s">
        <v>1365</v>
      </c>
      <c r="M634" s="32">
        <v>0.55000000000000004</v>
      </c>
      <c r="N634" s="27" t="s">
        <v>33</v>
      </c>
      <c r="O634" s="27" t="s">
        <v>60</v>
      </c>
      <c r="P634" s="27" t="s">
        <v>90</v>
      </c>
      <c r="Q634" s="27" t="s">
        <v>1366</v>
      </c>
      <c r="R634" s="33">
        <v>91745</v>
      </c>
      <c r="S634" s="34">
        <v>42060</v>
      </c>
      <c r="T634" s="34">
        <v>42062</v>
      </c>
      <c r="U634" s="29">
        <v>98.12</v>
      </c>
      <c r="V634" s="26">
        <v>6</v>
      </c>
      <c r="W634" s="29">
        <v>300.63</v>
      </c>
      <c r="X634" s="26">
        <v>88568</v>
      </c>
      <c r="Y634" s="35">
        <v>8.27</v>
      </c>
      <c r="Z634" s="1" t="s">
        <v>3013</v>
      </c>
      <c r="AA634" s="36">
        <v>30.588000000000001</v>
      </c>
      <c r="AB634" s="54">
        <v>135.28349999999998</v>
      </c>
      <c r="AC634" s="54">
        <v>27.557750000000002</v>
      </c>
      <c r="AD634" s="36">
        <v>149.68199999999999</v>
      </c>
    </row>
    <row r="635" spans="1:30" s="37" customFormat="1" ht="15.75" customHeight="1" x14ac:dyDescent="0.2">
      <c r="A635" s="26">
        <v>868</v>
      </c>
      <c r="B635" s="27" t="s">
        <v>1368</v>
      </c>
      <c r="C635" s="27" t="s">
        <v>3094</v>
      </c>
      <c r="D635" s="28">
        <v>0.04</v>
      </c>
      <c r="E635" s="29">
        <v>29.18</v>
      </c>
      <c r="F635" s="29">
        <v>8.5500000000000007</v>
      </c>
      <c r="G635" s="30" t="s">
        <v>87</v>
      </c>
      <c r="H635" s="27" t="s">
        <v>94</v>
      </c>
      <c r="I635" s="27" t="s">
        <v>29</v>
      </c>
      <c r="J635" s="27" t="s">
        <v>126</v>
      </c>
      <c r="K635" s="27" t="s">
        <v>73</v>
      </c>
      <c r="L635" s="31" t="s">
        <v>1369</v>
      </c>
      <c r="M635" s="32">
        <v>0.42</v>
      </c>
      <c r="N635" s="27" t="s">
        <v>33</v>
      </c>
      <c r="O635" s="27" t="s">
        <v>53</v>
      </c>
      <c r="P635" s="27" t="s">
        <v>84</v>
      </c>
      <c r="Q635" s="27" t="s">
        <v>1370</v>
      </c>
      <c r="R635" s="33">
        <v>55126</v>
      </c>
      <c r="S635" s="34">
        <v>42060</v>
      </c>
      <c r="T635" s="34">
        <v>42062</v>
      </c>
      <c r="U635" s="29">
        <v>201.7353</v>
      </c>
      <c r="V635" s="26">
        <v>10</v>
      </c>
      <c r="W635" s="29">
        <v>292.37</v>
      </c>
      <c r="X635" s="26">
        <v>91194</v>
      </c>
      <c r="Y635" s="35">
        <v>50.879999999999995</v>
      </c>
      <c r="Z635" s="1" t="s">
        <v>3012</v>
      </c>
      <c r="AA635" s="36">
        <v>11.672000000000001</v>
      </c>
      <c r="AB635" s="54">
        <v>169.57460000000003</v>
      </c>
      <c r="AC635" s="54">
        <v>12.279540000000001</v>
      </c>
      <c r="AD635" s="36">
        <v>70.412700000000001</v>
      </c>
    </row>
    <row r="636" spans="1:30" s="37" customFormat="1" ht="15.75" customHeight="1" x14ac:dyDescent="0.2">
      <c r="A636" s="26">
        <v>1199</v>
      </c>
      <c r="B636" s="27" t="s">
        <v>1354</v>
      </c>
      <c r="C636" s="27" t="s">
        <v>38</v>
      </c>
      <c r="D636" s="28">
        <v>0.1</v>
      </c>
      <c r="E636" s="29">
        <v>15.14</v>
      </c>
      <c r="F636" s="29">
        <v>4.53</v>
      </c>
      <c r="G636" s="30" t="s">
        <v>39</v>
      </c>
      <c r="H636" s="27" t="s">
        <v>40</v>
      </c>
      <c r="I636" s="27" t="s">
        <v>49</v>
      </c>
      <c r="J636" s="27" t="s">
        <v>78</v>
      </c>
      <c r="K636" s="27" t="s">
        <v>73</v>
      </c>
      <c r="L636" s="31" t="s">
        <v>1355</v>
      </c>
      <c r="M636" s="32">
        <v>0.81</v>
      </c>
      <c r="N636" s="27" t="s">
        <v>33</v>
      </c>
      <c r="O636" s="27" t="s">
        <v>111</v>
      </c>
      <c r="P636" s="27" t="s">
        <v>1356</v>
      </c>
      <c r="Q636" s="27" t="s">
        <v>1357</v>
      </c>
      <c r="R636" s="33">
        <v>3060</v>
      </c>
      <c r="S636" s="34">
        <v>42060</v>
      </c>
      <c r="T636" s="34">
        <v>42063</v>
      </c>
      <c r="U636" s="29">
        <v>-24.897600000000001</v>
      </c>
      <c r="V636" s="26">
        <v>5</v>
      </c>
      <c r="W636" s="29">
        <v>75.17</v>
      </c>
      <c r="X636" s="26">
        <v>87585</v>
      </c>
      <c r="Y636" s="35">
        <v>2.54</v>
      </c>
      <c r="Z636" s="1" t="s">
        <v>3014</v>
      </c>
      <c r="AA636" s="36">
        <v>7.5700000000000012</v>
      </c>
      <c r="AB636" s="54">
        <v>14.282299999999996</v>
      </c>
      <c r="AC636" s="54">
        <v>12.177540000000002</v>
      </c>
      <c r="AD636" s="36">
        <v>87.967600000000004</v>
      </c>
    </row>
    <row r="637" spans="1:30" s="37" customFormat="1" ht="15.75" customHeight="1" x14ac:dyDescent="0.2">
      <c r="A637" s="26">
        <v>2980</v>
      </c>
      <c r="B637" s="27" t="s">
        <v>821</v>
      </c>
      <c r="C637" s="27" t="s">
        <v>116</v>
      </c>
      <c r="D637" s="28">
        <v>7.0000000000000007E-2</v>
      </c>
      <c r="E637" s="29">
        <v>2.61</v>
      </c>
      <c r="F637" s="29">
        <v>0.5</v>
      </c>
      <c r="G637" s="30" t="s">
        <v>39</v>
      </c>
      <c r="H637" s="27" t="s">
        <v>94</v>
      </c>
      <c r="I637" s="27" t="s">
        <v>49</v>
      </c>
      <c r="J637" s="27" t="s">
        <v>152</v>
      </c>
      <c r="K637" s="27" t="s">
        <v>73</v>
      </c>
      <c r="L637" s="31" t="s">
        <v>1367</v>
      </c>
      <c r="M637" s="32">
        <v>0.39</v>
      </c>
      <c r="N637" s="27" t="s">
        <v>33</v>
      </c>
      <c r="O637" s="27" t="s">
        <v>111</v>
      </c>
      <c r="P637" s="27" t="s">
        <v>317</v>
      </c>
      <c r="Q637" s="27" t="s">
        <v>823</v>
      </c>
      <c r="R637" s="33">
        <v>44870</v>
      </c>
      <c r="S637" s="34">
        <v>42060</v>
      </c>
      <c r="T637" s="34">
        <v>42062</v>
      </c>
      <c r="U637" s="29">
        <v>10.798500000000001</v>
      </c>
      <c r="V637" s="26">
        <v>6</v>
      </c>
      <c r="W637" s="29">
        <v>15.65</v>
      </c>
      <c r="X637" s="26">
        <v>86547</v>
      </c>
      <c r="Y637" s="35">
        <v>29.14</v>
      </c>
      <c r="Z637" s="1" t="s">
        <v>3014</v>
      </c>
      <c r="AA637" s="36">
        <v>1.0962000000000001</v>
      </c>
      <c r="AB637" s="54">
        <v>9.5465</v>
      </c>
      <c r="AC637" s="54">
        <v>1.01725</v>
      </c>
      <c r="AD637" s="36">
        <v>3.2553000000000001</v>
      </c>
    </row>
    <row r="638" spans="1:30" s="37" customFormat="1" ht="15.75" customHeight="1" x14ac:dyDescent="0.2">
      <c r="A638" s="26">
        <v>2361</v>
      </c>
      <c r="B638" s="27" t="s">
        <v>1362</v>
      </c>
      <c r="C638" s="27" t="s">
        <v>38</v>
      </c>
      <c r="D638" s="28">
        <v>0.06</v>
      </c>
      <c r="E638" s="29">
        <v>8.33</v>
      </c>
      <c r="F638" s="29">
        <v>1.99</v>
      </c>
      <c r="G638" s="30" t="s">
        <v>39</v>
      </c>
      <c r="H638" s="27" t="s">
        <v>94</v>
      </c>
      <c r="I638" s="27" t="s">
        <v>41</v>
      </c>
      <c r="J638" s="27" t="s">
        <v>42</v>
      </c>
      <c r="K638" s="27" t="s">
        <v>43</v>
      </c>
      <c r="L638" s="31" t="s">
        <v>1174</v>
      </c>
      <c r="M638" s="32">
        <v>0.52</v>
      </c>
      <c r="N638" s="27" t="s">
        <v>33</v>
      </c>
      <c r="O638" s="27" t="s">
        <v>34</v>
      </c>
      <c r="P638" s="27" t="s">
        <v>123</v>
      </c>
      <c r="Q638" s="27" t="s">
        <v>1363</v>
      </c>
      <c r="R638" s="33">
        <v>32259</v>
      </c>
      <c r="S638" s="34">
        <v>42060</v>
      </c>
      <c r="T638" s="34">
        <v>42061</v>
      </c>
      <c r="U638" s="29">
        <v>-344.82</v>
      </c>
      <c r="V638" s="26">
        <v>1</v>
      </c>
      <c r="W638" s="29">
        <v>8.49</v>
      </c>
      <c r="X638" s="26">
        <v>88266</v>
      </c>
      <c r="Y638" s="35">
        <v>80.98</v>
      </c>
      <c r="Z638" s="1" t="s">
        <v>3011</v>
      </c>
      <c r="AA638" s="36">
        <v>0.49979999999999997</v>
      </c>
      <c r="AB638" s="54">
        <v>4.0751999999999997</v>
      </c>
      <c r="AC638" s="54">
        <v>4.4148000000000005</v>
      </c>
      <c r="AD638" s="36">
        <v>350.8202</v>
      </c>
    </row>
    <row r="639" spans="1:30" s="37" customFormat="1" ht="15.75" customHeight="1" x14ac:dyDescent="0.2">
      <c r="A639" s="26">
        <v>3063</v>
      </c>
      <c r="B639" s="27" t="s">
        <v>1391</v>
      </c>
      <c r="C639" s="27" t="s">
        <v>116</v>
      </c>
      <c r="D639" s="28">
        <v>0.03</v>
      </c>
      <c r="E639" s="29">
        <v>499.99</v>
      </c>
      <c r="F639" s="29">
        <v>24.49</v>
      </c>
      <c r="G639" s="30" t="s">
        <v>39</v>
      </c>
      <c r="H639" s="27" t="s">
        <v>40</v>
      </c>
      <c r="I639" s="27" t="s">
        <v>41</v>
      </c>
      <c r="J639" s="27" t="s">
        <v>64</v>
      </c>
      <c r="K639" s="27" t="s">
        <v>65</v>
      </c>
      <c r="L639" s="31" t="s">
        <v>1393</v>
      </c>
      <c r="M639" s="32">
        <v>0.36</v>
      </c>
      <c r="N639" s="27" t="s">
        <v>33</v>
      </c>
      <c r="O639" s="27" t="s">
        <v>60</v>
      </c>
      <c r="P639" s="27" t="s">
        <v>67</v>
      </c>
      <c r="Q639" s="27" t="s">
        <v>1392</v>
      </c>
      <c r="R639" s="33">
        <v>98034</v>
      </c>
      <c r="S639" s="34">
        <v>42061</v>
      </c>
      <c r="T639" s="34">
        <v>42062</v>
      </c>
      <c r="U639" s="29">
        <v>1773.6105</v>
      </c>
      <c r="V639" s="26">
        <v>5</v>
      </c>
      <c r="W639" s="29">
        <v>2570.4499999999998</v>
      </c>
      <c r="X639" s="26">
        <v>88447</v>
      </c>
      <c r="Y639" s="35">
        <v>35.9</v>
      </c>
      <c r="Z639" s="1" t="s">
        <v>3013</v>
      </c>
      <c r="AA639" s="36">
        <v>74.998499999999993</v>
      </c>
      <c r="AB639" s="54">
        <v>1645.088</v>
      </c>
      <c r="AC639" s="54">
        <v>185.07239999999996</v>
      </c>
      <c r="AD639" s="36">
        <v>697.35099999999989</v>
      </c>
    </row>
    <row r="640" spans="1:30" s="37" customFormat="1" ht="15.75" customHeight="1" x14ac:dyDescent="0.2">
      <c r="A640" s="26">
        <v>622</v>
      </c>
      <c r="B640" s="27" t="s">
        <v>1390</v>
      </c>
      <c r="C640" s="27" t="s">
        <v>116</v>
      </c>
      <c r="D640" s="28">
        <v>0.06</v>
      </c>
      <c r="E640" s="29">
        <v>195.99</v>
      </c>
      <c r="F640" s="29">
        <v>8.99</v>
      </c>
      <c r="G640" s="30" t="s">
        <v>39</v>
      </c>
      <c r="H640" s="27" t="s">
        <v>71</v>
      </c>
      <c r="I640" s="27" t="s">
        <v>41</v>
      </c>
      <c r="J640" s="27" t="s">
        <v>135</v>
      </c>
      <c r="K640" s="27" t="s">
        <v>73</v>
      </c>
      <c r="L640" s="31" t="s">
        <v>1343</v>
      </c>
      <c r="M640" s="32">
        <v>0.6</v>
      </c>
      <c r="N640" s="27" t="s">
        <v>33</v>
      </c>
      <c r="O640" s="27" t="s">
        <v>111</v>
      </c>
      <c r="P640" s="27" t="s">
        <v>331</v>
      </c>
      <c r="Q640" s="27" t="s">
        <v>1204</v>
      </c>
      <c r="R640" s="33">
        <v>4210</v>
      </c>
      <c r="S640" s="34">
        <v>42061</v>
      </c>
      <c r="T640" s="34">
        <v>42063</v>
      </c>
      <c r="U640" s="29">
        <v>349.47</v>
      </c>
      <c r="V640" s="26">
        <v>6</v>
      </c>
      <c r="W640" s="29">
        <v>948.97</v>
      </c>
      <c r="X640" s="26">
        <v>91432</v>
      </c>
      <c r="Y640" s="35">
        <v>55.4</v>
      </c>
      <c r="Z640" s="1" t="s">
        <v>3014</v>
      </c>
      <c r="AA640" s="36">
        <v>70.556399999999996</v>
      </c>
      <c r="AB640" s="54">
        <v>379.58800000000002</v>
      </c>
      <c r="AC640" s="54">
        <v>94.896999999999991</v>
      </c>
      <c r="AD640" s="36">
        <v>519.95360000000005</v>
      </c>
    </row>
    <row r="641" spans="1:30" s="37" customFormat="1" ht="15.75" customHeight="1" x14ac:dyDescent="0.2">
      <c r="A641" s="26">
        <v>2114</v>
      </c>
      <c r="B641" s="27" t="s">
        <v>1375</v>
      </c>
      <c r="C641" s="27" t="s">
        <v>26</v>
      </c>
      <c r="D641" s="28">
        <v>0.08</v>
      </c>
      <c r="E641" s="29">
        <v>20.98</v>
      </c>
      <c r="F641" s="29">
        <v>53.03</v>
      </c>
      <c r="G641" s="30" t="s">
        <v>27</v>
      </c>
      <c r="H641" s="27" t="s">
        <v>94</v>
      </c>
      <c r="I641" s="27" t="s">
        <v>49</v>
      </c>
      <c r="J641" s="27" t="s">
        <v>78</v>
      </c>
      <c r="K641" s="27" t="s">
        <v>58</v>
      </c>
      <c r="L641" s="31" t="s">
        <v>1090</v>
      </c>
      <c r="M641" s="32">
        <v>0.78</v>
      </c>
      <c r="N641" s="27" t="s">
        <v>33</v>
      </c>
      <c r="O641" s="27" t="s">
        <v>34</v>
      </c>
      <c r="P641" s="27" t="s">
        <v>242</v>
      </c>
      <c r="Q641" s="27" t="s">
        <v>1377</v>
      </c>
      <c r="R641" s="33">
        <v>23518</v>
      </c>
      <c r="S641" s="34">
        <v>42061</v>
      </c>
      <c r="T641" s="34">
        <v>42063</v>
      </c>
      <c r="U641" s="29">
        <v>8.7420000000000009</v>
      </c>
      <c r="V641" s="26">
        <v>20</v>
      </c>
      <c r="W641" s="29">
        <v>421.18</v>
      </c>
      <c r="X641" s="26">
        <v>88405</v>
      </c>
      <c r="Y641" s="35">
        <v>226.6</v>
      </c>
      <c r="Z641" s="1" t="s">
        <v>3011</v>
      </c>
      <c r="AA641" s="36">
        <v>33.568000000000005</v>
      </c>
      <c r="AB641" s="54">
        <v>92.659599999999983</v>
      </c>
      <c r="AC641" s="54">
        <v>16.426020000000001</v>
      </c>
      <c r="AD641" s="36">
        <v>325.84000000000003</v>
      </c>
    </row>
    <row r="642" spans="1:30" s="37" customFormat="1" ht="15.75" customHeight="1" x14ac:dyDescent="0.2">
      <c r="A642" s="26">
        <v>573</v>
      </c>
      <c r="B642" s="27" t="s">
        <v>1380</v>
      </c>
      <c r="C642" s="27" t="s">
        <v>38</v>
      </c>
      <c r="D642" s="28">
        <v>0.08</v>
      </c>
      <c r="E642" s="29">
        <v>415.88</v>
      </c>
      <c r="F642" s="29">
        <v>11.37</v>
      </c>
      <c r="G642" s="30" t="s">
        <v>39</v>
      </c>
      <c r="H642" s="27" t="s">
        <v>94</v>
      </c>
      <c r="I642" s="27" t="s">
        <v>49</v>
      </c>
      <c r="J642" s="27" t="s">
        <v>78</v>
      </c>
      <c r="K642" s="27" t="s">
        <v>73</v>
      </c>
      <c r="L642" s="31" t="s">
        <v>1381</v>
      </c>
      <c r="M642" s="32">
        <v>0.56999999999999995</v>
      </c>
      <c r="N642" s="27" t="s">
        <v>33</v>
      </c>
      <c r="O642" s="27" t="s">
        <v>53</v>
      </c>
      <c r="P642" s="27" t="s">
        <v>103</v>
      </c>
      <c r="Q642" s="27" t="s">
        <v>1382</v>
      </c>
      <c r="R642" s="33">
        <v>61554</v>
      </c>
      <c r="S642" s="34">
        <v>42061</v>
      </c>
      <c r="T642" s="34">
        <v>42062</v>
      </c>
      <c r="U642" s="29">
        <v>-269.08440000000002</v>
      </c>
      <c r="V642" s="26">
        <v>1</v>
      </c>
      <c r="W642" s="29">
        <v>405.57</v>
      </c>
      <c r="X642" s="26">
        <v>86556</v>
      </c>
      <c r="Y642" s="35">
        <v>20.900000000000002</v>
      </c>
      <c r="Z642" s="1" t="s">
        <v>3012</v>
      </c>
      <c r="AA642" s="36">
        <v>33.270400000000002</v>
      </c>
      <c r="AB642" s="54">
        <v>174.39510000000001</v>
      </c>
      <c r="AC642" s="54">
        <v>231.17489999999998</v>
      </c>
      <c r="AD642" s="36">
        <v>630.01400000000001</v>
      </c>
    </row>
    <row r="643" spans="1:30" s="37" customFormat="1" ht="15.75" customHeight="1" x14ac:dyDescent="0.2">
      <c r="A643" s="26">
        <v>2114</v>
      </c>
      <c r="B643" s="27" t="s">
        <v>1375</v>
      </c>
      <c r="C643" s="27" t="s">
        <v>26</v>
      </c>
      <c r="D643" s="28">
        <v>7.0000000000000007E-2</v>
      </c>
      <c r="E643" s="29">
        <v>226.67</v>
      </c>
      <c r="F643" s="29">
        <v>28.16</v>
      </c>
      <c r="G643" s="30" t="s">
        <v>27</v>
      </c>
      <c r="H643" s="27" t="s">
        <v>94</v>
      </c>
      <c r="I643" s="27" t="s">
        <v>29</v>
      </c>
      <c r="J643" s="27" t="s">
        <v>109</v>
      </c>
      <c r="K643" s="27" t="s">
        <v>58</v>
      </c>
      <c r="L643" s="31" t="s">
        <v>1376</v>
      </c>
      <c r="M643" s="32">
        <v>0.59</v>
      </c>
      <c r="N643" s="27" t="s">
        <v>33</v>
      </c>
      <c r="O643" s="27" t="s">
        <v>34</v>
      </c>
      <c r="P643" s="27" t="s">
        <v>242</v>
      </c>
      <c r="Q643" s="27" t="s">
        <v>1377</v>
      </c>
      <c r="R643" s="33">
        <v>23518</v>
      </c>
      <c r="S643" s="34">
        <v>42061</v>
      </c>
      <c r="T643" s="34">
        <v>42062</v>
      </c>
      <c r="U643" s="29">
        <v>53.114400000000003</v>
      </c>
      <c r="V643" s="26">
        <v>1</v>
      </c>
      <c r="W643" s="29">
        <v>255.83</v>
      </c>
      <c r="X643" s="26">
        <v>88405</v>
      </c>
      <c r="Y643" s="35">
        <v>5.32</v>
      </c>
      <c r="Z643" s="1" t="s">
        <v>3011</v>
      </c>
      <c r="AA643" s="36">
        <v>15.866900000000001</v>
      </c>
      <c r="AB643" s="54">
        <v>104.89030000000001</v>
      </c>
      <c r="AC643" s="54">
        <v>150.93969999999999</v>
      </c>
      <c r="AD643" s="36">
        <v>158.68870000000001</v>
      </c>
    </row>
    <row r="644" spans="1:30" s="37" customFormat="1" ht="15.75" customHeight="1" x14ac:dyDescent="0.2">
      <c r="A644" s="26">
        <v>2979</v>
      </c>
      <c r="B644" s="27" t="s">
        <v>818</v>
      </c>
      <c r="C644" s="27" t="s">
        <v>26</v>
      </c>
      <c r="D644" s="28">
        <v>0.03</v>
      </c>
      <c r="E644" s="29">
        <v>40.98</v>
      </c>
      <c r="F644" s="29">
        <v>7.47</v>
      </c>
      <c r="G644" s="30" t="s">
        <v>39</v>
      </c>
      <c r="H644" s="27" t="s">
        <v>94</v>
      </c>
      <c r="I644" s="27" t="s">
        <v>49</v>
      </c>
      <c r="J644" s="27" t="s">
        <v>72</v>
      </c>
      <c r="K644" s="27" t="s">
        <v>73</v>
      </c>
      <c r="L644" s="31" t="s">
        <v>1379</v>
      </c>
      <c r="M644" s="32">
        <v>0.37</v>
      </c>
      <c r="N644" s="27" t="s">
        <v>33</v>
      </c>
      <c r="O644" s="27" t="s">
        <v>53</v>
      </c>
      <c r="P644" s="27" t="s">
        <v>565</v>
      </c>
      <c r="Q644" s="27" t="s">
        <v>820</v>
      </c>
      <c r="R644" s="33">
        <v>58601</v>
      </c>
      <c r="S644" s="34">
        <v>42061</v>
      </c>
      <c r="T644" s="34">
        <v>42062</v>
      </c>
      <c r="U644" s="29">
        <v>170.79570000000001</v>
      </c>
      <c r="V644" s="26">
        <v>6</v>
      </c>
      <c r="W644" s="29">
        <v>247.53</v>
      </c>
      <c r="X644" s="26">
        <v>86545</v>
      </c>
      <c r="Y644" s="35">
        <v>40.949999999999996</v>
      </c>
      <c r="Z644" s="1" t="s">
        <v>3012</v>
      </c>
      <c r="AA644" s="36">
        <v>7.3763999999999985</v>
      </c>
      <c r="AB644" s="54">
        <v>155.94390000000001</v>
      </c>
      <c r="AC644" s="54">
        <v>15.26435</v>
      </c>
      <c r="AD644" s="36">
        <v>61.887900000000002</v>
      </c>
    </row>
    <row r="645" spans="1:30" s="37" customFormat="1" ht="15.75" customHeight="1" x14ac:dyDescent="0.2">
      <c r="A645" s="26">
        <v>1639</v>
      </c>
      <c r="B645" s="27" t="s">
        <v>1373</v>
      </c>
      <c r="C645" s="27" t="s">
        <v>26</v>
      </c>
      <c r="D645" s="28">
        <v>0.08</v>
      </c>
      <c r="E645" s="29">
        <v>55.48</v>
      </c>
      <c r="F645" s="29">
        <v>6.79</v>
      </c>
      <c r="G645" s="30" t="s">
        <v>39</v>
      </c>
      <c r="H645" s="27" t="s">
        <v>71</v>
      </c>
      <c r="I645" s="27" t="s">
        <v>49</v>
      </c>
      <c r="J645" s="27" t="s">
        <v>88</v>
      </c>
      <c r="K645" s="27" t="s">
        <v>73</v>
      </c>
      <c r="L645" s="31" t="s">
        <v>1306</v>
      </c>
      <c r="M645" s="32">
        <v>0.37</v>
      </c>
      <c r="N645" s="27" t="s">
        <v>33</v>
      </c>
      <c r="O645" s="27" t="s">
        <v>111</v>
      </c>
      <c r="P645" s="27" t="s">
        <v>248</v>
      </c>
      <c r="Q645" s="27" t="s">
        <v>1374</v>
      </c>
      <c r="R645" s="33">
        <v>6901</v>
      </c>
      <c r="S645" s="34">
        <v>42061</v>
      </c>
      <c r="T645" s="34">
        <v>42063</v>
      </c>
      <c r="U645" s="29">
        <v>147.75659999999999</v>
      </c>
      <c r="V645" s="26">
        <v>4</v>
      </c>
      <c r="W645" s="29">
        <v>214.14</v>
      </c>
      <c r="X645" s="26">
        <v>89705</v>
      </c>
      <c r="Y645" s="35">
        <v>415.8</v>
      </c>
      <c r="Z645" s="1" t="s">
        <v>3014</v>
      </c>
      <c r="AA645" s="36">
        <v>17.753599999999999</v>
      </c>
      <c r="AB645" s="54">
        <v>134.90819999999999</v>
      </c>
      <c r="AC645" s="54">
        <v>19.807949999999998</v>
      </c>
      <c r="AD645" s="36">
        <v>41.839799999999997</v>
      </c>
    </row>
    <row r="646" spans="1:30" s="37" customFormat="1" ht="15.75" customHeight="1" x14ac:dyDescent="0.2">
      <c r="A646" s="26">
        <v>907</v>
      </c>
      <c r="B646" s="27" t="s">
        <v>1371</v>
      </c>
      <c r="C646" s="27" t="s">
        <v>26</v>
      </c>
      <c r="D646" s="28">
        <v>0.09</v>
      </c>
      <c r="E646" s="29">
        <v>35.99</v>
      </c>
      <c r="F646" s="29">
        <v>5.99</v>
      </c>
      <c r="G646" s="30" t="s">
        <v>39</v>
      </c>
      <c r="H646" s="27" t="s">
        <v>71</v>
      </c>
      <c r="I646" s="27" t="s">
        <v>41</v>
      </c>
      <c r="J646" s="27" t="s">
        <v>135</v>
      </c>
      <c r="K646" s="27" t="s">
        <v>51</v>
      </c>
      <c r="L646" s="31" t="s">
        <v>1372</v>
      </c>
      <c r="M646" s="32">
        <v>0.38</v>
      </c>
      <c r="N646" s="27" t="s">
        <v>33</v>
      </c>
      <c r="O646" s="27" t="s">
        <v>34</v>
      </c>
      <c r="P646" s="27" t="s">
        <v>388</v>
      </c>
      <c r="Q646" s="27" t="s">
        <v>466</v>
      </c>
      <c r="R646" s="33">
        <v>42420</v>
      </c>
      <c r="S646" s="34">
        <v>42061</v>
      </c>
      <c r="T646" s="34">
        <v>42062</v>
      </c>
      <c r="U646" s="29">
        <v>114.3165</v>
      </c>
      <c r="V646" s="26">
        <v>5</v>
      </c>
      <c r="W646" s="29">
        <v>151.6</v>
      </c>
      <c r="X646" s="26">
        <v>86459</v>
      </c>
      <c r="Y646" s="35">
        <v>3.5</v>
      </c>
      <c r="Z646" s="1" t="s">
        <v>3011</v>
      </c>
      <c r="AA646" s="36">
        <v>16.195499999999999</v>
      </c>
      <c r="AB646" s="54">
        <v>93.99199999999999</v>
      </c>
      <c r="AC646" s="54">
        <v>11.521599999999999</v>
      </c>
      <c r="AD646" s="36">
        <v>15.097999999999985</v>
      </c>
    </row>
    <row r="647" spans="1:30" s="37" customFormat="1" ht="15.75" customHeight="1" x14ac:dyDescent="0.2">
      <c r="A647" s="26">
        <v>865</v>
      </c>
      <c r="B647" s="27" t="s">
        <v>1386</v>
      </c>
      <c r="C647" s="27" t="s">
        <v>48</v>
      </c>
      <c r="D647" s="28">
        <v>0.04</v>
      </c>
      <c r="E647" s="29">
        <v>6.48</v>
      </c>
      <c r="F647" s="29">
        <v>5.16</v>
      </c>
      <c r="G647" s="30" t="s">
        <v>87</v>
      </c>
      <c r="H647" s="27" t="s">
        <v>94</v>
      </c>
      <c r="I647" s="27" t="s">
        <v>49</v>
      </c>
      <c r="J647" s="27" t="s">
        <v>88</v>
      </c>
      <c r="K647" s="27" t="s">
        <v>73</v>
      </c>
      <c r="L647" s="31" t="s">
        <v>1387</v>
      </c>
      <c r="M647" s="32">
        <v>0.37</v>
      </c>
      <c r="N647" s="27" t="s">
        <v>33</v>
      </c>
      <c r="O647" s="27" t="s">
        <v>53</v>
      </c>
      <c r="P647" s="27" t="s">
        <v>54</v>
      </c>
      <c r="Q647" s="27" t="s">
        <v>1042</v>
      </c>
      <c r="R647" s="33">
        <v>46312</v>
      </c>
      <c r="S647" s="34">
        <v>42061</v>
      </c>
      <c r="T647" s="34">
        <v>42065</v>
      </c>
      <c r="U647" s="29">
        <v>-11.1332</v>
      </c>
      <c r="V647" s="26">
        <v>12</v>
      </c>
      <c r="W647" s="29">
        <v>86.79</v>
      </c>
      <c r="X647" s="26">
        <v>90675</v>
      </c>
      <c r="Y647" s="35">
        <v>6.44</v>
      </c>
      <c r="Z647" s="1" t="s">
        <v>3012</v>
      </c>
      <c r="AA647" s="36">
        <v>3.1104000000000003</v>
      </c>
      <c r="AB647" s="54">
        <v>54.677700000000002</v>
      </c>
      <c r="AC647" s="54">
        <v>2.6760250000000001</v>
      </c>
      <c r="AD647" s="36">
        <v>89.652800000000013</v>
      </c>
    </row>
    <row r="648" spans="1:30" s="37" customFormat="1" ht="15.75" customHeight="1" x14ac:dyDescent="0.2">
      <c r="A648" s="26">
        <v>3063</v>
      </c>
      <c r="B648" s="27" t="s">
        <v>1391</v>
      </c>
      <c r="C648" s="27" t="s">
        <v>116</v>
      </c>
      <c r="D648" s="28">
        <v>7.0000000000000007E-2</v>
      </c>
      <c r="E648" s="29">
        <v>8.33</v>
      </c>
      <c r="F648" s="29">
        <v>1.99</v>
      </c>
      <c r="G648" s="30" t="s">
        <v>39</v>
      </c>
      <c r="H648" s="27" t="s">
        <v>40</v>
      </c>
      <c r="I648" s="27" t="s">
        <v>41</v>
      </c>
      <c r="J648" s="27" t="s">
        <v>42</v>
      </c>
      <c r="K648" s="27" t="s">
        <v>43</v>
      </c>
      <c r="L648" s="31" t="s">
        <v>1174</v>
      </c>
      <c r="M648" s="32">
        <v>0.52</v>
      </c>
      <c r="N648" s="27" t="s">
        <v>33</v>
      </c>
      <c r="O648" s="27" t="s">
        <v>60</v>
      </c>
      <c r="P648" s="27" t="s">
        <v>67</v>
      </c>
      <c r="Q648" s="27" t="s">
        <v>1392</v>
      </c>
      <c r="R648" s="33">
        <v>98034</v>
      </c>
      <c r="S648" s="34">
        <v>42061</v>
      </c>
      <c r="T648" s="34">
        <v>42063</v>
      </c>
      <c r="U648" s="29">
        <v>11.95</v>
      </c>
      <c r="V648" s="26">
        <v>6</v>
      </c>
      <c r="W648" s="29">
        <v>50.28</v>
      </c>
      <c r="X648" s="26">
        <v>88447</v>
      </c>
      <c r="Y648" s="35">
        <v>6.78</v>
      </c>
      <c r="Z648" s="1" t="s">
        <v>3013</v>
      </c>
      <c r="AA648" s="36">
        <v>3.4986000000000006</v>
      </c>
      <c r="AB648" s="54">
        <v>24.134399999999999</v>
      </c>
      <c r="AC648" s="54">
        <v>4.3576000000000006</v>
      </c>
      <c r="AD648" s="36">
        <v>32.8414</v>
      </c>
    </row>
    <row r="649" spans="1:30" s="37" customFormat="1" ht="15.75" customHeight="1" x14ac:dyDescent="0.2">
      <c r="A649" s="26">
        <v>2979</v>
      </c>
      <c r="B649" s="27" t="s">
        <v>818</v>
      </c>
      <c r="C649" s="27" t="s">
        <v>26</v>
      </c>
      <c r="D649" s="28">
        <v>0.02</v>
      </c>
      <c r="E649" s="29">
        <v>5.34</v>
      </c>
      <c r="F649" s="29">
        <v>2.99</v>
      </c>
      <c r="G649" s="30" t="s">
        <v>39</v>
      </c>
      <c r="H649" s="27" t="s">
        <v>94</v>
      </c>
      <c r="I649" s="27" t="s">
        <v>49</v>
      </c>
      <c r="J649" s="27" t="s">
        <v>72</v>
      </c>
      <c r="K649" s="27" t="s">
        <v>73</v>
      </c>
      <c r="L649" s="31" t="s">
        <v>1378</v>
      </c>
      <c r="M649" s="32">
        <v>0.38</v>
      </c>
      <c r="N649" s="27" t="s">
        <v>33</v>
      </c>
      <c r="O649" s="27" t="s">
        <v>53</v>
      </c>
      <c r="P649" s="27" t="s">
        <v>565</v>
      </c>
      <c r="Q649" s="27" t="s">
        <v>820</v>
      </c>
      <c r="R649" s="33">
        <v>58601</v>
      </c>
      <c r="S649" s="34">
        <v>42061</v>
      </c>
      <c r="T649" s="34">
        <v>42063</v>
      </c>
      <c r="U649" s="29">
        <v>5.2954999999999997</v>
      </c>
      <c r="V649" s="26">
        <v>6</v>
      </c>
      <c r="W649" s="29">
        <v>34.729999999999997</v>
      </c>
      <c r="X649" s="26">
        <v>86545</v>
      </c>
      <c r="Y649" s="35">
        <v>195.93</v>
      </c>
      <c r="Z649" s="1" t="s">
        <v>3012</v>
      </c>
      <c r="AA649" s="36">
        <v>0.64080000000000004</v>
      </c>
      <c r="AB649" s="54">
        <v>21.532599999999999</v>
      </c>
      <c r="AC649" s="54">
        <v>2.1995666666666667</v>
      </c>
      <c r="AD649" s="36">
        <v>25.803699999999999</v>
      </c>
    </row>
    <row r="650" spans="1:30" s="37" customFormat="1" ht="15.75" customHeight="1" x14ac:dyDescent="0.2">
      <c r="A650" s="26">
        <v>621</v>
      </c>
      <c r="B650" s="27" t="s">
        <v>1388</v>
      </c>
      <c r="C650" s="27" t="s">
        <v>116</v>
      </c>
      <c r="D650" s="28">
        <v>0.1</v>
      </c>
      <c r="E650" s="29">
        <v>6.88</v>
      </c>
      <c r="F650" s="29">
        <v>2</v>
      </c>
      <c r="G650" s="30" t="s">
        <v>39</v>
      </c>
      <c r="H650" s="27" t="s">
        <v>71</v>
      </c>
      <c r="I650" s="27" t="s">
        <v>49</v>
      </c>
      <c r="J650" s="27" t="s">
        <v>88</v>
      </c>
      <c r="K650" s="27" t="s">
        <v>51</v>
      </c>
      <c r="L650" s="31" t="s">
        <v>852</v>
      </c>
      <c r="M650" s="32">
        <v>0.39</v>
      </c>
      <c r="N650" s="27" t="s">
        <v>33</v>
      </c>
      <c r="O650" s="27" t="s">
        <v>111</v>
      </c>
      <c r="P650" s="27" t="s">
        <v>248</v>
      </c>
      <c r="Q650" s="27" t="s">
        <v>1389</v>
      </c>
      <c r="R650" s="33">
        <v>6111</v>
      </c>
      <c r="S650" s="34">
        <v>42061</v>
      </c>
      <c r="T650" s="34">
        <v>42062</v>
      </c>
      <c r="U650" s="29">
        <v>18.420000000000002</v>
      </c>
      <c r="V650" s="26">
        <v>5</v>
      </c>
      <c r="W650" s="29">
        <v>31.46</v>
      </c>
      <c r="X650" s="26">
        <v>91432</v>
      </c>
      <c r="Y650" s="35">
        <v>8.26</v>
      </c>
      <c r="Z650" s="1" t="s">
        <v>3014</v>
      </c>
      <c r="AA650" s="36">
        <v>3.4400000000000004</v>
      </c>
      <c r="AB650" s="54">
        <v>19.1906</v>
      </c>
      <c r="AC650" s="54">
        <v>2.4538799999999998</v>
      </c>
      <c r="AD650" s="36">
        <v>7.5999999999999979</v>
      </c>
    </row>
    <row r="651" spans="1:30" s="37" customFormat="1" ht="15.75" customHeight="1" x14ac:dyDescent="0.2">
      <c r="A651" s="26">
        <v>1665</v>
      </c>
      <c r="B651" s="27" t="s">
        <v>1383</v>
      </c>
      <c r="C651" s="27" t="s">
        <v>38</v>
      </c>
      <c r="D651" s="28">
        <v>0.1</v>
      </c>
      <c r="E651" s="29">
        <v>3.6</v>
      </c>
      <c r="F651" s="29">
        <v>2.2000000000000002</v>
      </c>
      <c r="G651" s="30" t="s">
        <v>39</v>
      </c>
      <c r="H651" s="27" t="s">
        <v>40</v>
      </c>
      <c r="I651" s="27" t="s">
        <v>49</v>
      </c>
      <c r="J651" s="27" t="s">
        <v>88</v>
      </c>
      <c r="K651" s="27" t="s">
        <v>51</v>
      </c>
      <c r="L651" s="31" t="s">
        <v>1384</v>
      </c>
      <c r="M651" s="32">
        <v>0.39</v>
      </c>
      <c r="N651" s="27" t="s">
        <v>33</v>
      </c>
      <c r="O651" s="27" t="s">
        <v>60</v>
      </c>
      <c r="P651" s="27" t="s">
        <v>90</v>
      </c>
      <c r="Q651" s="27" t="s">
        <v>1385</v>
      </c>
      <c r="R651" s="33">
        <v>92653</v>
      </c>
      <c r="S651" s="34">
        <v>42061</v>
      </c>
      <c r="T651" s="34">
        <v>42062</v>
      </c>
      <c r="U651" s="29">
        <v>-8.2799999999999994</v>
      </c>
      <c r="V651" s="26">
        <v>2</v>
      </c>
      <c r="W651" s="29">
        <v>6.97</v>
      </c>
      <c r="X651" s="26">
        <v>90678</v>
      </c>
      <c r="Y651" s="35">
        <v>499.96000000000004</v>
      </c>
      <c r="Z651" s="1" t="s">
        <v>3013</v>
      </c>
      <c r="AA651" s="36">
        <v>0.72000000000000008</v>
      </c>
      <c r="AB651" s="54">
        <v>4.2516999999999996</v>
      </c>
      <c r="AC651" s="54">
        <v>1.3591500000000001</v>
      </c>
      <c r="AD651" s="36">
        <v>12.329999999999998</v>
      </c>
    </row>
    <row r="652" spans="1:30" s="37" customFormat="1" ht="15.75" customHeight="1" x14ac:dyDescent="0.2">
      <c r="A652" s="26">
        <v>1005</v>
      </c>
      <c r="B652" s="27" t="s">
        <v>1397</v>
      </c>
      <c r="C652" s="27" t="s">
        <v>38</v>
      </c>
      <c r="D652" s="28">
        <v>0.02</v>
      </c>
      <c r="E652" s="29">
        <v>40.99</v>
      </c>
      <c r="F652" s="29">
        <v>17.48</v>
      </c>
      <c r="G652" s="30" t="s">
        <v>39</v>
      </c>
      <c r="H652" s="27" t="s">
        <v>3095</v>
      </c>
      <c r="I652" s="27" t="s">
        <v>49</v>
      </c>
      <c r="J652" s="27" t="s">
        <v>88</v>
      </c>
      <c r="K652" s="27" t="s">
        <v>73</v>
      </c>
      <c r="L652" s="31" t="s">
        <v>1398</v>
      </c>
      <c r="M652" s="32">
        <v>0.36</v>
      </c>
      <c r="N652" s="27" t="s">
        <v>33</v>
      </c>
      <c r="O652" s="27" t="s">
        <v>53</v>
      </c>
      <c r="P652" s="27" t="s">
        <v>103</v>
      </c>
      <c r="Q652" s="27" t="s">
        <v>1399</v>
      </c>
      <c r="R652" s="33">
        <v>60089</v>
      </c>
      <c r="S652" s="34">
        <v>42062</v>
      </c>
      <c r="T652" s="34">
        <v>42063</v>
      </c>
      <c r="U652" s="29">
        <v>551.09280000000001</v>
      </c>
      <c r="V652" s="26">
        <v>23</v>
      </c>
      <c r="W652" s="29">
        <v>950.43</v>
      </c>
      <c r="X652" s="26">
        <v>90044</v>
      </c>
      <c r="Y652" s="35">
        <v>11.96</v>
      </c>
      <c r="Z652" s="1" t="s">
        <v>3012</v>
      </c>
      <c r="AA652" s="36">
        <v>18.855400000000003</v>
      </c>
      <c r="AB652" s="54">
        <v>608.27519999999993</v>
      </c>
      <c r="AC652" s="54">
        <v>14.87629565217391</v>
      </c>
      <c r="AD652" s="36">
        <v>363.00179999999989</v>
      </c>
    </row>
    <row r="653" spans="1:30" s="37" customFormat="1" ht="15.75" customHeight="1" x14ac:dyDescent="0.2">
      <c r="A653" s="26">
        <v>1754</v>
      </c>
      <c r="B653" s="27" t="s">
        <v>1405</v>
      </c>
      <c r="C653" s="27" t="s">
        <v>48</v>
      </c>
      <c r="D653" s="28">
        <v>0.09</v>
      </c>
      <c r="E653" s="29">
        <v>95.99</v>
      </c>
      <c r="F653" s="29">
        <v>8.99</v>
      </c>
      <c r="G653" s="30" t="s">
        <v>39</v>
      </c>
      <c r="H653" s="27" t="s">
        <v>40</v>
      </c>
      <c r="I653" s="27" t="s">
        <v>41</v>
      </c>
      <c r="J653" s="27" t="s">
        <v>135</v>
      </c>
      <c r="K653" s="27" t="s">
        <v>73</v>
      </c>
      <c r="L653" s="31" t="s">
        <v>1408</v>
      </c>
      <c r="M653" s="32">
        <v>0.56999999999999995</v>
      </c>
      <c r="N653" s="27" t="s">
        <v>33</v>
      </c>
      <c r="O653" s="27" t="s">
        <v>60</v>
      </c>
      <c r="P653" s="27" t="s">
        <v>90</v>
      </c>
      <c r="Q653" s="27" t="s">
        <v>1407</v>
      </c>
      <c r="R653" s="33">
        <v>90503</v>
      </c>
      <c r="S653" s="34">
        <v>42062</v>
      </c>
      <c r="T653" s="34">
        <v>42066</v>
      </c>
      <c r="U653" s="29">
        <v>7.0329600000000001</v>
      </c>
      <c r="V653" s="26">
        <v>8</v>
      </c>
      <c r="W653" s="29">
        <v>627.28</v>
      </c>
      <c r="X653" s="26">
        <v>90178</v>
      </c>
      <c r="Y653" s="35">
        <v>40.97</v>
      </c>
      <c r="Z653" s="1" t="s">
        <v>3013</v>
      </c>
      <c r="AA653" s="36">
        <v>69.112799999999993</v>
      </c>
      <c r="AB653" s="54">
        <v>269.73040000000003</v>
      </c>
      <c r="AC653" s="54">
        <v>44.693699999999993</v>
      </c>
      <c r="AD653" s="36">
        <v>542.14423999999997</v>
      </c>
    </row>
    <row r="654" spans="1:30" s="37" customFormat="1" ht="15.75" customHeight="1" x14ac:dyDescent="0.2">
      <c r="A654" s="26">
        <v>1044</v>
      </c>
      <c r="B654" s="27" t="s">
        <v>1400</v>
      </c>
      <c r="C654" s="27" t="s">
        <v>38</v>
      </c>
      <c r="D654" s="28">
        <v>0</v>
      </c>
      <c r="E654" s="29">
        <v>6.68</v>
      </c>
      <c r="F654" s="29">
        <v>5.66</v>
      </c>
      <c r="G654" s="30" t="s">
        <v>39</v>
      </c>
      <c r="H654" s="27" t="s">
        <v>71</v>
      </c>
      <c r="I654" s="27" t="s">
        <v>49</v>
      </c>
      <c r="J654" s="27" t="s">
        <v>88</v>
      </c>
      <c r="K654" s="27" t="s">
        <v>73</v>
      </c>
      <c r="L654" s="31" t="s">
        <v>1050</v>
      </c>
      <c r="M654" s="32">
        <v>0.37</v>
      </c>
      <c r="N654" s="27" t="s">
        <v>33</v>
      </c>
      <c r="O654" s="27" t="s">
        <v>60</v>
      </c>
      <c r="P654" s="27" t="s">
        <v>90</v>
      </c>
      <c r="Q654" s="27" t="s">
        <v>100</v>
      </c>
      <c r="R654" s="33">
        <v>90004</v>
      </c>
      <c r="S654" s="34">
        <v>42062</v>
      </c>
      <c r="T654" s="34">
        <v>42063</v>
      </c>
      <c r="U654" s="29">
        <v>-76.94</v>
      </c>
      <c r="V654" s="26">
        <v>90</v>
      </c>
      <c r="W654" s="29">
        <v>617.4</v>
      </c>
      <c r="X654" s="26">
        <v>47813</v>
      </c>
      <c r="Y654" s="35">
        <v>6.68</v>
      </c>
      <c r="Z654" s="1" t="s">
        <v>3013</v>
      </c>
      <c r="AA654" s="36">
        <v>0</v>
      </c>
      <c r="AB654" s="54">
        <v>388.96199999999999</v>
      </c>
      <c r="AC654" s="54">
        <v>2.5381999999999998</v>
      </c>
      <c r="AD654" s="36">
        <v>688.68</v>
      </c>
    </row>
    <row r="655" spans="1:30" s="37" customFormat="1" ht="15.75" customHeight="1" x14ac:dyDescent="0.2">
      <c r="A655" s="26">
        <v>2466</v>
      </c>
      <c r="B655" s="27" t="s">
        <v>1409</v>
      </c>
      <c r="C655" s="27" t="s">
        <v>116</v>
      </c>
      <c r="D655" s="28">
        <v>0.02</v>
      </c>
      <c r="E655" s="29">
        <v>53.98</v>
      </c>
      <c r="F655" s="29">
        <v>5.5</v>
      </c>
      <c r="G655" s="30" t="s">
        <v>87</v>
      </c>
      <c r="H655" s="27" t="s">
        <v>94</v>
      </c>
      <c r="I655" s="27" t="s">
        <v>41</v>
      </c>
      <c r="J655" s="27" t="s">
        <v>42</v>
      </c>
      <c r="K655" s="27" t="s">
        <v>73</v>
      </c>
      <c r="L655" s="31" t="s">
        <v>1412</v>
      </c>
      <c r="M655" s="32">
        <v>0.62</v>
      </c>
      <c r="N655" s="27" t="s">
        <v>33</v>
      </c>
      <c r="O655" s="27" t="s">
        <v>53</v>
      </c>
      <c r="P655" s="27" t="s">
        <v>289</v>
      </c>
      <c r="Q655" s="27" t="s">
        <v>1411</v>
      </c>
      <c r="R655" s="33">
        <v>49783</v>
      </c>
      <c r="S655" s="34">
        <v>42062</v>
      </c>
      <c r="T655" s="34">
        <v>42063</v>
      </c>
      <c r="U655" s="29">
        <v>101.97199999999999</v>
      </c>
      <c r="V655" s="26">
        <v>8</v>
      </c>
      <c r="W655" s="29">
        <v>438.33</v>
      </c>
      <c r="X655" s="26">
        <v>88136</v>
      </c>
      <c r="Y655" s="35">
        <v>6.68</v>
      </c>
      <c r="Z655" s="1" t="s">
        <v>3012</v>
      </c>
      <c r="AA655" s="36">
        <v>8.6367999999999991</v>
      </c>
      <c r="AB655" s="54">
        <v>166.56539999999998</v>
      </c>
      <c r="AC655" s="54">
        <v>33.970574999999997</v>
      </c>
      <c r="AD655" s="36">
        <v>322.22120000000001</v>
      </c>
    </row>
    <row r="656" spans="1:30" s="37" customFormat="1" ht="15.75" customHeight="1" x14ac:dyDescent="0.2">
      <c r="A656" s="26">
        <v>751</v>
      </c>
      <c r="B656" s="27" t="s">
        <v>1402</v>
      </c>
      <c r="C656" s="27" t="s">
        <v>48</v>
      </c>
      <c r="D656" s="28">
        <v>0.06</v>
      </c>
      <c r="E656" s="29">
        <v>130.97999999999999</v>
      </c>
      <c r="F656" s="29">
        <v>54.74</v>
      </c>
      <c r="G656" s="30" t="s">
        <v>27</v>
      </c>
      <c r="H656" s="27" t="s">
        <v>94</v>
      </c>
      <c r="I656" s="27" t="s">
        <v>29</v>
      </c>
      <c r="J656" s="27" t="s">
        <v>117</v>
      </c>
      <c r="K656" s="27" t="s">
        <v>31</v>
      </c>
      <c r="L656" s="31" t="s">
        <v>1403</v>
      </c>
      <c r="M656" s="32">
        <v>0.69</v>
      </c>
      <c r="N656" s="27" t="s">
        <v>33</v>
      </c>
      <c r="O656" s="27" t="s">
        <v>34</v>
      </c>
      <c r="P656" s="27" t="s">
        <v>388</v>
      </c>
      <c r="Q656" s="27" t="s">
        <v>1404</v>
      </c>
      <c r="R656" s="33">
        <v>40324</v>
      </c>
      <c r="S656" s="34">
        <v>42062</v>
      </c>
      <c r="T656" s="34">
        <v>42069</v>
      </c>
      <c r="U656" s="29">
        <v>14.76</v>
      </c>
      <c r="V656" s="26">
        <v>3</v>
      </c>
      <c r="W656" s="29">
        <v>411.64</v>
      </c>
      <c r="X656" s="26">
        <v>91201</v>
      </c>
      <c r="Y656" s="35">
        <v>130.91999999999999</v>
      </c>
      <c r="Z656" s="1" t="s">
        <v>3011</v>
      </c>
      <c r="AA656" s="36">
        <v>23.576399999999996</v>
      </c>
      <c r="AB656" s="54">
        <v>127.60840000000002</v>
      </c>
      <c r="AC656" s="54">
        <v>94.677199999999999</v>
      </c>
      <c r="AD656" s="36">
        <v>318.56360000000001</v>
      </c>
    </row>
    <row r="657" spans="1:30" s="37" customFormat="1" ht="15.75" customHeight="1" x14ac:dyDescent="0.2">
      <c r="A657" s="26">
        <v>1047</v>
      </c>
      <c r="B657" s="27" t="s">
        <v>1401</v>
      </c>
      <c r="C657" s="27" t="s">
        <v>38</v>
      </c>
      <c r="D657" s="28">
        <v>0</v>
      </c>
      <c r="E657" s="29">
        <v>6.68</v>
      </c>
      <c r="F657" s="29">
        <v>5.66</v>
      </c>
      <c r="G657" s="30" t="s">
        <v>39</v>
      </c>
      <c r="H657" s="27" t="s">
        <v>71</v>
      </c>
      <c r="I657" s="27" t="s">
        <v>49</v>
      </c>
      <c r="J657" s="27" t="s">
        <v>88</v>
      </c>
      <c r="K657" s="27" t="s">
        <v>73</v>
      </c>
      <c r="L657" s="31" t="s">
        <v>1050</v>
      </c>
      <c r="M657" s="32">
        <v>0.37</v>
      </c>
      <c r="N657" s="27" t="s">
        <v>33</v>
      </c>
      <c r="O657" s="27" t="s">
        <v>111</v>
      </c>
      <c r="P657" s="27" t="s">
        <v>403</v>
      </c>
      <c r="Q657" s="27" t="s">
        <v>788</v>
      </c>
      <c r="R657" s="33">
        <v>2109</v>
      </c>
      <c r="S657" s="34">
        <v>42062</v>
      </c>
      <c r="T657" s="34">
        <v>42063</v>
      </c>
      <c r="U657" s="29">
        <v>-40.008800000000001</v>
      </c>
      <c r="V657" s="26">
        <v>23</v>
      </c>
      <c r="W657" s="29">
        <v>157.78</v>
      </c>
      <c r="X657" s="26">
        <v>89389</v>
      </c>
      <c r="Y657" s="35">
        <v>8.4600000000000009</v>
      </c>
      <c r="Z657" s="1" t="s">
        <v>3014</v>
      </c>
      <c r="AA657" s="36">
        <v>0</v>
      </c>
      <c r="AB657" s="54">
        <v>99.401399999999995</v>
      </c>
      <c r="AC657" s="54">
        <v>2.5382000000000002</v>
      </c>
      <c r="AD657" s="36">
        <v>192.12880000000001</v>
      </c>
    </row>
    <row r="658" spans="1:30" s="37" customFormat="1" ht="15.75" customHeight="1" x14ac:dyDescent="0.2">
      <c r="A658" s="26">
        <v>1754</v>
      </c>
      <c r="B658" s="27" t="s">
        <v>1405</v>
      </c>
      <c r="C658" s="27" t="s">
        <v>48</v>
      </c>
      <c r="D658" s="28">
        <v>0.04</v>
      </c>
      <c r="E658" s="29">
        <v>8.5</v>
      </c>
      <c r="F658" s="29">
        <v>1.99</v>
      </c>
      <c r="G658" s="30" t="s">
        <v>39</v>
      </c>
      <c r="H658" s="27" t="s">
        <v>40</v>
      </c>
      <c r="I658" s="27" t="s">
        <v>41</v>
      </c>
      <c r="J658" s="27" t="s">
        <v>42</v>
      </c>
      <c r="K658" s="27" t="s">
        <v>43</v>
      </c>
      <c r="L658" s="31" t="s">
        <v>1406</v>
      </c>
      <c r="M658" s="32">
        <v>0.49</v>
      </c>
      <c r="N658" s="27" t="s">
        <v>33</v>
      </c>
      <c r="O658" s="27" t="s">
        <v>60</v>
      </c>
      <c r="P658" s="27" t="s">
        <v>90</v>
      </c>
      <c r="Q658" s="27" t="s">
        <v>1407</v>
      </c>
      <c r="R658" s="33">
        <v>90503</v>
      </c>
      <c r="S658" s="34">
        <v>42062</v>
      </c>
      <c r="T658" s="34">
        <v>42063</v>
      </c>
      <c r="U658" s="29">
        <v>43.275199999999998</v>
      </c>
      <c r="V658" s="26">
        <v>14</v>
      </c>
      <c r="W658" s="29">
        <v>118.57</v>
      </c>
      <c r="X658" s="26">
        <v>90178</v>
      </c>
      <c r="Y658" s="35">
        <v>15.89</v>
      </c>
      <c r="Z658" s="1" t="s">
        <v>3013</v>
      </c>
      <c r="AA658" s="36">
        <v>4.7600000000000007</v>
      </c>
      <c r="AB658" s="54">
        <v>60.470700000000001</v>
      </c>
      <c r="AC658" s="54">
        <v>4.1499499999999996</v>
      </c>
      <c r="AD658" s="36">
        <v>68.544799999999995</v>
      </c>
    </row>
    <row r="659" spans="1:30" s="37" customFormat="1" ht="15.75" customHeight="1" x14ac:dyDescent="0.2">
      <c r="A659" s="26">
        <v>1916</v>
      </c>
      <c r="B659" s="27" t="s">
        <v>1394</v>
      </c>
      <c r="C659" s="27" t="s">
        <v>26</v>
      </c>
      <c r="D659" s="28">
        <v>0.03</v>
      </c>
      <c r="E659" s="29">
        <v>11.99</v>
      </c>
      <c r="F659" s="29">
        <v>5.99</v>
      </c>
      <c r="G659" s="30" t="s">
        <v>39</v>
      </c>
      <c r="H659" s="27" t="s">
        <v>71</v>
      </c>
      <c r="I659" s="27" t="s">
        <v>41</v>
      </c>
      <c r="J659" s="27" t="s">
        <v>57</v>
      </c>
      <c r="K659" s="27" t="s">
        <v>144</v>
      </c>
      <c r="L659" s="31" t="s">
        <v>1395</v>
      </c>
      <c r="M659" s="32">
        <v>0.36</v>
      </c>
      <c r="N659" s="27" t="s">
        <v>33</v>
      </c>
      <c r="O659" s="27" t="s">
        <v>34</v>
      </c>
      <c r="P659" s="27" t="s">
        <v>45</v>
      </c>
      <c r="Q659" s="27" t="s">
        <v>1396</v>
      </c>
      <c r="R659" s="33">
        <v>72209</v>
      </c>
      <c r="S659" s="34">
        <v>42062</v>
      </c>
      <c r="T659" s="34">
        <v>42063</v>
      </c>
      <c r="U659" s="29">
        <v>-216.02979999999999</v>
      </c>
      <c r="V659" s="26">
        <v>7</v>
      </c>
      <c r="W659" s="29">
        <v>83.72</v>
      </c>
      <c r="X659" s="26">
        <v>85893</v>
      </c>
      <c r="Y659" s="35">
        <v>95.899999999999991</v>
      </c>
      <c r="Z659" s="1" t="s">
        <v>3011</v>
      </c>
      <c r="AA659" s="36">
        <v>2.5179</v>
      </c>
      <c r="AB659" s="54">
        <v>53.580800000000004</v>
      </c>
      <c r="AC659" s="54">
        <v>4.3055999999999992</v>
      </c>
      <c r="AD659" s="36">
        <v>291.24189999999999</v>
      </c>
    </row>
    <row r="660" spans="1:30" s="37" customFormat="1" ht="15.75" customHeight="1" x14ac:dyDescent="0.2">
      <c r="A660" s="26">
        <v>1754</v>
      </c>
      <c r="B660" s="27" t="s">
        <v>1405</v>
      </c>
      <c r="C660" s="27" t="s">
        <v>48</v>
      </c>
      <c r="D660" s="28">
        <v>0.1</v>
      </c>
      <c r="E660" s="29">
        <v>15.99</v>
      </c>
      <c r="F660" s="29">
        <v>9.4</v>
      </c>
      <c r="G660" s="30" t="s">
        <v>39</v>
      </c>
      <c r="H660" s="27" t="s">
        <v>40</v>
      </c>
      <c r="I660" s="27" t="s">
        <v>41</v>
      </c>
      <c r="J660" s="27" t="s">
        <v>57</v>
      </c>
      <c r="K660" s="27" t="s">
        <v>73</v>
      </c>
      <c r="L660" s="31" t="s">
        <v>628</v>
      </c>
      <c r="M660" s="32">
        <v>0.49</v>
      </c>
      <c r="N660" s="27" t="s">
        <v>33</v>
      </c>
      <c r="O660" s="27" t="s">
        <v>60</v>
      </c>
      <c r="P660" s="27" t="s">
        <v>90</v>
      </c>
      <c r="Q660" s="27" t="s">
        <v>1407</v>
      </c>
      <c r="R660" s="33">
        <v>90503</v>
      </c>
      <c r="S660" s="34">
        <v>42062</v>
      </c>
      <c r="T660" s="34">
        <v>42062</v>
      </c>
      <c r="U660" s="29">
        <v>-36.214619999999996</v>
      </c>
      <c r="V660" s="26">
        <v>5</v>
      </c>
      <c r="W660" s="29">
        <v>79.47</v>
      </c>
      <c r="X660" s="26">
        <v>90178</v>
      </c>
      <c r="Y660" s="35">
        <v>2.04</v>
      </c>
      <c r="Z660" s="1" t="s">
        <v>3013</v>
      </c>
      <c r="AA660" s="36">
        <v>7.995000000000001</v>
      </c>
      <c r="AB660" s="54">
        <v>40.529699999999998</v>
      </c>
      <c r="AC660" s="54">
        <v>7.7880599999999998</v>
      </c>
      <c r="AD660" s="36">
        <v>98.289619999999999</v>
      </c>
    </row>
    <row r="661" spans="1:30" s="37" customFormat="1" ht="15.75" customHeight="1" x14ac:dyDescent="0.2">
      <c r="A661" s="26">
        <v>2466</v>
      </c>
      <c r="B661" s="27" t="s">
        <v>1409</v>
      </c>
      <c r="C661" s="27" t="s">
        <v>116</v>
      </c>
      <c r="D661" s="28">
        <v>0.05</v>
      </c>
      <c r="E661" s="29">
        <v>4.9800000000000004</v>
      </c>
      <c r="F661" s="29">
        <v>5.0199999999999996</v>
      </c>
      <c r="G661" s="30" t="s">
        <v>39</v>
      </c>
      <c r="H661" s="27" t="s">
        <v>94</v>
      </c>
      <c r="I661" s="27" t="s">
        <v>49</v>
      </c>
      <c r="J661" s="27" t="s">
        <v>88</v>
      </c>
      <c r="K661" s="27" t="s">
        <v>73</v>
      </c>
      <c r="L661" s="31" t="s">
        <v>1413</v>
      </c>
      <c r="M661" s="32">
        <v>0.38</v>
      </c>
      <c r="N661" s="27" t="s">
        <v>33</v>
      </c>
      <c r="O661" s="27" t="s">
        <v>53</v>
      </c>
      <c r="P661" s="27" t="s">
        <v>289</v>
      </c>
      <c r="Q661" s="27" t="s">
        <v>1411</v>
      </c>
      <c r="R661" s="33">
        <v>49783</v>
      </c>
      <c r="S661" s="34">
        <v>42062</v>
      </c>
      <c r="T661" s="34">
        <v>42062</v>
      </c>
      <c r="U661" s="29">
        <v>-16.634799999999998</v>
      </c>
      <c r="V661" s="26">
        <v>7</v>
      </c>
      <c r="W661" s="29">
        <v>38.11</v>
      </c>
      <c r="X661" s="26">
        <v>88136</v>
      </c>
      <c r="Y661" s="35">
        <v>53.959999999999994</v>
      </c>
      <c r="Z661" s="1" t="s">
        <v>3012</v>
      </c>
      <c r="AA661" s="36">
        <v>1.7430000000000001</v>
      </c>
      <c r="AB661" s="54">
        <v>23.6282</v>
      </c>
      <c r="AC661" s="54">
        <v>2.0688285714285715</v>
      </c>
      <c r="AD661" s="36">
        <v>47.9818</v>
      </c>
    </row>
    <row r="662" spans="1:30" s="37" customFormat="1" ht="15.75" customHeight="1" x14ac:dyDescent="0.2">
      <c r="A662" s="26">
        <v>2466</v>
      </c>
      <c r="B662" s="27" t="s">
        <v>1409</v>
      </c>
      <c r="C662" s="27" t="s">
        <v>116</v>
      </c>
      <c r="D662" s="28">
        <v>0.04</v>
      </c>
      <c r="E662" s="29">
        <v>2.08</v>
      </c>
      <c r="F662" s="29">
        <v>1.49</v>
      </c>
      <c r="G662" s="30" t="s">
        <v>39</v>
      </c>
      <c r="H662" s="27" t="s">
        <v>94</v>
      </c>
      <c r="I662" s="27" t="s">
        <v>49</v>
      </c>
      <c r="J662" s="27" t="s">
        <v>72</v>
      </c>
      <c r="K662" s="27" t="s">
        <v>73</v>
      </c>
      <c r="L662" s="31" t="s">
        <v>1410</v>
      </c>
      <c r="M662" s="32">
        <v>0.36</v>
      </c>
      <c r="N662" s="27" t="s">
        <v>33</v>
      </c>
      <c r="O662" s="27" t="s">
        <v>53</v>
      </c>
      <c r="P662" s="27" t="s">
        <v>289</v>
      </c>
      <c r="Q662" s="27" t="s">
        <v>1411</v>
      </c>
      <c r="R662" s="33">
        <v>49783</v>
      </c>
      <c r="S662" s="34">
        <v>42062</v>
      </c>
      <c r="T662" s="34">
        <v>42063</v>
      </c>
      <c r="U662" s="29">
        <v>-3.71956</v>
      </c>
      <c r="V662" s="26">
        <v>7</v>
      </c>
      <c r="W662" s="29">
        <v>14.77</v>
      </c>
      <c r="X662" s="26">
        <v>88136</v>
      </c>
      <c r="Y662" s="35">
        <v>4.9300000000000006</v>
      </c>
      <c r="Z662" s="1" t="s">
        <v>3012</v>
      </c>
      <c r="AA662" s="36">
        <v>0.58240000000000003</v>
      </c>
      <c r="AB662" s="54">
        <v>9.4527999999999999</v>
      </c>
      <c r="AC662" s="54">
        <v>0.75959999999999994</v>
      </c>
      <c r="AD662" s="36">
        <v>16.417159999999999</v>
      </c>
    </row>
    <row r="663" spans="1:30" s="37" customFormat="1" ht="15.75" customHeight="1" x14ac:dyDescent="0.2">
      <c r="A663" s="26">
        <v>3355</v>
      </c>
      <c r="B663" s="27" t="s">
        <v>1422</v>
      </c>
      <c r="C663" s="27" t="s">
        <v>48</v>
      </c>
      <c r="D663" s="28">
        <v>0.1</v>
      </c>
      <c r="E663" s="29">
        <v>125.99</v>
      </c>
      <c r="F663" s="29">
        <v>4.2</v>
      </c>
      <c r="G663" s="30" t="s">
        <v>39</v>
      </c>
      <c r="H663" s="27" t="s">
        <v>94</v>
      </c>
      <c r="I663" s="27" t="s">
        <v>41</v>
      </c>
      <c r="J663" s="27" t="s">
        <v>135</v>
      </c>
      <c r="K663" s="27" t="s">
        <v>73</v>
      </c>
      <c r="L663" s="31" t="s">
        <v>1426</v>
      </c>
      <c r="M663" s="32">
        <v>0.59</v>
      </c>
      <c r="N663" s="27" t="s">
        <v>33</v>
      </c>
      <c r="O663" s="27" t="s">
        <v>60</v>
      </c>
      <c r="P663" s="27" t="s">
        <v>90</v>
      </c>
      <c r="Q663" s="27" t="s">
        <v>1424</v>
      </c>
      <c r="R663" s="33">
        <v>93010</v>
      </c>
      <c r="S663" s="34">
        <v>42063</v>
      </c>
      <c r="T663" s="34">
        <v>42063</v>
      </c>
      <c r="U663" s="29">
        <v>372.40199999999999</v>
      </c>
      <c r="V663" s="26">
        <v>7</v>
      </c>
      <c r="W663" s="29">
        <v>681.42</v>
      </c>
      <c r="X663" s="26">
        <v>88587</v>
      </c>
      <c r="Y663" s="35">
        <v>284.95000000000005</v>
      </c>
      <c r="Z663" s="1" t="s">
        <v>3013</v>
      </c>
      <c r="AA663" s="36">
        <v>88.192999999999998</v>
      </c>
      <c r="AB663" s="54">
        <v>279.38220000000001</v>
      </c>
      <c r="AC663" s="54">
        <v>57.433971428571425</v>
      </c>
      <c r="AD663" s="36">
        <v>216.625</v>
      </c>
    </row>
    <row r="664" spans="1:30" s="37" customFormat="1" ht="15.75" customHeight="1" x14ac:dyDescent="0.2">
      <c r="A664" s="26">
        <v>972</v>
      </c>
      <c r="B664" s="27" t="s">
        <v>1414</v>
      </c>
      <c r="C664" s="27" t="s">
        <v>48</v>
      </c>
      <c r="D664" s="28">
        <v>0.03</v>
      </c>
      <c r="E664" s="29">
        <v>284.98</v>
      </c>
      <c r="F664" s="29">
        <v>69.55</v>
      </c>
      <c r="G664" s="30" t="s">
        <v>27</v>
      </c>
      <c r="H664" s="27" t="s">
        <v>94</v>
      </c>
      <c r="I664" s="27" t="s">
        <v>29</v>
      </c>
      <c r="J664" s="27" t="s">
        <v>109</v>
      </c>
      <c r="K664" s="27" t="s">
        <v>58</v>
      </c>
      <c r="L664" s="31" t="s">
        <v>1415</v>
      </c>
      <c r="M664" s="32">
        <v>0.6</v>
      </c>
      <c r="N664" s="27" t="s">
        <v>33</v>
      </c>
      <c r="O664" s="27" t="s">
        <v>60</v>
      </c>
      <c r="P664" s="27" t="s">
        <v>90</v>
      </c>
      <c r="Q664" s="27" t="s">
        <v>1416</v>
      </c>
      <c r="R664" s="33">
        <v>92503</v>
      </c>
      <c r="S664" s="34">
        <v>42063</v>
      </c>
      <c r="T664" s="34">
        <v>42068</v>
      </c>
      <c r="U664" s="29">
        <v>-116.584</v>
      </c>
      <c r="V664" s="26">
        <v>2</v>
      </c>
      <c r="W664" s="29">
        <v>619.38</v>
      </c>
      <c r="X664" s="26">
        <v>87259</v>
      </c>
      <c r="Y664" s="35">
        <v>12.99</v>
      </c>
      <c r="Z664" s="1" t="s">
        <v>3013</v>
      </c>
      <c r="AA664" s="36">
        <v>17.098800000000001</v>
      </c>
      <c r="AB664" s="54">
        <v>247.75200000000001</v>
      </c>
      <c r="AC664" s="54">
        <v>185.81399999999999</v>
      </c>
      <c r="AD664" s="36">
        <v>649.3152</v>
      </c>
    </row>
    <row r="665" spans="1:30" s="37" customFormat="1" ht="15.75" customHeight="1" x14ac:dyDescent="0.2">
      <c r="A665" s="26">
        <v>2908</v>
      </c>
      <c r="B665" s="27" t="s">
        <v>325</v>
      </c>
      <c r="C665" s="27" t="s">
        <v>3094</v>
      </c>
      <c r="D665" s="28">
        <v>0.05</v>
      </c>
      <c r="E665" s="29">
        <v>34.979999999999997</v>
      </c>
      <c r="F665" s="29">
        <v>7.53</v>
      </c>
      <c r="G665" s="30" t="s">
        <v>87</v>
      </c>
      <c r="H665" s="27" t="s">
        <v>71</v>
      </c>
      <c r="I665" s="27" t="s">
        <v>41</v>
      </c>
      <c r="J665" s="27" t="s">
        <v>42</v>
      </c>
      <c r="K665" s="27" t="s">
        <v>73</v>
      </c>
      <c r="L665" s="31" t="s">
        <v>1439</v>
      </c>
      <c r="M665" s="32">
        <v>0.76</v>
      </c>
      <c r="N665" s="27" t="s">
        <v>33</v>
      </c>
      <c r="O665" s="27" t="s">
        <v>111</v>
      </c>
      <c r="P665" s="27" t="s">
        <v>317</v>
      </c>
      <c r="Q665" s="27" t="s">
        <v>327</v>
      </c>
      <c r="R665" s="33">
        <v>44125</v>
      </c>
      <c r="S665" s="34">
        <v>42063</v>
      </c>
      <c r="T665" s="34">
        <v>42066</v>
      </c>
      <c r="U665" s="29">
        <v>-32.666400000000003</v>
      </c>
      <c r="V665" s="26">
        <v>16</v>
      </c>
      <c r="W665" s="29">
        <v>581.08000000000004</v>
      </c>
      <c r="X665" s="26">
        <v>88157</v>
      </c>
      <c r="Y665" s="35">
        <v>14.11</v>
      </c>
      <c r="Z665" s="1" t="s">
        <v>3014</v>
      </c>
      <c r="AA665" s="36">
        <v>27.983999999999998</v>
      </c>
      <c r="AB665" s="54">
        <v>139.45920000000001</v>
      </c>
      <c r="AC665" s="54">
        <v>27.601300000000002</v>
      </c>
      <c r="AD665" s="36">
        <v>578.2324000000001</v>
      </c>
    </row>
    <row r="666" spans="1:30" s="37" customFormat="1" ht="15.75" customHeight="1" x14ac:dyDescent="0.2">
      <c r="A666" s="26">
        <v>3355</v>
      </c>
      <c r="B666" s="27" t="s">
        <v>1422</v>
      </c>
      <c r="C666" s="27" t="s">
        <v>48</v>
      </c>
      <c r="D666" s="28">
        <v>0.1</v>
      </c>
      <c r="E666" s="29">
        <v>120.98</v>
      </c>
      <c r="F666" s="29">
        <v>9.07</v>
      </c>
      <c r="G666" s="30" t="s">
        <v>39</v>
      </c>
      <c r="H666" s="27" t="s">
        <v>94</v>
      </c>
      <c r="I666" s="27" t="s">
        <v>49</v>
      </c>
      <c r="J666" s="27" t="s">
        <v>72</v>
      </c>
      <c r="K666" s="27" t="s">
        <v>73</v>
      </c>
      <c r="L666" s="31" t="s">
        <v>1423</v>
      </c>
      <c r="M666" s="32">
        <v>0.35</v>
      </c>
      <c r="N666" s="27" t="s">
        <v>33</v>
      </c>
      <c r="O666" s="27" t="s">
        <v>60</v>
      </c>
      <c r="P666" s="27" t="s">
        <v>90</v>
      </c>
      <c r="Q666" s="27" t="s">
        <v>1424</v>
      </c>
      <c r="R666" s="33">
        <v>93010</v>
      </c>
      <c r="S666" s="34">
        <v>42063</v>
      </c>
      <c r="T666" s="34">
        <v>42072</v>
      </c>
      <c r="U666" s="29">
        <v>379.3965</v>
      </c>
      <c r="V666" s="26">
        <v>5</v>
      </c>
      <c r="W666" s="29">
        <v>549.85</v>
      </c>
      <c r="X666" s="26">
        <v>88587</v>
      </c>
      <c r="Y666" s="35">
        <v>19.170000000000002</v>
      </c>
      <c r="Z666" s="1" t="s">
        <v>3013</v>
      </c>
      <c r="AA666" s="36">
        <v>60.49</v>
      </c>
      <c r="AB666" s="54">
        <v>357.40250000000003</v>
      </c>
      <c r="AC666" s="54">
        <v>38.4895</v>
      </c>
      <c r="AD666" s="36">
        <v>100.89350000000002</v>
      </c>
    </row>
    <row r="667" spans="1:30" s="37" customFormat="1" ht="15.75" customHeight="1" x14ac:dyDescent="0.2">
      <c r="A667" s="26">
        <v>719</v>
      </c>
      <c r="B667" s="27" t="s">
        <v>1435</v>
      </c>
      <c r="C667" s="27" t="s">
        <v>3094</v>
      </c>
      <c r="D667" s="28">
        <v>0.03</v>
      </c>
      <c r="E667" s="29">
        <v>95.43</v>
      </c>
      <c r="F667" s="29">
        <v>19.989999999999998</v>
      </c>
      <c r="G667" s="30" t="s">
        <v>39</v>
      </c>
      <c r="H667" s="27" t="s">
        <v>94</v>
      </c>
      <c r="I667" s="27" t="s">
        <v>49</v>
      </c>
      <c r="J667" s="27" t="s">
        <v>78</v>
      </c>
      <c r="K667" s="27" t="s">
        <v>73</v>
      </c>
      <c r="L667" s="31" t="s">
        <v>1437</v>
      </c>
      <c r="M667" s="32">
        <v>0.79</v>
      </c>
      <c r="N667" s="27" t="s">
        <v>33</v>
      </c>
      <c r="O667" s="27" t="s">
        <v>60</v>
      </c>
      <c r="P667" s="27" t="s">
        <v>296</v>
      </c>
      <c r="Q667" s="27" t="s">
        <v>1436</v>
      </c>
      <c r="R667" s="33">
        <v>89041</v>
      </c>
      <c r="S667" s="34">
        <v>42063</v>
      </c>
      <c r="T667" s="34">
        <v>42065</v>
      </c>
      <c r="U667" s="29">
        <v>-79.320800000000006</v>
      </c>
      <c r="V667" s="26">
        <v>2</v>
      </c>
      <c r="W667" s="29">
        <v>206.09</v>
      </c>
      <c r="X667" s="26">
        <v>89344</v>
      </c>
      <c r="Y667" s="35">
        <v>2.83</v>
      </c>
      <c r="Z667" s="1" t="s">
        <v>3013</v>
      </c>
      <c r="AA667" s="36">
        <v>5.7258000000000004</v>
      </c>
      <c r="AB667" s="54">
        <v>43.278899999999993</v>
      </c>
      <c r="AC667" s="54">
        <v>81.405550000000005</v>
      </c>
      <c r="AD667" s="36">
        <v>259.69499999999999</v>
      </c>
    </row>
    <row r="668" spans="1:30" s="37" customFormat="1" ht="15.75" customHeight="1" x14ac:dyDescent="0.2">
      <c r="A668" s="26">
        <v>2861</v>
      </c>
      <c r="B668" s="27" t="s">
        <v>1430</v>
      </c>
      <c r="C668" s="27" t="s">
        <v>116</v>
      </c>
      <c r="D668" s="28">
        <v>0.05</v>
      </c>
      <c r="E668" s="29">
        <v>20.99</v>
      </c>
      <c r="F668" s="29">
        <v>4.8099999999999996</v>
      </c>
      <c r="G668" s="30" t="s">
        <v>39</v>
      </c>
      <c r="H668" s="27" t="s">
        <v>94</v>
      </c>
      <c r="I668" s="27" t="s">
        <v>41</v>
      </c>
      <c r="J668" s="27" t="s">
        <v>135</v>
      </c>
      <c r="K668" s="27" t="s">
        <v>144</v>
      </c>
      <c r="L668" s="31" t="s">
        <v>1431</v>
      </c>
      <c r="M668" s="32">
        <v>0.57999999999999996</v>
      </c>
      <c r="N668" s="27" t="s">
        <v>33</v>
      </c>
      <c r="O668" s="27" t="s">
        <v>53</v>
      </c>
      <c r="P668" s="27" t="s">
        <v>537</v>
      </c>
      <c r="Q668" s="27" t="s">
        <v>1210</v>
      </c>
      <c r="R668" s="33">
        <v>67601</v>
      </c>
      <c r="S668" s="34">
        <v>42063</v>
      </c>
      <c r="T668" s="34">
        <v>42063</v>
      </c>
      <c r="U668" s="29">
        <v>4.9017600000000003</v>
      </c>
      <c r="V668" s="26">
        <v>11</v>
      </c>
      <c r="W668" s="29">
        <v>199.43</v>
      </c>
      <c r="X668" s="26">
        <v>88280</v>
      </c>
      <c r="Y668" s="35">
        <v>120.88000000000001</v>
      </c>
      <c r="Z668" s="1" t="s">
        <v>3012</v>
      </c>
      <c r="AA668" s="36">
        <v>11.544499999999999</v>
      </c>
      <c r="AB668" s="54">
        <v>83.760600000000011</v>
      </c>
      <c r="AC668" s="54">
        <v>10.515399999999998</v>
      </c>
      <c r="AD668" s="36">
        <v>178.17374000000001</v>
      </c>
    </row>
    <row r="669" spans="1:30" s="37" customFormat="1" ht="15.75" customHeight="1" x14ac:dyDescent="0.2">
      <c r="A669" s="26">
        <v>1482</v>
      </c>
      <c r="B669" s="27" t="s">
        <v>1438</v>
      </c>
      <c r="C669" s="27" t="s">
        <v>3094</v>
      </c>
      <c r="D669" s="28">
        <v>0.05</v>
      </c>
      <c r="E669" s="29">
        <v>9.65</v>
      </c>
      <c r="F669" s="29">
        <v>6.22</v>
      </c>
      <c r="G669" s="30" t="s">
        <v>39</v>
      </c>
      <c r="H669" s="27" t="s">
        <v>94</v>
      </c>
      <c r="I669" s="27" t="s">
        <v>29</v>
      </c>
      <c r="J669" s="27" t="s">
        <v>126</v>
      </c>
      <c r="K669" s="27" t="s">
        <v>73</v>
      </c>
      <c r="L669" s="31" t="s">
        <v>1281</v>
      </c>
      <c r="M669" s="32">
        <v>0.55000000000000004</v>
      </c>
      <c r="N669" s="27" t="s">
        <v>33</v>
      </c>
      <c r="O669" s="27" t="s">
        <v>53</v>
      </c>
      <c r="P669" s="27" t="s">
        <v>289</v>
      </c>
      <c r="Q669" s="27" t="s">
        <v>994</v>
      </c>
      <c r="R669" s="33">
        <v>48708</v>
      </c>
      <c r="S669" s="34">
        <v>42063</v>
      </c>
      <c r="T669" s="34">
        <v>42063</v>
      </c>
      <c r="U669" s="29">
        <v>-14.6432</v>
      </c>
      <c r="V669" s="26">
        <v>15</v>
      </c>
      <c r="W669" s="29">
        <v>151.34</v>
      </c>
      <c r="X669" s="26">
        <v>91363</v>
      </c>
      <c r="Y669" s="35">
        <v>8.24</v>
      </c>
      <c r="Z669" s="1" t="s">
        <v>3012</v>
      </c>
      <c r="AA669" s="36">
        <v>7.2375000000000007</v>
      </c>
      <c r="AB669" s="54">
        <v>68.102999999999994</v>
      </c>
      <c r="AC669" s="54">
        <v>5.5491333333333346</v>
      </c>
      <c r="AD669" s="36">
        <v>152.5257</v>
      </c>
    </row>
    <row r="670" spans="1:30" s="37" customFormat="1" ht="15.75" customHeight="1" x14ac:dyDescent="0.2">
      <c r="A670" s="26">
        <v>2931</v>
      </c>
      <c r="B670" s="27" t="s">
        <v>1441</v>
      </c>
      <c r="C670" s="27" t="s">
        <v>3094</v>
      </c>
      <c r="D670" s="28">
        <v>0.1</v>
      </c>
      <c r="E670" s="29">
        <v>11.55</v>
      </c>
      <c r="F670" s="29">
        <v>2.36</v>
      </c>
      <c r="G670" s="30" t="s">
        <v>39</v>
      </c>
      <c r="H670" s="27" t="s">
        <v>3095</v>
      </c>
      <c r="I670" s="27" t="s">
        <v>49</v>
      </c>
      <c r="J670" s="27" t="s">
        <v>50</v>
      </c>
      <c r="K670" s="27" t="s">
        <v>51</v>
      </c>
      <c r="L670" s="31" t="s">
        <v>380</v>
      </c>
      <c r="M670" s="32">
        <v>0.55000000000000004</v>
      </c>
      <c r="N670" s="27" t="s">
        <v>33</v>
      </c>
      <c r="O670" s="27" t="s">
        <v>60</v>
      </c>
      <c r="P670" s="27" t="s">
        <v>90</v>
      </c>
      <c r="Q670" s="27" t="s">
        <v>1442</v>
      </c>
      <c r="R670" s="33">
        <v>95630</v>
      </c>
      <c r="S670" s="34">
        <v>42063</v>
      </c>
      <c r="T670" s="34">
        <v>42063</v>
      </c>
      <c r="U670" s="29">
        <v>69.767200000000003</v>
      </c>
      <c r="V670" s="26">
        <v>12</v>
      </c>
      <c r="W670" s="29">
        <v>135.77000000000001</v>
      </c>
      <c r="X670" s="26">
        <v>87619</v>
      </c>
      <c r="Y670" s="35">
        <v>125.89</v>
      </c>
      <c r="Z670" s="1" t="s">
        <v>3013</v>
      </c>
      <c r="AA670" s="36">
        <v>13.86</v>
      </c>
      <c r="AB670" s="54">
        <v>61.096499999999999</v>
      </c>
      <c r="AC670" s="54">
        <v>6.2227916666666676</v>
      </c>
      <c r="AD670" s="36">
        <v>49.782800000000009</v>
      </c>
    </row>
    <row r="671" spans="1:30" s="37" customFormat="1" ht="15.75" customHeight="1" x14ac:dyDescent="0.2">
      <c r="A671" s="26">
        <v>2587</v>
      </c>
      <c r="B671" s="27" t="s">
        <v>1427</v>
      </c>
      <c r="C671" s="27" t="s">
        <v>116</v>
      </c>
      <c r="D671" s="28">
        <v>0.01</v>
      </c>
      <c r="E671" s="29">
        <v>6.48</v>
      </c>
      <c r="F671" s="29">
        <v>6.57</v>
      </c>
      <c r="G671" s="30" t="s">
        <v>87</v>
      </c>
      <c r="H671" s="27" t="s">
        <v>71</v>
      </c>
      <c r="I671" s="27" t="s">
        <v>49</v>
      </c>
      <c r="J671" s="27" t="s">
        <v>88</v>
      </c>
      <c r="K671" s="27" t="s">
        <v>73</v>
      </c>
      <c r="L671" s="31" t="s">
        <v>1428</v>
      </c>
      <c r="M671" s="32">
        <v>0.37</v>
      </c>
      <c r="N671" s="27" t="s">
        <v>33</v>
      </c>
      <c r="O671" s="27" t="s">
        <v>53</v>
      </c>
      <c r="P671" s="27" t="s">
        <v>357</v>
      </c>
      <c r="Q671" s="27" t="s">
        <v>1429</v>
      </c>
      <c r="R671" s="33">
        <v>54220</v>
      </c>
      <c r="S671" s="34">
        <v>42063</v>
      </c>
      <c r="T671" s="34">
        <v>42063</v>
      </c>
      <c r="U671" s="29">
        <v>-46.5244</v>
      </c>
      <c r="V671" s="26">
        <v>18</v>
      </c>
      <c r="W671" s="29">
        <v>127.83</v>
      </c>
      <c r="X671" s="26">
        <v>91166</v>
      </c>
      <c r="Y671" s="35">
        <v>6.4700000000000006</v>
      </c>
      <c r="Z671" s="1" t="s">
        <v>3012</v>
      </c>
      <c r="AA671" s="36">
        <v>1.1664000000000001</v>
      </c>
      <c r="AB671" s="54">
        <v>80.532899999999998</v>
      </c>
      <c r="AC671" s="54">
        <v>2.6276166666666665</v>
      </c>
      <c r="AD671" s="36">
        <v>166.61799999999999</v>
      </c>
    </row>
    <row r="672" spans="1:30" s="37" customFormat="1" ht="15.75" customHeight="1" x14ac:dyDescent="0.2">
      <c r="A672" s="26">
        <v>719</v>
      </c>
      <c r="B672" s="27" t="s">
        <v>1435</v>
      </c>
      <c r="C672" s="27" t="s">
        <v>3094</v>
      </c>
      <c r="D672" s="28">
        <v>0</v>
      </c>
      <c r="E672" s="29">
        <v>8.5</v>
      </c>
      <c r="F672" s="29">
        <v>1.99</v>
      </c>
      <c r="G672" s="30" t="s">
        <v>39</v>
      </c>
      <c r="H672" s="27" t="s">
        <v>94</v>
      </c>
      <c r="I672" s="27" t="s">
        <v>41</v>
      </c>
      <c r="J672" s="27" t="s">
        <v>42</v>
      </c>
      <c r="K672" s="27" t="s">
        <v>43</v>
      </c>
      <c r="L672" s="31" t="s">
        <v>1406</v>
      </c>
      <c r="M672" s="32">
        <v>0.49</v>
      </c>
      <c r="N672" s="27" t="s">
        <v>33</v>
      </c>
      <c r="O672" s="27" t="s">
        <v>60</v>
      </c>
      <c r="P672" s="27" t="s">
        <v>296</v>
      </c>
      <c r="Q672" s="27" t="s">
        <v>1436</v>
      </c>
      <c r="R672" s="33">
        <v>89041</v>
      </c>
      <c r="S672" s="34">
        <v>42063</v>
      </c>
      <c r="T672" s="34">
        <v>42065</v>
      </c>
      <c r="U672" s="29">
        <v>71.735600000000005</v>
      </c>
      <c r="V672" s="26">
        <v>14</v>
      </c>
      <c r="W672" s="29">
        <v>122.25</v>
      </c>
      <c r="X672" s="26">
        <v>89344</v>
      </c>
      <c r="Y672" s="35">
        <v>20.939999999999998</v>
      </c>
      <c r="Z672" s="1" t="s">
        <v>3013</v>
      </c>
      <c r="AA672" s="36">
        <v>0</v>
      </c>
      <c r="AB672" s="54">
        <v>62.347500000000004</v>
      </c>
      <c r="AC672" s="54">
        <v>4.2787500000000005</v>
      </c>
      <c r="AD672" s="36">
        <v>48.5244</v>
      </c>
    </row>
    <row r="673" spans="1:30" s="37" customFormat="1" ht="15.75" customHeight="1" x14ac:dyDescent="0.2">
      <c r="A673" s="26">
        <v>3151</v>
      </c>
      <c r="B673" s="27" t="s">
        <v>953</v>
      </c>
      <c r="C673" s="27" t="s">
        <v>116</v>
      </c>
      <c r="D673" s="28">
        <v>0.04</v>
      </c>
      <c r="E673" s="29">
        <v>17.239999999999998</v>
      </c>
      <c r="F673" s="29">
        <v>3.26</v>
      </c>
      <c r="G673" s="30" t="s">
        <v>39</v>
      </c>
      <c r="H673" s="27" t="s">
        <v>71</v>
      </c>
      <c r="I673" s="27" t="s">
        <v>49</v>
      </c>
      <c r="J673" s="27" t="s">
        <v>568</v>
      </c>
      <c r="K673" s="27" t="s">
        <v>43</v>
      </c>
      <c r="L673" s="31" t="s">
        <v>1434</v>
      </c>
      <c r="M673" s="32">
        <v>0.56000000000000005</v>
      </c>
      <c r="N673" s="27" t="s">
        <v>33</v>
      </c>
      <c r="O673" s="27" t="s">
        <v>60</v>
      </c>
      <c r="P673" s="27" t="s">
        <v>90</v>
      </c>
      <c r="Q673" s="27" t="s">
        <v>954</v>
      </c>
      <c r="R673" s="33">
        <v>92277</v>
      </c>
      <c r="S673" s="34">
        <v>42063</v>
      </c>
      <c r="T673" s="34">
        <v>42063</v>
      </c>
      <c r="U673" s="29">
        <v>47.73</v>
      </c>
      <c r="V673" s="26">
        <v>7</v>
      </c>
      <c r="W673" s="29">
        <v>119.6</v>
      </c>
      <c r="X673" s="26">
        <v>88546</v>
      </c>
      <c r="Y673" s="35">
        <v>6.37</v>
      </c>
      <c r="Z673" s="1" t="s">
        <v>3013</v>
      </c>
      <c r="AA673" s="36">
        <v>4.8271999999999995</v>
      </c>
      <c r="AB673" s="54">
        <v>52.623999999999988</v>
      </c>
      <c r="AC673" s="54">
        <v>9.5680000000000014</v>
      </c>
      <c r="AD673" s="36">
        <v>63.782800000000002</v>
      </c>
    </row>
    <row r="674" spans="1:30" s="37" customFormat="1" ht="15.75" customHeight="1" x14ac:dyDescent="0.2">
      <c r="A674" s="26">
        <v>2923</v>
      </c>
      <c r="B674" s="27" t="s">
        <v>1432</v>
      </c>
      <c r="C674" s="27" t="s">
        <v>116</v>
      </c>
      <c r="D674" s="28">
        <v>0</v>
      </c>
      <c r="E674" s="29">
        <v>6.37</v>
      </c>
      <c r="F674" s="29">
        <v>5.19</v>
      </c>
      <c r="G674" s="30" t="s">
        <v>39</v>
      </c>
      <c r="H674" s="27" t="s">
        <v>40</v>
      </c>
      <c r="I674" s="27" t="s">
        <v>49</v>
      </c>
      <c r="J674" s="27" t="s">
        <v>72</v>
      </c>
      <c r="K674" s="27" t="s">
        <v>73</v>
      </c>
      <c r="L674" s="31" t="s">
        <v>907</v>
      </c>
      <c r="M674" s="32">
        <v>0.38</v>
      </c>
      <c r="N674" s="27" t="s">
        <v>33</v>
      </c>
      <c r="O674" s="27" t="s">
        <v>111</v>
      </c>
      <c r="P674" s="27" t="s">
        <v>418</v>
      </c>
      <c r="Q674" s="27" t="s">
        <v>1433</v>
      </c>
      <c r="R674" s="33">
        <v>21740</v>
      </c>
      <c r="S674" s="34">
        <v>42063</v>
      </c>
      <c r="T674" s="34">
        <v>42065</v>
      </c>
      <c r="U674" s="29">
        <v>-27.1492</v>
      </c>
      <c r="V674" s="26">
        <v>15</v>
      </c>
      <c r="W674" s="29">
        <v>99.75</v>
      </c>
      <c r="X674" s="26">
        <v>86592</v>
      </c>
      <c r="Y674" s="35">
        <v>17.2</v>
      </c>
      <c r="Z674" s="1" t="s">
        <v>3014</v>
      </c>
      <c r="AA674" s="36">
        <v>0</v>
      </c>
      <c r="AB674" s="54">
        <v>61.844999999999999</v>
      </c>
      <c r="AC674" s="54">
        <v>2.5270000000000001</v>
      </c>
      <c r="AD674" s="36">
        <v>121.7092</v>
      </c>
    </row>
    <row r="675" spans="1:30" s="37" customFormat="1" ht="15.75" customHeight="1" x14ac:dyDescent="0.2">
      <c r="A675" s="26">
        <v>3075</v>
      </c>
      <c r="B675" s="27" t="s">
        <v>1419</v>
      </c>
      <c r="C675" s="27" t="s">
        <v>48</v>
      </c>
      <c r="D675" s="28">
        <v>0.06</v>
      </c>
      <c r="E675" s="29">
        <v>19.23</v>
      </c>
      <c r="F675" s="29">
        <v>6.15</v>
      </c>
      <c r="G675" s="30" t="s">
        <v>39</v>
      </c>
      <c r="H675" s="27" t="s">
        <v>94</v>
      </c>
      <c r="I675" s="27" t="s">
        <v>29</v>
      </c>
      <c r="J675" s="27" t="s">
        <v>126</v>
      </c>
      <c r="K675" s="27" t="s">
        <v>43</v>
      </c>
      <c r="L675" s="31" t="s">
        <v>1277</v>
      </c>
      <c r="M675" s="32">
        <v>0.44</v>
      </c>
      <c r="N675" s="27" t="s">
        <v>33</v>
      </c>
      <c r="O675" s="27" t="s">
        <v>60</v>
      </c>
      <c r="P675" s="27" t="s">
        <v>90</v>
      </c>
      <c r="Q675" s="27" t="s">
        <v>100</v>
      </c>
      <c r="R675" s="33">
        <v>90061</v>
      </c>
      <c r="S675" s="34">
        <v>42063</v>
      </c>
      <c r="T675" s="34">
        <v>42063</v>
      </c>
      <c r="U675" s="29">
        <v>-25.38</v>
      </c>
      <c r="V675" s="26">
        <v>4</v>
      </c>
      <c r="W675" s="29">
        <v>84.6</v>
      </c>
      <c r="X675" s="26">
        <v>14756</v>
      </c>
      <c r="Y675" s="35">
        <v>8.5</v>
      </c>
      <c r="Z675" s="1" t="s">
        <v>3013</v>
      </c>
      <c r="AA675" s="36">
        <v>4.6151999999999997</v>
      </c>
      <c r="AB675" s="54">
        <v>47.376000000000005</v>
      </c>
      <c r="AC675" s="54">
        <v>9.3059999999999992</v>
      </c>
      <c r="AD675" s="36">
        <v>99.214799999999997</v>
      </c>
    </row>
    <row r="676" spans="1:30" s="37" customFormat="1" ht="15.75" customHeight="1" x14ac:dyDescent="0.2">
      <c r="A676" s="26">
        <v>2220</v>
      </c>
      <c r="B676" s="27" t="s">
        <v>1417</v>
      </c>
      <c r="C676" s="27" t="s">
        <v>48</v>
      </c>
      <c r="D676" s="28">
        <v>0.09</v>
      </c>
      <c r="E676" s="29">
        <v>14.2</v>
      </c>
      <c r="F676" s="29">
        <v>5.3</v>
      </c>
      <c r="G676" s="30" t="s">
        <v>39</v>
      </c>
      <c r="H676" s="27" t="s">
        <v>40</v>
      </c>
      <c r="I676" s="27" t="s">
        <v>29</v>
      </c>
      <c r="J676" s="27" t="s">
        <v>126</v>
      </c>
      <c r="K676" s="27" t="s">
        <v>51</v>
      </c>
      <c r="L676" s="31" t="s">
        <v>288</v>
      </c>
      <c r="M676" s="32">
        <v>0.46</v>
      </c>
      <c r="N676" s="27" t="s">
        <v>33</v>
      </c>
      <c r="O676" s="27" t="s">
        <v>34</v>
      </c>
      <c r="P676" s="27" t="s">
        <v>123</v>
      </c>
      <c r="Q676" s="27" t="s">
        <v>1418</v>
      </c>
      <c r="R676" s="33">
        <v>34787</v>
      </c>
      <c r="S676" s="34">
        <v>42063</v>
      </c>
      <c r="T676" s="34">
        <v>42064</v>
      </c>
      <c r="U676" s="29">
        <v>-324.73</v>
      </c>
      <c r="V676" s="26">
        <v>4</v>
      </c>
      <c r="W676" s="29">
        <v>55.08</v>
      </c>
      <c r="X676" s="26">
        <v>91036</v>
      </c>
      <c r="Y676" s="35">
        <v>95.4</v>
      </c>
      <c r="Z676" s="1" t="s">
        <v>3011</v>
      </c>
      <c r="AA676" s="36">
        <v>5.1119999999999992</v>
      </c>
      <c r="AB676" s="54">
        <v>29.743200000000002</v>
      </c>
      <c r="AC676" s="54">
        <v>6.3342000000000001</v>
      </c>
      <c r="AD676" s="36">
        <v>369.39799999999997</v>
      </c>
    </row>
    <row r="677" spans="1:30" s="37" customFormat="1" ht="15.75" customHeight="1" x14ac:dyDescent="0.2">
      <c r="A677" s="26">
        <v>3355</v>
      </c>
      <c r="B677" s="27" t="s">
        <v>1422</v>
      </c>
      <c r="C677" s="27" t="s">
        <v>48</v>
      </c>
      <c r="D677" s="28">
        <v>0.08</v>
      </c>
      <c r="E677" s="29">
        <v>8.32</v>
      </c>
      <c r="F677" s="29">
        <v>2.38</v>
      </c>
      <c r="G677" s="30" t="s">
        <v>87</v>
      </c>
      <c r="H677" s="27" t="s">
        <v>94</v>
      </c>
      <c r="I677" s="27" t="s">
        <v>41</v>
      </c>
      <c r="J677" s="27" t="s">
        <v>42</v>
      </c>
      <c r="K677" s="27" t="s">
        <v>43</v>
      </c>
      <c r="L677" s="31" t="s">
        <v>1425</v>
      </c>
      <c r="M677" s="32">
        <v>0.74</v>
      </c>
      <c r="N677" s="27" t="s">
        <v>33</v>
      </c>
      <c r="O677" s="27" t="s">
        <v>60</v>
      </c>
      <c r="P677" s="27" t="s">
        <v>90</v>
      </c>
      <c r="Q677" s="27" t="s">
        <v>1424</v>
      </c>
      <c r="R677" s="33">
        <v>93010</v>
      </c>
      <c r="S677" s="34">
        <v>42063</v>
      </c>
      <c r="T677" s="34">
        <v>42067</v>
      </c>
      <c r="U677" s="29">
        <v>-41.83</v>
      </c>
      <c r="V677" s="26">
        <v>6</v>
      </c>
      <c r="W677" s="29">
        <v>48.99</v>
      </c>
      <c r="X677" s="26">
        <v>88587</v>
      </c>
      <c r="Y677" s="35">
        <v>9.6</v>
      </c>
      <c r="Z677" s="1" t="s">
        <v>3013</v>
      </c>
      <c r="AA677" s="36">
        <v>3.9936000000000007</v>
      </c>
      <c r="AB677" s="54">
        <v>12.737400000000001</v>
      </c>
      <c r="AC677" s="54">
        <v>6.0421000000000005</v>
      </c>
      <c r="AD677" s="36">
        <v>84.446399999999997</v>
      </c>
    </row>
    <row r="678" spans="1:30" s="37" customFormat="1" ht="15.75" customHeight="1" x14ac:dyDescent="0.2">
      <c r="A678" s="26">
        <v>2908</v>
      </c>
      <c r="B678" s="27" t="s">
        <v>325</v>
      </c>
      <c r="C678" s="27" t="s">
        <v>3094</v>
      </c>
      <c r="D678" s="28">
        <v>0</v>
      </c>
      <c r="E678" s="29">
        <v>3.14</v>
      </c>
      <c r="F678" s="29">
        <v>1.92</v>
      </c>
      <c r="G678" s="30" t="s">
        <v>39</v>
      </c>
      <c r="H678" s="27" t="s">
        <v>71</v>
      </c>
      <c r="I678" s="27" t="s">
        <v>49</v>
      </c>
      <c r="J678" s="27" t="s">
        <v>568</v>
      </c>
      <c r="K678" s="27" t="s">
        <v>51</v>
      </c>
      <c r="L678" s="31" t="s">
        <v>1440</v>
      </c>
      <c r="M678" s="32">
        <v>0.84</v>
      </c>
      <c r="N678" s="27" t="s">
        <v>33</v>
      </c>
      <c r="O678" s="27" t="s">
        <v>111</v>
      </c>
      <c r="P678" s="27" t="s">
        <v>317</v>
      </c>
      <c r="Q678" s="27" t="s">
        <v>327</v>
      </c>
      <c r="R678" s="33">
        <v>44125</v>
      </c>
      <c r="S678" s="34">
        <v>42063</v>
      </c>
      <c r="T678" s="34">
        <v>42065</v>
      </c>
      <c r="U678" s="29">
        <v>-13.135199999999999</v>
      </c>
      <c r="V678" s="26">
        <v>8</v>
      </c>
      <c r="W678" s="29">
        <v>27.53</v>
      </c>
      <c r="X678" s="26">
        <v>88157</v>
      </c>
      <c r="Y678" s="35">
        <v>34.93</v>
      </c>
      <c r="Z678" s="1" t="s">
        <v>3014</v>
      </c>
      <c r="AA678" s="36">
        <v>0</v>
      </c>
      <c r="AB678" s="54">
        <v>4.4048000000000007</v>
      </c>
      <c r="AC678" s="54">
        <v>2.8906499999999999</v>
      </c>
      <c r="AD678" s="36">
        <v>38.745199999999997</v>
      </c>
    </row>
    <row r="679" spans="1:30" s="37" customFormat="1" ht="15.75" customHeight="1" x14ac:dyDescent="0.2">
      <c r="A679" s="26">
        <v>972</v>
      </c>
      <c r="B679" s="27" t="s">
        <v>1414</v>
      </c>
      <c r="C679" s="27" t="s">
        <v>48</v>
      </c>
      <c r="D679" s="28">
        <v>0</v>
      </c>
      <c r="E679" s="29">
        <v>12.99</v>
      </c>
      <c r="F679" s="29">
        <v>14.37</v>
      </c>
      <c r="G679" s="30" t="s">
        <v>39</v>
      </c>
      <c r="H679" s="27" t="s">
        <v>94</v>
      </c>
      <c r="I679" s="27" t="s">
        <v>29</v>
      </c>
      <c r="J679" s="27" t="s">
        <v>126</v>
      </c>
      <c r="K679" s="27" t="s">
        <v>65</v>
      </c>
      <c r="L679" s="31" t="s">
        <v>406</v>
      </c>
      <c r="M679" s="32">
        <v>0.73</v>
      </c>
      <c r="N679" s="27" t="s">
        <v>33</v>
      </c>
      <c r="O679" s="27" t="s">
        <v>60</v>
      </c>
      <c r="P679" s="27" t="s">
        <v>90</v>
      </c>
      <c r="Q679" s="27" t="s">
        <v>1416</v>
      </c>
      <c r="R679" s="33">
        <v>92503</v>
      </c>
      <c r="S679" s="34">
        <v>42063</v>
      </c>
      <c r="T679" s="34">
        <v>42063</v>
      </c>
      <c r="U679" s="29">
        <v>12.896100000000001</v>
      </c>
      <c r="V679" s="26">
        <v>1</v>
      </c>
      <c r="W679" s="29">
        <v>18.690000000000001</v>
      </c>
      <c r="X679" s="26">
        <v>87259</v>
      </c>
      <c r="Y679" s="35">
        <v>3.14</v>
      </c>
      <c r="Z679" s="1" t="s">
        <v>3013</v>
      </c>
      <c r="AA679" s="36">
        <v>0</v>
      </c>
      <c r="AB679" s="54">
        <v>5.0463000000000005</v>
      </c>
      <c r="AC679" s="54">
        <v>13.643700000000001</v>
      </c>
      <c r="AD679" s="36">
        <v>-8.5761000000000003</v>
      </c>
    </row>
    <row r="680" spans="1:30" s="37" customFormat="1" ht="15.75" customHeight="1" x14ac:dyDescent="0.2">
      <c r="A680" s="26">
        <v>3098</v>
      </c>
      <c r="B680" s="27" t="s">
        <v>1420</v>
      </c>
      <c r="C680" s="27" t="s">
        <v>48</v>
      </c>
      <c r="D680" s="28">
        <v>0.06</v>
      </c>
      <c r="E680" s="29">
        <v>2.89</v>
      </c>
      <c r="F680" s="29">
        <v>0.5</v>
      </c>
      <c r="G680" s="30" t="s">
        <v>39</v>
      </c>
      <c r="H680" s="27" t="s">
        <v>40</v>
      </c>
      <c r="I680" s="27" t="s">
        <v>49</v>
      </c>
      <c r="J680" s="27" t="s">
        <v>152</v>
      </c>
      <c r="K680" s="27" t="s">
        <v>73</v>
      </c>
      <c r="L680" s="31" t="s">
        <v>729</v>
      </c>
      <c r="M680" s="32">
        <v>0.38</v>
      </c>
      <c r="N680" s="27" t="s">
        <v>33</v>
      </c>
      <c r="O680" s="27" t="s">
        <v>111</v>
      </c>
      <c r="P680" s="27" t="s">
        <v>112</v>
      </c>
      <c r="Q680" s="27" t="s">
        <v>1421</v>
      </c>
      <c r="R680" s="33">
        <v>11967</v>
      </c>
      <c r="S680" s="34">
        <v>42063</v>
      </c>
      <c r="T680" s="34">
        <v>42063</v>
      </c>
      <c r="U680" s="29">
        <v>9.6117000000000008</v>
      </c>
      <c r="V680" s="26">
        <v>5</v>
      </c>
      <c r="W680" s="29">
        <v>13.93</v>
      </c>
      <c r="X680" s="26">
        <v>89316</v>
      </c>
      <c r="Y680" s="35">
        <v>11.450000000000001</v>
      </c>
      <c r="Z680" s="1" t="s">
        <v>3014</v>
      </c>
      <c r="AA680" s="36">
        <v>0.86699999999999999</v>
      </c>
      <c r="AB680" s="54">
        <v>8.6365999999999996</v>
      </c>
      <c r="AC680" s="54">
        <v>1.0586800000000001</v>
      </c>
      <c r="AD680" s="36">
        <v>2.9512999999999998</v>
      </c>
    </row>
    <row r="681" spans="1:30" s="37" customFormat="1" ht="15.75" customHeight="1" x14ac:dyDescent="0.2">
      <c r="A681" s="26">
        <v>1885</v>
      </c>
      <c r="B681" s="27" t="s">
        <v>1465</v>
      </c>
      <c r="C681" s="27" t="s">
        <v>3094</v>
      </c>
      <c r="D681" s="28">
        <v>0.05</v>
      </c>
      <c r="E681" s="29">
        <v>535.64</v>
      </c>
      <c r="F681" s="29">
        <v>14.7</v>
      </c>
      <c r="G681" s="30" t="s">
        <v>27</v>
      </c>
      <c r="H681" s="27" t="s">
        <v>71</v>
      </c>
      <c r="I681" s="27" t="s">
        <v>41</v>
      </c>
      <c r="J681" s="27" t="s">
        <v>57</v>
      </c>
      <c r="K681" s="27" t="s">
        <v>58</v>
      </c>
      <c r="L681" s="31" t="s">
        <v>1466</v>
      </c>
      <c r="M681" s="32">
        <v>0.59</v>
      </c>
      <c r="N681" s="27" t="s">
        <v>33</v>
      </c>
      <c r="O681" s="27" t="s">
        <v>111</v>
      </c>
      <c r="P681" s="27" t="s">
        <v>584</v>
      </c>
      <c r="Q681" s="27" t="s">
        <v>1467</v>
      </c>
      <c r="R681" s="33">
        <v>2806</v>
      </c>
      <c r="S681" s="34">
        <v>42064</v>
      </c>
      <c r="T681" s="34">
        <v>42066</v>
      </c>
      <c r="U681" s="29">
        <v>4407.4399999999996</v>
      </c>
      <c r="V681" s="26">
        <v>15</v>
      </c>
      <c r="W681" s="29">
        <v>7029.1</v>
      </c>
      <c r="X681" s="26">
        <v>87378</v>
      </c>
      <c r="Y681" s="35">
        <v>90.89</v>
      </c>
      <c r="Z681" s="1" t="s">
        <v>3014</v>
      </c>
      <c r="AA681" s="36">
        <v>401.73</v>
      </c>
      <c r="AB681" s="54">
        <v>2881.9310000000005</v>
      </c>
      <c r="AC681" s="54">
        <v>276.47793333333334</v>
      </c>
      <c r="AD681" s="36">
        <v>2205.2300000000014</v>
      </c>
    </row>
    <row r="682" spans="1:30" s="37" customFormat="1" ht="15.75" customHeight="1" x14ac:dyDescent="0.2">
      <c r="A682" s="26">
        <v>2454</v>
      </c>
      <c r="B682" s="27" t="s">
        <v>1461</v>
      </c>
      <c r="C682" s="27" t="s">
        <v>116</v>
      </c>
      <c r="D682" s="28">
        <v>0.06</v>
      </c>
      <c r="E682" s="29">
        <v>3499.99</v>
      </c>
      <c r="F682" s="29">
        <v>24.49</v>
      </c>
      <c r="G682" s="30" t="s">
        <v>87</v>
      </c>
      <c r="H682" s="27" t="s">
        <v>94</v>
      </c>
      <c r="I682" s="27" t="s">
        <v>41</v>
      </c>
      <c r="J682" s="27" t="s">
        <v>64</v>
      </c>
      <c r="K682" s="27" t="s">
        <v>65</v>
      </c>
      <c r="L682" s="31" t="s">
        <v>518</v>
      </c>
      <c r="M682" s="32">
        <v>0.37</v>
      </c>
      <c r="N682" s="27" t="s">
        <v>33</v>
      </c>
      <c r="O682" s="27" t="s">
        <v>34</v>
      </c>
      <c r="P682" s="27" t="s">
        <v>164</v>
      </c>
      <c r="Q682" s="27" t="s">
        <v>1462</v>
      </c>
      <c r="R682" s="33">
        <v>35244</v>
      </c>
      <c r="S682" s="34">
        <v>42064</v>
      </c>
      <c r="T682" s="34">
        <v>42067</v>
      </c>
      <c r="U682" s="29">
        <v>-68.432000000000002</v>
      </c>
      <c r="V682" s="26">
        <v>1</v>
      </c>
      <c r="W682" s="29">
        <v>3550.28</v>
      </c>
      <c r="X682" s="26">
        <v>89219</v>
      </c>
      <c r="Y682" s="35">
        <v>28.39</v>
      </c>
      <c r="Z682" s="1" t="s">
        <v>3011</v>
      </c>
      <c r="AA682" s="36">
        <v>209.99939999999998</v>
      </c>
      <c r="AB682" s="54">
        <v>2236.6764000000003</v>
      </c>
      <c r="AC682" s="54">
        <v>1313.6036000000001</v>
      </c>
      <c r="AD682" s="36">
        <v>3384.2226000000001</v>
      </c>
    </row>
    <row r="683" spans="1:30" s="37" customFormat="1" ht="15.75" customHeight="1" x14ac:dyDescent="0.2">
      <c r="A683" s="26">
        <v>946</v>
      </c>
      <c r="B683" s="27" t="s">
        <v>1443</v>
      </c>
      <c r="C683" s="27" t="s">
        <v>26</v>
      </c>
      <c r="D683" s="28">
        <v>0.09</v>
      </c>
      <c r="E683" s="29">
        <v>90.98</v>
      </c>
      <c r="F683" s="29">
        <v>56.2</v>
      </c>
      <c r="G683" s="30" t="s">
        <v>87</v>
      </c>
      <c r="H683" s="27" t="s">
        <v>71</v>
      </c>
      <c r="I683" s="27" t="s">
        <v>29</v>
      </c>
      <c r="J683" s="27" t="s">
        <v>126</v>
      </c>
      <c r="K683" s="27" t="s">
        <v>144</v>
      </c>
      <c r="L683" s="31" t="s">
        <v>807</v>
      </c>
      <c r="M683" s="32">
        <v>0.74</v>
      </c>
      <c r="N683" s="27" t="s">
        <v>33</v>
      </c>
      <c r="O683" s="27" t="s">
        <v>111</v>
      </c>
      <c r="P683" s="27" t="s">
        <v>331</v>
      </c>
      <c r="Q683" s="27" t="s">
        <v>1204</v>
      </c>
      <c r="R683" s="33">
        <v>4210</v>
      </c>
      <c r="S683" s="34">
        <v>42064</v>
      </c>
      <c r="T683" s="34">
        <v>42065</v>
      </c>
      <c r="U683" s="29">
        <v>-1570.32</v>
      </c>
      <c r="V683" s="26">
        <v>20</v>
      </c>
      <c r="W683" s="29">
        <v>1782.44</v>
      </c>
      <c r="X683" s="26">
        <v>86566</v>
      </c>
      <c r="Y683" s="35">
        <v>2.08</v>
      </c>
      <c r="Z683" s="1" t="s">
        <v>3014</v>
      </c>
      <c r="AA683" s="36">
        <v>163.76400000000001</v>
      </c>
      <c r="AB683" s="54">
        <v>463.43440000000004</v>
      </c>
      <c r="AC683" s="54">
        <v>65.950279999999992</v>
      </c>
      <c r="AD683" s="36">
        <v>3132.7959999999998</v>
      </c>
    </row>
    <row r="684" spans="1:30" s="37" customFormat="1" ht="15.75" customHeight="1" x14ac:dyDescent="0.2">
      <c r="A684" s="26">
        <v>1014</v>
      </c>
      <c r="B684" s="27" t="s">
        <v>1444</v>
      </c>
      <c r="C684" s="27" t="s">
        <v>26</v>
      </c>
      <c r="D684" s="28">
        <v>0.06</v>
      </c>
      <c r="E684" s="29">
        <v>45.99</v>
      </c>
      <c r="F684" s="29">
        <v>4.99</v>
      </c>
      <c r="G684" s="30" t="s">
        <v>87</v>
      </c>
      <c r="H684" s="27" t="s">
        <v>71</v>
      </c>
      <c r="I684" s="27" t="s">
        <v>41</v>
      </c>
      <c r="J684" s="27" t="s">
        <v>135</v>
      </c>
      <c r="K684" s="27" t="s">
        <v>73</v>
      </c>
      <c r="L684" s="31" t="s">
        <v>1446</v>
      </c>
      <c r="M684" s="32">
        <v>0.56000000000000005</v>
      </c>
      <c r="N684" s="27" t="s">
        <v>33</v>
      </c>
      <c r="O684" s="27" t="s">
        <v>34</v>
      </c>
      <c r="P684" s="27" t="s">
        <v>45</v>
      </c>
      <c r="Q684" s="27" t="s">
        <v>1445</v>
      </c>
      <c r="R684" s="33">
        <v>72022</v>
      </c>
      <c r="S684" s="34">
        <v>42064</v>
      </c>
      <c r="T684" s="34">
        <v>42065</v>
      </c>
      <c r="U684" s="29">
        <v>-329.78399999999999</v>
      </c>
      <c r="V684" s="26">
        <v>10</v>
      </c>
      <c r="W684" s="29">
        <v>370.81</v>
      </c>
      <c r="X684" s="26">
        <v>88387</v>
      </c>
      <c r="Y684" s="35">
        <v>45.93</v>
      </c>
      <c r="Z684" s="1" t="s">
        <v>3011</v>
      </c>
      <c r="AA684" s="36">
        <v>27.593999999999998</v>
      </c>
      <c r="AB684" s="54">
        <v>163.15639999999999</v>
      </c>
      <c r="AC684" s="54">
        <v>20.765360000000005</v>
      </c>
      <c r="AD684" s="36">
        <v>668.01</v>
      </c>
    </row>
    <row r="685" spans="1:30" s="37" customFormat="1" ht="15.75" customHeight="1" x14ac:dyDescent="0.2">
      <c r="A685" s="26">
        <v>1280</v>
      </c>
      <c r="B685" s="27" t="s">
        <v>1449</v>
      </c>
      <c r="C685" s="27" t="s">
        <v>26</v>
      </c>
      <c r="D685" s="28">
        <v>7.0000000000000007E-2</v>
      </c>
      <c r="E685" s="29">
        <v>40.98</v>
      </c>
      <c r="F685" s="29">
        <v>7.47</v>
      </c>
      <c r="G685" s="30" t="s">
        <v>39</v>
      </c>
      <c r="H685" s="27" t="s">
        <v>94</v>
      </c>
      <c r="I685" s="27" t="s">
        <v>49</v>
      </c>
      <c r="J685" s="27" t="s">
        <v>72</v>
      </c>
      <c r="K685" s="27" t="s">
        <v>73</v>
      </c>
      <c r="L685" s="31" t="s">
        <v>1379</v>
      </c>
      <c r="M685" s="32">
        <v>0.37</v>
      </c>
      <c r="N685" s="27" t="s">
        <v>33</v>
      </c>
      <c r="O685" s="27" t="s">
        <v>60</v>
      </c>
      <c r="P685" s="27" t="s">
        <v>67</v>
      </c>
      <c r="Q685" s="27" t="s">
        <v>142</v>
      </c>
      <c r="R685" s="33">
        <v>98119</v>
      </c>
      <c r="S685" s="34">
        <v>42064</v>
      </c>
      <c r="T685" s="34">
        <v>42065</v>
      </c>
      <c r="U685" s="29">
        <v>54.901499999999999</v>
      </c>
      <c r="V685" s="26">
        <v>8</v>
      </c>
      <c r="W685" s="29">
        <v>327.61</v>
      </c>
      <c r="X685" s="26">
        <v>19042</v>
      </c>
      <c r="Y685" s="35">
        <v>40.909999999999997</v>
      </c>
      <c r="Z685" s="1" t="s">
        <v>3013</v>
      </c>
      <c r="AA685" s="36">
        <v>22.948800000000002</v>
      </c>
      <c r="AB685" s="54">
        <v>206.39430000000002</v>
      </c>
      <c r="AC685" s="54">
        <v>15.1519625</v>
      </c>
      <c r="AD685" s="36">
        <v>242.28970000000001</v>
      </c>
    </row>
    <row r="686" spans="1:30" s="37" customFormat="1" ht="15.75" customHeight="1" x14ac:dyDescent="0.2">
      <c r="A686" s="26">
        <v>2437</v>
      </c>
      <c r="B686" s="27" t="s">
        <v>1459</v>
      </c>
      <c r="C686" s="27" t="s">
        <v>48</v>
      </c>
      <c r="D686" s="28">
        <v>0.09</v>
      </c>
      <c r="E686" s="29">
        <v>90.97</v>
      </c>
      <c r="F686" s="29">
        <v>14</v>
      </c>
      <c r="G686" s="30" t="s">
        <v>27</v>
      </c>
      <c r="H686" s="27" t="s">
        <v>71</v>
      </c>
      <c r="I686" s="27" t="s">
        <v>41</v>
      </c>
      <c r="J686" s="27" t="s">
        <v>57</v>
      </c>
      <c r="K686" s="27" t="s">
        <v>58</v>
      </c>
      <c r="L686" s="31" t="s">
        <v>1110</v>
      </c>
      <c r="M686" s="32">
        <v>0.36</v>
      </c>
      <c r="N686" s="27" t="s">
        <v>33</v>
      </c>
      <c r="O686" s="27" t="s">
        <v>53</v>
      </c>
      <c r="P686" s="27" t="s">
        <v>357</v>
      </c>
      <c r="Q686" s="27" t="s">
        <v>1460</v>
      </c>
      <c r="R686" s="33">
        <v>53150</v>
      </c>
      <c r="S686" s="34">
        <v>42064</v>
      </c>
      <c r="T686" s="34">
        <v>42066</v>
      </c>
      <c r="U686" s="29">
        <v>35.29</v>
      </c>
      <c r="V686" s="26">
        <v>3</v>
      </c>
      <c r="W686" s="29">
        <v>260</v>
      </c>
      <c r="X686" s="26">
        <v>90301</v>
      </c>
      <c r="Y686" s="35">
        <v>40.909999999999997</v>
      </c>
      <c r="Z686" s="1" t="s">
        <v>3012</v>
      </c>
      <c r="AA686" s="36">
        <v>24.561900000000001</v>
      </c>
      <c r="AB686" s="54">
        <v>166.4</v>
      </c>
      <c r="AC686" s="54">
        <v>31.2</v>
      </c>
      <c r="AD686" s="36">
        <v>186.1481</v>
      </c>
    </row>
    <row r="687" spans="1:30" s="37" customFormat="1" ht="15.75" customHeight="1" x14ac:dyDescent="0.2">
      <c r="A687" s="26">
        <v>1917</v>
      </c>
      <c r="B687" s="27" t="s">
        <v>1456</v>
      </c>
      <c r="C687" s="27" t="s">
        <v>38</v>
      </c>
      <c r="D687" s="28">
        <v>0.08</v>
      </c>
      <c r="E687" s="29">
        <v>22.23</v>
      </c>
      <c r="F687" s="29">
        <v>3.63</v>
      </c>
      <c r="G687" s="30" t="s">
        <v>39</v>
      </c>
      <c r="H687" s="27" t="s">
        <v>71</v>
      </c>
      <c r="I687" s="27" t="s">
        <v>29</v>
      </c>
      <c r="J687" s="27" t="s">
        <v>126</v>
      </c>
      <c r="K687" s="27" t="s">
        <v>43</v>
      </c>
      <c r="L687" s="31" t="s">
        <v>1457</v>
      </c>
      <c r="M687" s="32">
        <v>0.52</v>
      </c>
      <c r="N687" s="27" t="s">
        <v>33</v>
      </c>
      <c r="O687" s="27" t="s">
        <v>34</v>
      </c>
      <c r="P687" s="27" t="s">
        <v>45</v>
      </c>
      <c r="Q687" s="27" t="s">
        <v>1458</v>
      </c>
      <c r="R687" s="33">
        <v>72113</v>
      </c>
      <c r="S687" s="34">
        <v>42064</v>
      </c>
      <c r="T687" s="34">
        <v>42066</v>
      </c>
      <c r="U687" s="29">
        <v>-29.61</v>
      </c>
      <c r="V687" s="26">
        <v>10</v>
      </c>
      <c r="W687" s="29">
        <v>210.33</v>
      </c>
      <c r="X687" s="26">
        <v>85897</v>
      </c>
      <c r="Y687" s="35">
        <v>6.6400000000000006</v>
      </c>
      <c r="Z687" s="1" t="s">
        <v>3011</v>
      </c>
      <c r="AA687" s="36">
        <v>17.783999999999999</v>
      </c>
      <c r="AB687" s="54">
        <v>100.9584</v>
      </c>
      <c r="AC687" s="54">
        <v>10.93716</v>
      </c>
      <c r="AD687" s="36">
        <v>218.52600000000001</v>
      </c>
    </row>
    <row r="688" spans="1:30" s="37" customFormat="1" ht="15.75" customHeight="1" x14ac:dyDescent="0.2">
      <c r="A688" s="26">
        <v>1014</v>
      </c>
      <c r="B688" s="27" t="s">
        <v>1444</v>
      </c>
      <c r="C688" s="27" t="s">
        <v>26</v>
      </c>
      <c r="D688" s="28">
        <v>0.09</v>
      </c>
      <c r="E688" s="29">
        <v>28.48</v>
      </c>
      <c r="F688" s="29">
        <v>1.99</v>
      </c>
      <c r="G688" s="30" t="s">
        <v>39</v>
      </c>
      <c r="H688" s="27" t="s">
        <v>71</v>
      </c>
      <c r="I688" s="27" t="s">
        <v>41</v>
      </c>
      <c r="J688" s="27" t="s">
        <v>42</v>
      </c>
      <c r="K688" s="27" t="s">
        <v>43</v>
      </c>
      <c r="L688" s="31" t="s">
        <v>212</v>
      </c>
      <c r="M688" s="32">
        <v>0.4</v>
      </c>
      <c r="N688" s="27" t="s">
        <v>33</v>
      </c>
      <c r="O688" s="27" t="s">
        <v>34</v>
      </c>
      <c r="P688" s="27" t="s">
        <v>45</v>
      </c>
      <c r="Q688" s="27" t="s">
        <v>1445</v>
      </c>
      <c r="R688" s="33">
        <v>72022</v>
      </c>
      <c r="S688" s="34">
        <v>42064</v>
      </c>
      <c r="T688" s="34">
        <v>42065</v>
      </c>
      <c r="U688" s="29">
        <v>-17.149999999999999</v>
      </c>
      <c r="V688" s="26">
        <v>6</v>
      </c>
      <c r="W688" s="29">
        <v>160.16999999999999</v>
      </c>
      <c r="X688" s="26">
        <v>88387</v>
      </c>
      <c r="Y688" s="35">
        <v>11.32</v>
      </c>
      <c r="Z688" s="1" t="s">
        <v>3011</v>
      </c>
      <c r="AA688" s="36">
        <v>15.379200000000001</v>
      </c>
      <c r="AB688" s="54">
        <v>96.10199999999999</v>
      </c>
      <c r="AC688" s="54">
        <v>10.677999999999999</v>
      </c>
      <c r="AD688" s="36">
        <v>159.95079999999999</v>
      </c>
    </row>
    <row r="689" spans="1:30" s="37" customFormat="1" ht="15.75" customHeight="1" x14ac:dyDescent="0.2">
      <c r="A689" s="26">
        <v>1561</v>
      </c>
      <c r="B689" s="27" t="s">
        <v>1452</v>
      </c>
      <c r="C689" s="27" t="s">
        <v>38</v>
      </c>
      <c r="D689" s="28">
        <v>0.02</v>
      </c>
      <c r="E689" s="29">
        <v>11.34</v>
      </c>
      <c r="F689" s="29">
        <v>11.25</v>
      </c>
      <c r="G689" s="30" t="s">
        <v>39</v>
      </c>
      <c r="H689" s="27" t="s">
        <v>94</v>
      </c>
      <c r="I689" s="27" t="s">
        <v>49</v>
      </c>
      <c r="J689" s="27" t="s">
        <v>88</v>
      </c>
      <c r="K689" s="27" t="s">
        <v>73</v>
      </c>
      <c r="L689" s="31" t="s">
        <v>1453</v>
      </c>
      <c r="M689" s="32">
        <v>0.36</v>
      </c>
      <c r="N689" s="27" t="s">
        <v>33</v>
      </c>
      <c r="O689" s="27" t="s">
        <v>53</v>
      </c>
      <c r="P689" s="27" t="s">
        <v>187</v>
      </c>
      <c r="Q689" s="27" t="s">
        <v>1454</v>
      </c>
      <c r="R689" s="33">
        <v>76063</v>
      </c>
      <c r="S689" s="34">
        <v>42064</v>
      </c>
      <c r="T689" s="34">
        <v>42065</v>
      </c>
      <c r="U689" s="29">
        <v>-155.21</v>
      </c>
      <c r="V689" s="26">
        <v>9</v>
      </c>
      <c r="W689" s="29">
        <v>105.75</v>
      </c>
      <c r="X689" s="26">
        <v>88093</v>
      </c>
      <c r="Y689" s="35">
        <v>19.920000000000002</v>
      </c>
      <c r="Z689" s="1" t="s">
        <v>3012</v>
      </c>
      <c r="AA689" s="36">
        <v>2.0411999999999999</v>
      </c>
      <c r="AB689" s="54">
        <v>67.680000000000007</v>
      </c>
      <c r="AC689" s="54">
        <v>4.2299999999999995</v>
      </c>
      <c r="AD689" s="36">
        <v>247.6688</v>
      </c>
    </row>
    <row r="690" spans="1:30" s="37" customFormat="1" ht="15.75" customHeight="1" x14ac:dyDescent="0.2">
      <c r="A690" s="26">
        <v>1764</v>
      </c>
      <c r="B690" s="27" t="s">
        <v>711</v>
      </c>
      <c r="C690" s="27" t="s">
        <v>38</v>
      </c>
      <c r="D690" s="28">
        <v>0.06</v>
      </c>
      <c r="E690" s="29">
        <v>19.98</v>
      </c>
      <c r="F690" s="29">
        <v>10.49</v>
      </c>
      <c r="G690" s="30" t="s">
        <v>39</v>
      </c>
      <c r="H690" s="27" t="s">
        <v>40</v>
      </c>
      <c r="I690" s="27" t="s">
        <v>29</v>
      </c>
      <c r="J690" s="27" t="s">
        <v>126</v>
      </c>
      <c r="K690" s="27" t="s">
        <v>73</v>
      </c>
      <c r="L690" s="31" t="s">
        <v>1455</v>
      </c>
      <c r="M690" s="32">
        <v>0.49</v>
      </c>
      <c r="N690" s="27" t="s">
        <v>33</v>
      </c>
      <c r="O690" s="27" t="s">
        <v>34</v>
      </c>
      <c r="P690" s="27" t="s">
        <v>123</v>
      </c>
      <c r="Q690" s="27" t="s">
        <v>713</v>
      </c>
      <c r="R690" s="33">
        <v>34698</v>
      </c>
      <c r="S690" s="34">
        <v>42064</v>
      </c>
      <c r="T690" s="34">
        <v>42066</v>
      </c>
      <c r="U690" s="29">
        <v>514.17719999999997</v>
      </c>
      <c r="V690" s="26">
        <v>5</v>
      </c>
      <c r="W690" s="29">
        <v>103.37</v>
      </c>
      <c r="X690" s="26">
        <v>89776</v>
      </c>
      <c r="Y690" s="35">
        <v>1.68</v>
      </c>
      <c r="Z690" s="1" t="s">
        <v>3011</v>
      </c>
      <c r="AA690" s="36">
        <v>5.9940000000000007</v>
      </c>
      <c r="AB690" s="54">
        <v>52.718700000000005</v>
      </c>
      <c r="AC690" s="54">
        <v>10.13026</v>
      </c>
      <c r="AD690" s="36">
        <v>-427.2912</v>
      </c>
    </row>
    <row r="691" spans="1:30" s="37" customFormat="1" ht="15.75" customHeight="1" x14ac:dyDescent="0.2">
      <c r="A691" s="26">
        <v>2718</v>
      </c>
      <c r="B691" s="27" t="s">
        <v>1450</v>
      </c>
      <c r="C691" s="27" t="s">
        <v>26</v>
      </c>
      <c r="D691" s="28">
        <v>0.1</v>
      </c>
      <c r="E691" s="29">
        <v>6.74</v>
      </c>
      <c r="F691" s="29">
        <v>1.72</v>
      </c>
      <c r="G691" s="30" t="s">
        <v>39</v>
      </c>
      <c r="H691" s="27" t="s">
        <v>40</v>
      </c>
      <c r="I691" s="27" t="s">
        <v>49</v>
      </c>
      <c r="J691" s="27" t="s">
        <v>88</v>
      </c>
      <c r="K691" s="27" t="s">
        <v>51</v>
      </c>
      <c r="L691" s="31" t="s">
        <v>1451</v>
      </c>
      <c r="M691" s="32">
        <v>0.35</v>
      </c>
      <c r="N691" s="27" t="s">
        <v>33</v>
      </c>
      <c r="O691" s="27" t="s">
        <v>53</v>
      </c>
      <c r="P691" s="27" t="s">
        <v>103</v>
      </c>
      <c r="Q691" s="27" t="s">
        <v>444</v>
      </c>
      <c r="R691" s="33">
        <v>60438</v>
      </c>
      <c r="S691" s="34">
        <v>42064</v>
      </c>
      <c r="T691" s="34">
        <v>42066</v>
      </c>
      <c r="U691" s="29">
        <v>65.41</v>
      </c>
      <c r="V691" s="26">
        <v>15</v>
      </c>
      <c r="W691" s="29">
        <v>98.17</v>
      </c>
      <c r="X691" s="26">
        <v>89394</v>
      </c>
      <c r="Y691" s="35">
        <v>22.150000000000002</v>
      </c>
      <c r="Z691" s="1" t="s">
        <v>3012</v>
      </c>
      <c r="AA691" s="36">
        <v>10.110000000000001</v>
      </c>
      <c r="AB691" s="54">
        <v>63.810500000000005</v>
      </c>
      <c r="AC691" s="54">
        <v>2.2906333333333335</v>
      </c>
      <c r="AD691" s="36">
        <v>20.930000000000007</v>
      </c>
    </row>
    <row r="692" spans="1:30" s="37" customFormat="1" ht="15.75" customHeight="1" x14ac:dyDescent="0.2">
      <c r="A692" s="26">
        <v>1279</v>
      </c>
      <c r="B692" s="27" t="s">
        <v>1447</v>
      </c>
      <c r="C692" s="27" t="s">
        <v>26</v>
      </c>
      <c r="D692" s="28">
        <v>7.0000000000000007E-2</v>
      </c>
      <c r="E692" s="29">
        <v>40.98</v>
      </c>
      <c r="F692" s="29">
        <v>7.47</v>
      </c>
      <c r="G692" s="30" t="s">
        <v>39</v>
      </c>
      <c r="H692" s="27" t="s">
        <v>94</v>
      </c>
      <c r="I692" s="27" t="s">
        <v>49</v>
      </c>
      <c r="J692" s="27" t="s">
        <v>72</v>
      </c>
      <c r="K692" s="27" t="s">
        <v>73</v>
      </c>
      <c r="L692" s="31" t="s">
        <v>1379</v>
      </c>
      <c r="M692" s="32">
        <v>0.37</v>
      </c>
      <c r="N692" s="27" t="s">
        <v>33</v>
      </c>
      <c r="O692" s="27" t="s">
        <v>53</v>
      </c>
      <c r="P692" s="27" t="s">
        <v>54</v>
      </c>
      <c r="Q692" s="27" t="s">
        <v>1448</v>
      </c>
      <c r="R692" s="33">
        <v>46324</v>
      </c>
      <c r="S692" s="34">
        <v>42064</v>
      </c>
      <c r="T692" s="34">
        <v>42065</v>
      </c>
      <c r="U692" s="29">
        <v>54.901499999999999</v>
      </c>
      <c r="V692" s="26">
        <v>2</v>
      </c>
      <c r="W692" s="29">
        <v>81.900000000000006</v>
      </c>
      <c r="X692" s="26">
        <v>90114</v>
      </c>
      <c r="Y692" s="35">
        <v>90.88</v>
      </c>
      <c r="Z692" s="1" t="s">
        <v>3012</v>
      </c>
      <c r="AA692" s="36">
        <v>5.7372000000000005</v>
      </c>
      <c r="AB692" s="54">
        <v>51.597000000000001</v>
      </c>
      <c r="AC692" s="54">
        <v>15.1515</v>
      </c>
      <c r="AD692" s="36">
        <v>13.791300000000007</v>
      </c>
    </row>
    <row r="693" spans="1:30" s="37" customFormat="1" ht="15.75" customHeight="1" x14ac:dyDescent="0.2">
      <c r="A693" s="26">
        <v>1764</v>
      </c>
      <c r="B693" s="27" t="s">
        <v>711</v>
      </c>
      <c r="C693" s="27" t="s">
        <v>38</v>
      </c>
      <c r="D693" s="28">
        <v>0.08</v>
      </c>
      <c r="E693" s="29">
        <v>1.76</v>
      </c>
      <c r="F693" s="29">
        <v>4.8600000000000003</v>
      </c>
      <c r="G693" s="30" t="s">
        <v>39</v>
      </c>
      <c r="H693" s="27" t="s">
        <v>40</v>
      </c>
      <c r="I693" s="27" t="s">
        <v>29</v>
      </c>
      <c r="J693" s="27" t="s">
        <v>126</v>
      </c>
      <c r="K693" s="27" t="s">
        <v>73</v>
      </c>
      <c r="L693" s="31" t="s">
        <v>606</v>
      </c>
      <c r="M693" s="32">
        <v>0.41</v>
      </c>
      <c r="N693" s="27" t="s">
        <v>33</v>
      </c>
      <c r="O693" s="27" t="s">
        <v>34</v>
      </c>
      <c r="P693" s="27" t="s">
        <v>123</v>
      </c>
      <c r="Q693" s="27" t="s">
        <v>713</v>
      </c>
      <c r="R693" s="33">
        <v>34698</v>
      </c>
      <c r="S693" s="34">
        <v>42064</v>
      </c>
      <c r="T693" s="34">
        <v>42065</v>
      </c>
      <c r="U693" s="29">
        <v>235.65600000000001</v>
      </c>
      <c r="V693" s="26">
        <v>23</v>
      </c>
      <c r="W693" s="29">
        <v>40.22</v>
      </c>
      <c r="X693" s="26">
        <v>89776</v>
      </c>
      <c r="Y693" s="35">
        <v>3499.93</v>
      </c>
      <c r="Z693" s="1" t="s">
        <v>3011</v>
      </c>
      <c r="AA693" s="36">
        <v>3.2384000000000004</v>
      </c>
      <c r="AB693" s="54">
        <v>23.729800000000001</v>
      </c>
      <c r="AC693" s="54">
        <v>0.71696521739130425</v>
      </c>
      <c r="AD693" s="36">
        <v>-203.53440000000003</v>
      </c>
    </row>
    <row r="694" spans="1:30" s="37" customFormat="1" ht="15.75" customHeight="1" x14ac:dyDescent="0.2">
      <c r="A694" s="26">
        <v>1882</v>
      </c>
      <c r="B694" s="27" t="s">
        <v>1463</v>
      </c>
      <c r="C694" s="27" t="s">
        <v>3094</v>
      </c>
      <c r="D694" s="28">
        <v>0.09</v>
      </c>
      <c r="E694" s="29">
        <v>5.78</v>
      </c>
      <c r="F694" s="29">
        <v>5.67</v>
      </c>
      <c r="G694" s="30" t="s">
        <v>39</v>
      </c>
      <c r="H694" s="27" t="s">
        <v>71</v>
      </c>
      <c r="I694" s="27" t="s">
        <v>49</v>
      </c>
      <c r="J694" s="27" t="s">
        <v>88</v>
      </c>
      <c r="K694" s="27" t="s">
        <v>73</v>
      </c>
      <c r="L694" s="31" t="s">
        <v>615</v>
      </c>
      <c r="M694" s="32">
        <v>0.36</v>
      </c>
      <c r="N694" s="27" t="s">
        <v>33</v>
      </c>
      <c r="O694" s="27" t="s">
        <v>111</v>
      </c>
      <c r="P694" s="27" t="s">
        <v>397</v>
      </c>
      <c r="Q694" s="27" t="s">
        <v>1464</v>
      </c>
      <c r="R694" s="33">
        <v>7036</v>
      </c>
      <c r="S694" s="34">
        <v>42064</v>
      </c>
      <c r="T694" s="34">
        <v>42066</v>
      </c>
      <c r="U694" s="29">
        <v>-7.96</v>
      </c>
      <c r="V694" s="26">
        <v>1</v>
      </c>
      <c r="W694" s="29">
        <v>11.35</v>
      </c>
      <c r="X694" s="26">
        <v>87378</v>
      </c>
      <c r="Y694" s="35">
        <v>5.69</v>
      </c>
      <c r="Z694" s="1" t="s">
        <v>3014</v>
      </c>
      <c r="AA694" s="36">
        <v>0.5202</v>
      </c>
      <c r="AB694" s="54">
        <v>7.2640000000000002</v>
      </c>
      <c r="AC694" s="54">
        <v>4.0859999999999994</v>
      </c>
      <c r="AD694" s="36">
        <v>13.1198</v>
      </c>
    </row>
    <row r="695" spans="1:30" s="37" customFormat="1" ht="15.75" customHeight="1" x14ac:dyDescent="0.2">
      <c r="A695" s="26">
        <v>1014</v>
      </c>
      <c r="B695" s="27" t="s">
        <v>1444</v>
      </c>
      <c r="C695" s="27" t="s">
        <v>26</v>
      </c>
      <c r="D695" s="28">
        <v>0</v>
      </c>
      <c r="E695" s="29">
        <v>2.08</v>
      </c>
      <c r="F695" s="29">
        <v>5.33</v>
      </c>
      <c r="G695" s="30" t="s">
        <v>39</v>
      </c>
      <c r="H695" s="27" t="s">
        <v>71</v>
      </c>
      <c r="I695" s="27" t="s">
        <v>29</v>
      </c>
      <c r="J695" s="27" t="s">
        <v>126</v>
      </c>
      <c r="K695" s="27" t="s">
        <v>73</v>
      </c>
      <c r="L695" s="31" t="s">
        <v>459</v>
      </c>
      <c r="M695" s="32">
        <v>0.43</v>
      </c>
      <c r="N695" s="27" t="s">
        <v>33</v>
      </c>
      <c r="O695" s="27" t="s">
        <v>34</v>
      </c>
      <c r="P695" s="27" t="s">
        <v>45</v>
      </c>
      <c r="Q695" s="27" t="s">
        <v>1445</v>
      </c>
      <c r="R695" s="33">
        <v>72022</v>
      </c>
      <c r="S695" s="34">
        <v>42064</v>
      </c>
      <c r="T695" s="34">
        <v>42066</v>
      </c>
      <c r="U695" s="29">
        <v>-29.54</v>
      </c>
      <c r="V695" s="26">
        <v>3</v>
      </c>
      <c r="W695" s="29">
        <v>7.47</v>
      </c>
      <c r="X695" s="26">
        <v>88387</v>
      </c>
      <c r="Y695" s="35">
        <v>535.59</v>
      </c>
      <c r="Z695" s="1" t="s">
        <v>3011</v>
      </c>
      <c r="AA695" s="36">
        <v>0</v>
      </c>
      <c r="AB695" s="54">
        <v>4.2579000000000002</v>
      </c>
      <c r="AC695" s="54">
        <v>1.0707</v>
      </c>
      <c r="AD695" s="36">
        <v>31.68</v>
      </c>
    </row>
    <row r="696" spans="1:30" s="37" customFormat="1" ht="15.75" customHeight="1" x14ac:dyDescent="0.2">
      <c r="A696" s="26">
        <v>3067</v>
      </c>
      <c r="B696" s="27" t="s">
        <v>1477</v>
      </c>
      <c r="C696" s="27" t="s">
        <v>3094</v>
      </c>
      <c r="D696" s="28">
        <v>0.06</v>
      </c>
      <c r="E696" s="29">
        <v>355.98</v>
      </c>
      <c r="F696" s="29">
        <v>58.92</v>
      </c>
      <c r="G696" s="30" t="s">
        <v>27</v>
      </c>
      <c r="H696" s="27" t="s">
        <v>40</v>
      </c>
      <c r="I696" s="27" t="s">
        <v>29</v>
      </c>
      <c r="J696" s="27" t="s">
        <v>109</v>
      </c>
      <c r="K696" s="27" t="s">
        <v>58</v>
      </c>
      <c r="L696" s="31" t="s">
        <v>694</v>
      </c>
      <c r="M696" s="32">
        <v>0.64</v>
      </c>
      <c r="N696" s="27" t="s">
        <v>33</v>
      </c>
      <c r="O696" s="27" t="s">
        <v>111</v>
      </c>
      <c r="P696" s="27" t="s">
        <v>317</v>
      </c>
      <c r="Q696" s="27" t="s">
        <v>1478</v>
      </c>
      <c r="R696" s="33">
        <v>44515</v>
      </c>
      <c r="S696" s="34">
        <v>42065</v>
      </c>
      <c r="T696" s="34">
        <v>42066</v>
      </c>
      <c r="U696" s="29">
        <v>1660.92</v>
      </c>
      <c r="V696" s="26">
        <v>14</v>
      </c>
      <c r="W696" s="29">
        <v>5086.08</v>
      </c>
      <c r="X696" s="26">
        <v>91376</v>
      </c>
      <c r="Y696" s="35">
        <v>170.89999999999998</v>
      </c>
      <c r="Z696" s="1" t="s">
        <v>3014</v>
      </c>
      <c r="AA696" s="36">
        <v>299.02319999999997</v>
      </c>
      <c r="AB696" s="54">
        <v>1830.9887999999999</v>
      </c>
      <c r="AC696" s="54">
        <v>232.5065142857143</v>
      </c>
      <c r="AD696" s="36">
        <v>3067.2167999999997</v>
      </c>
    </row>
    <row r="697" spans="1:30" s="37" customFormat="1" ht="15.75" customHeight="1" x14ac:dyDescent="0.2">
      <c r="A697" s="26">
        <v>64</v>
      </c>
      <c r="B697" s="27" t="s">
        <v>1471</v>
      </c>
      <c r="C697" s="27" t="s">
        <v>3094</v>
      </c>
      <c r="D697" s="28">
        <v>0.02</v>
      </c>
      <c r="E697" s="29">
        <v>175.99</v>
      </c>
      <c r="F697" s="29">
        <v>4.99</v>
      </c>
      <c r="G697" s="30" t="s">
        <v>87</v>
      </c>
      <c r="H697" s="27" t="s">
        <v>3095</v>
      </c>
      <c r="I697" s="27" t="s">
        <v>41</v>
      </c>
      <c r="J697" s="27" t="s">
        <v>135</v>
      </c>
      <c r="K697" s="27" t="s">
        <v>73</v>
      </c>
      <c r="L697" s="31" t="s">
        <v>1249</v>
      </c>
      <c r="M697" s="32">
        <v>0.59</v>
      </c>
      <c r="N697" s="27" t="s">
        <v>33</v>
      </c>
      <c r="O697" s="27" t="s">
        <v>34</v>
      </c>
      <c r="P697" s="27" t="s">
        <v>242</v>
      </c>
      <c r="Q697" s="27" t="s">
        <v>1473</v>
      </c>
      <c r="R697" s="33">
        <v>24153</v>
      </c>
      <c r="S697" s="34">
        <v>42065</v>
      </c>
      <c r="T697" s="34">
        <v>42065</v>
      </c>
      <c r="U697" s="29">
        <v>101.49</v>
      </c>
      <c r="V697" s="26">
        <v>4</v>
      </c>
      <c r="W697" s="29">
        <v>589.79999999999995</v>
      </c>
      <c r="X697" s="26">
        <v>87406</v>
      </c>
      <c r="Y697" s="35">
        <v>3.69</v>
      </c>
      <c r="Z697" s="1" t="s">
        <v>3011</v>
      </c>
      <c r="AA697" s="36">
        <v>14.0792</v>
      </c>
      <c r="AB697" s="54">
        <v>241.81800000000001</v>
      </c>
      <c r="AC697" s="54">
        <v>86.995499999999993</v>
      </c>
      <c r="AD697" s="36">
        <v>469.24079999999998</v>
      </c>
    </row>
    <row r="698" spans="1:30" s="37" customFormat="1" ht="15.75" customHeight="1" x14ac:dyDescent="0.2">
      <c r="A698" s="26">
        <v>2878</v>
      </c>
      <c r="B698" s="27" t="s">
        <v>1476</v>
      </c>
      <c r="C698" s="27" t="s">
        <v>3094</v>
      </c>
      <c r="D698" s="28">
        <v>0</v>
      </c>
      <c r="E698" s="29">
        <v>8.33</v>
      </c>
      <c r="F698" s="29">
        <v>1.99</v>
      </c>
      <c r="G698" s="30" t="s">
        <v>87</v>
      </c>
      <c r="H698" s="27" t="s">
        <v>40</v>
      </c>
      <c r="I698" s="27" t="s">
        <v>41</v>
      </c>
      <c r="J698" s="27" t="s">
        <v>42</v>
      </c>
      <c r="K698" s="27" t="s">
        <v>43</v>
      </c>
      <c r="L698" s="31" t="s">
        <v>1174</v>
      </c>
      <c r="M698" s="32">
        <v>0.52</v>
      </c>
      <c r="N698" s="27" t="s">
        <v>33</v>
      </c>
      <c r="O698" s="27" t="s">
        <v>60</v>
      </c>
      <c r="P698" s="27" t="s">
        <v>67</v>
      </c>
      <c r="Q698" s="27" t="s">
        <v>142</v>
      </c>
      <c r="R698" s="33">
        <v>98107</v>
      </c>
      <c r="S698" s="34">
        <v>42065</v>
      </c>
      <c r="T698" s="34">
        <v>42067</v>
      </c>
      <c r="U698" s="29">
        <v>82.31</v>
      </c>
      <c r="V698" s="26">
        <v>47</v>
      </c>
      <c r="W698" s="29">
        <v>421.08</v>
      </c>
      <c r="X698" s="26">
        <v>54369</v>
      </c>
      <c r="Y698" s="35">
        <v>175.97</v>
      </c>
      <c r="Z698" s="1" t="s">
        <v>3013</v>
      </c>
      <c r="AA698" s="36">
        <v>0</v>
      </c>
      <c r="AB698" s="54">
        <v>202.11839999999998</v>
      </c>
      <c r="AC698" s="54">
        <v>4.6587574468085107</v>
      </c>
      <c r="AD698" s="36">
        <v>336.78</v>
      </c>
    </row>
    <row r="699" spans="1:30" s="37" customFormat="1" ht="15.75" customHeight="1" x14ac:dyDescent="0.2">
      <c r="A699" s="26">
        <v>3187</v>
      </c>
      <c r="B699" s="27" t="s">
        <v>1468</v>
      </c>
      <c r="C699" s="27" t="s">
        <v>38</v>
      </c>
      <c r="D699" s="28">
        <v>0.08</v>
      </c>
      <c r="E699" s="29">
        <v>170.98</v>
      </c>
      <c r="F699" s="29">
        <v>35.89</v>
      </c>
      <c r="G699" s="30" t="s">
        <v>27</v>
      </c>
      <c r="H699" s="27" t="s">
        <v>3095</v>
      </c>
      <c r="I699" s="27" t="s">
        <v>29</v>
      </c>
      <c r="J699" s="27" t="s">
        <v>117</v>
      </c>
      <c r="K699" s="27" t="s">
        <v>31</v>
      </c>
      <c r="L699" s="31" t="s">
        <v>1469</v>
      </c>
      <c r="M699" s="32">
        <v>0.66</v>
      </c>
      <c r="N699" s="27" t="s">
        <v>33</v>
      </c>
      <c r="O699" s="27" t="s">
        <v>34</v>
      </c>
      <c r="P699" s="27" t="s">
        <v>123</v>
      </c>
      <c r="Q699" s="27" t="s">
        <v>1470</v>
      </c>
      <c r="R699" s="33">
        <v>33569</v>
      </c>
      <c r="S699" s="34">
        <v>42065</v>
      </c>
      <c r="T699" s="34">
        <v>42067</v>
      </c>
      <c r="U699" s="29">
        <v>-119.812</v>
      </c>
      <c r="V699" s="26">
        <v>1</v>
      </c>
      <c r="W699" s="29">
        <v>199.48</v>
      </c>
      <c r="X699" s="26">
        <v>89025</v>
      </c>
      <c r="Y699" s="35">
        <v>8.33</v>
      </c>
      <c r="Z699" s="1" t="s">
        <v>3011</v>
      </c>
      <c r="AA699" s="36">
        <v>13.6784</v>
      </c>
      <c r="AB699" s="54">
        <v>67.823199999999986</v>
      </c>
      <c r="AC699" s="54">
        <v>131.6568</v>
      </c>
      <c r="AD699" s="36">
        <v>269.72359999999998</v>
      </c>
    </row>
    <row r="700" spans="1:30" s="37" customFormat="1" ht="15.75" customHeight="1" x14ac:dyDescent="0.2">
      <c r="A700" s="26">
        <v>2877</v>
      </c>
      <c r="B700" s="27" t="s">
        <v>1474</v>
      </c>
      <c r="C700" s="27" t="s">
        <v>3094</v>
      </c>
      <c r="D700" s="28">
        <v>0</v>
      </c>
      <c r="E700" s="29">
        <v>8.33</v>
      </c>
      <c r="F700" s="29">
        <v>1.99</v>
      </c>
      <c r="G700" s="30" t="s">
        <v>87</v>
      </c>
      <c r="H700" s="27" t="s">
        <v>40</v>
      </c>
      <c r="I700" s="27" t="s">
        <v>41</v>
      </c>
      <c r="J700" s="27" t="s">
        <v>42</v>
      </c>
      <c r="K700" s="27" t="s">
        <v>43</v>
      </c>
      <c r="L700" s="31" t="s">
        <v>1174</v>
      </c>
      <c r="M700" s="32">
        <v>0.52</v>
      </c>
      <c r="N700" s="27" t="s">
        <v>33</v>
      </c>
      <c r="O700" s="27" t="s">
        <v>111</v>
      </c>
      <c r="P700" s="27" t="s">
        <v>317</v>
      </c>
      <c r="Q700" s="27" t="s">
        <v>1475</v>
      </c>
      <c r="R700" s="33">
        <v>44070</v>
      </c>
      <c r="S700" s="34">
        <v>42065</v>
      </c>
      <c r="T700" s="34">
        <v>42067</v>
      </c>
      <c r="U700" s="29">
        <v>74.181899999999999</v>
      </c>
      <c r="V700" s="26">
        <v>12</v>
      </c>
      <c r="W700" s="29">
        <v>107.51</v>
      </c>
      <c r="X700" s="26">
        <v>91492</v>
      </c>
      <c r="Y700" s="35">
        <v>8.33</v>
      </c>
      <c r="Z700" s="1" t="s">
        <v>3014</v>
      </c>
      <c r="AA700" s="36">
        <v>0</v>
      </c>
      <c r="AB700" s="54">
        <v>51.604799999999997</v>
      </c>
      <c r="AC700" s="54">
        <v>4.6587666666666667</v>
      </c>
      <c r="AD700" s="36">
        <v>31.338100000000011</v>
      </c>
    </row>
    <row r="701" spans="1:30" s="37" customFormat="1" ht="15.75" customHeight="1" x14ac:dyDescent="0.2">
      <c r="A701" s="26">
        <v>64</v>
      </c>
      <c r="B701" s="27" t="s">
        <v>1471</v>
      </c>
      <c r="C701" s="27" t="s">
        <v>3094</v>
      </c>
      <c r="D701" s="28">
        <v>0</v>
      </c>
      <c r="E701" s="29">
        <v>3.69</v>
      </c>
      <c r="F701" s="29">
        <v>0.5</v>
      </c>
      <c r="G701" s="30" t="s">
        <v>39</v>
      </c>
      <c r="H701" s="27" t="s">
        <v>3095</v>
      </c>
      <c r="I701" s="27" t="s">
        <v>49</v>
      </c>
      <c r="J701" s="27" t="s">
        <v>152</v>
      </c>
      <c r="K701" s="27" t="s">
        <v>73</v>
      </c>
      <c r="L701" s="31" t="s">
        <v>1472</v>
      </c>
      <c r="M701" s="32">
        <v>0.38</v>
      </c>
      <c r="N701" s="27" t="s">
        <v>33</v>
      </c>
      <c r="O701" s="27" t="s">
        <v>34</v>
      </c>
      <c r="P701" s="27" t="s">
        <v>242</v>
      </c>
      <c r="Q701" s="27" t="s">
        <v>1473</v>
      </c>
      <c r="R701" s="33">
        <v>24153</v>
      </c>
      <c r="S701" s="34">
        <v>42065</v>
      </c>
      <c r="T701" s="34">
        <v>42067</v>
      </c>
      <c r="U701" s="29">
        <v>-37.5291</v>
      </c>
      <c r="V701" s="26">
        <v>1</v>
      </c>
      <c r="W701" s="29">
        <v>4</v>
      </c>
      <c r="X701" s="26">
        <v>87406</v>
      </c>
      <c r="Y701" s="35">
        <v>355.92</v>
      </c>
      <c r="Z701" s="1" t="s">
        <v>3011</v>
      </c>
      <c r="AA701" s="36">
        <v>0</v>
      </c>
      <c r="AB701" s="54">
        <v>2.48</v>
      </c>
      <c r="AC701" s="54">
        <v>1.52</v>
      </c>
      <c r="AD701" s="36">
        <v>41.0291</v>
      </c>
    </row>
    <row r="702" spans="1:30" s="37" customFormat="1" ht="15.75" customHeight="1" x14ac:dyDescent="0.2">
      <c r="A702" s="26">
        <v>428</v>
      </c>
      <c r="B702" s="27" t="s">
        <v>511</v>
      </c>
      <c r="C702" s="27" t="s">
        <v>3094</v>
      </c>
      <c r="D702" s="28">
        <v>0.05</v>
      </c>
      <c r="E702" s="29">
        <v>10.98</v>
      </c>
      <c r="F702" s="29">
        <v>4.8</v>
      </c>
      <c r="G702" s="30" t="s">
        <v>39</v>
      </c>
      <c r="H702" s="27" t="s">
        <v>94</v>
      </c>
      <c r="I702" s="27" t="s">
        <v>49</v>
      </c>
      <c r="J702" s="27" t="s">
        <v>345</v>
      </c>
      <c r="K702" s="27" t="s">
        <v>73</v>
      </c>
      <c r="L702" s="31" t="s">
        <v>1481</v>
      </c>
      <c r="M702" s="32">
        <v>0.36</v>
      </c>
      <c r="N702" s="27" t="s">
        <v>33</v>
      </c>
      <c r="O702" s="27" t="s">
        <v>60</v>
      </c>
      <c r="P702" s="27" t="s">
        <v>296</v>
      </c>
      <c r="Q702" s="27" t="s">
        <v>513</v>
      </c>
      <c r="R702" s="33">
        <v>89701</v>
      </c>
      <c r="S702" s="34">
        <v>42066</v>
      </c>
      <c r="T702" s="34">
        <v>42068</v>
      </c>
      <c r="U702" s="29">
        <v>90.62</v>
      </c>
      <c r="V702" s="26">
        <v>22</v>
      </c>
      <c r="W702" s="29">
        <v>243.11</v>
      </c>
      <c r="X702" s="26">
        <v>88480</v>
      </c>
      <c r="Y702" s="35">
        <v>2</v>
      </c>
      <c r="Z702" s="1" t="s">
        <v>3013</v>
      </c>
      <c r="AA702" s="36">
        <v>12.078000000000001</v>
      </c>
      <c r="AB702" s="54">
        <v>155.59040000000002</v>
      </c>
      <c r="AC702" s="54">
        <v>3.9781636363636363</v>
      </c>
      <c r="AD702" s="36">
        <v>135.61200000000002</v>
      </c>
    </row>
    <row r="703" spans="1:30" s="37" customFormat="1" ht="15.75" customHeight="1" x14ac:dyDescent="0.2">
      <c r="A703" s="26">
        <v>1686</v>
      </c>
      <c r="B703" s="27" t="s">
        <v>1479</v>
      </c>
      <c r="C703" s="27" t="s">
        <v>48</v>
      </c>
      <c r="D703" s="28">
        <v>0.08</v>
      </c>
      <c r="E703" s="29">
        <v>2.08</v>
      </c>
      <c r="F703" s="29">
        <v>5.33</v>
      </c>
      <c r="G703" s="30" t="s">
        <v>39</v>
      </c>
      <c r="H703" s="27" t="s">
        <v>94</v>
      </c>
      <c r="I703" s="27" t="s">
        <v>29</v>
      </c>
      <c r="J703" s="27" t="s">
        <v>126</v>
      </c>
      <c r="K703" s="27" t="s">
        <v>73</v>
      </c>
      <c r="L703" s="31" t="s">
        <v>459</v>
      </c>
      <c r="M703" s="32">
        <v>0.43</v>
      </c>
      <c r="N703" s="27" t="s">
        <v>33</v>
      </c>
      <c r="O703" s="27" t="s">
        <v>53</v>
      </c>
      <c r="P703" s="27" t="s">
        <v>103</v>
      </c>
      <c r="Q703" s="27" t="s">
        <v>1480</v>
      </c>
      <c r="R703" s="33">
        <v>60123</v>
      </c>
      <c r="S703" s="34">
        <v>42066</v>
      </c>
      <c r="T703" s="34">
        <v>42073</v>
      </c>
      <c r="U703" s="29">
        <v>-129.01</v>
      </c>
      <c r="V703" s="26">
        <v>9</v>
      </c>
      <c r="W703" s="29">
        <v>19.670000000000002</v>
      </c>
      <c r="X703" s="26">
        <v>86973</v>
      </c>
      <c r="Y703" s="35">
        <v>10.93</v>
      </c>
      <c r="Z703" s="1" t="s">
        <v>3012</v>
      </c>
      <c r="AA703" s="36">
        <v>1.4976000000000003</v>
      </c>
      <c r="AB703" s="54">
        <v>11.211900000000002</v>
      </c>
      <c r="AC703" s="54">
        <v>0.9397888888888889</v>
      </c>
      <c r="AD703" s="36">
        <v>141.85239999999999</v>
      </c>
    </row>
    <row r="704" spans="1:30" s="37" customFormat="1" ht="15.75" customHeight="1" x14ac:dyDescent="0.2">
      <c r="A704" s="26">
        <v>679</v>
      </c>
      <c r="B704" s="27" t="s">
        <v>1488</v>
      </c>
      <c r="C704" s="27" t="s">
        <v>116</v>
      </c>
      <c r="D704" s="28">
        <v>0.02</v>
      </c>
      <c r="E704" s="29">
        <v>367.99</v>
      </c>
      <c r="F704" s="29">
        <v>19.989999999999998</v>
      </c>
      <c r="G704" s="30" t="s">
        <v>39</v>
      </c>
      <c r="H704" s="27" t="s">
        <v>94</v>
      </c>
      <c r="I704" s="27" t="s">
        <v>49</v>
      </c>
      <c r="J704" s="27" t="s">
        <v>72</v>
      </c>
      <c r="K704" s="27" t="s">
        <v>73</v>
      </c>
      <c r="L704" s="31" t="s">
        <v>1491</v>
      </c>
      <c r="M704" s="32">
        <v>0.4</v>
      </c>
      <c r="N704" s="27" t="s">
        <v>33</v>
      </c>
      <c r="O704" s="27" t="s">
        <v>60</v>
      </c>
      <c r="P704" s="27" t="s">
        <v>67</v>
      </c>
      <c r="Q704" s="27" t="s">
        <v>1490</v>
      </c>
      <c r="R704" s="33">
        <v>98387</v>
      </c>
      <c r="S704" s="34">
        <v>42067</v>
      </c>
      <c r="T704" s="34">
        <v>42068</v>
      </c>
      <c r="U704" s="29">
        <v>4568.6072999999997</v>
      </c>
      <c r="V704" s="26">
        <v>17</v>
      </c>
      <c r="W704" s="29">
        <v>6621.17</v>
      </c>
      <c r="X704" s="26">
        <v>88890</v>
      </c>
      <c r="Y704" s="35">
        <v>280.96000000000004</v>
      </c>
      <c r="Z704" s="1" t="s">
        <v>3013</v>
      </c>
      <c r="AA704" s="36">
        <v>125.11660000000001</v>
      </c>
      <c r="AB704" s="54">
        <v>3972.7019999999998</v>
      </c>
      <c r="AC704" s="54">
        <v>155.79223529411766</v>
      </c>
      <c r="AD704" s="36">
        <v>1907.4561000000003</v>
      </c>
    </row>
    <row r="705" spans="1:30" s="37" customFormat="1" ht="15.75" customHeight="1" x14ac:dyDescent="0.2">
      <c r="A705" s="26">
        <v>91</v>
      </c>
      <c r="B705" s="27" t="s">
        <v>1246</v>
      </c>
      <c r="C705" s="27" t="s">
        <v>116</v>
      </c>
      <c r="D705" s="28">
        <v>0.06</v>
      </c>
      <c r="E705" s="29">
        <v>175.99</v>
      </c>
      <c r="F705" s="29">
        <v>8.99</v>
      </c>
      <c r="G705" s="30" t="s">
        <v>39</v>
      </c>
      <c r="H705" s="27" t="s">
        <v>94</v>
      </c>
      <c r="I705" s="27" t="s">
        <v>41</v>
      </c>
      <c r="J705" s="27" t="s">
        <v>135</v>
      </c>
      <c r="K705" s="27" t="s">
        <v>73</v>
      </c>
      <c r="L705" s="31" t="s">
        <v>1179</v>
      </c>
      <c r="M705" s="32">
        <v>0.56999999999999995</v>
      </c>
      <c r="N705" s="27" t="s">
        <v>33</v>
      </c>
      <c r="O705" s="27" t="s">
        <v>60</v>
      </c>
      <c r="P705" s="27" t="s">
        <v>90</v>
      </c>
      <c r="Q705" s="27" t="s">
        <v>1247</v>
      </c>
      <c r="R705" s="33">
        <v>94591</v>
      </c>
      <c r="S705" s="34">
        <v>42067</v>
      </c>
      <c r="T705" s="34">
        <v>42069</v>
      </c>
      <c r="U705" s="29">
        <v>2031.5070000000001</v>
      </c>
      <c r="V705" s="26">
        <v>23</v>
      </c>
      <c r="W705" s="29">
        <v>3363.53</v>
      </c>
      <c r="X705" s="26">
        <v>87177</v>
      </c>
      <c r="Y705" s="35">
        <v>5.32</v>
      </c>
      <c r="Z705" s="1" t="s">
        <v>3013</v>
      </c>
      <c r="AA705" s="36">
        <v>242.86619999999999</v>
      </c>
      <c r="AB705" s="54">
        <v>1446.3179000000002</v>
      </c>
      <c r="AC705" s="54">
        <v>83.357047826086955</v>
      </c>
      <c r="AD705" s="36">
        <v>1080.1668</v>
      </c>
    </row>
    <row r="706" spans="1:30" s="37" customFormat="1" ht="15.75" customHeight="1" x14ac:dyDescent="0.2">
      <c r="A706" s="26">
        <v>3133</v>
      </c>
      <c r="B706" s="27" t="s">
        <v>561</v>
      </c>
      <c r="C706" s="27" t="s">
        <v>26</v>
      </c>
      <c r="D706" s="28">
        <v>0.04</v>
      </c>
      <c r="E706" s="29">
        <v>155.99</v>
      </c>
      <c r="F706" s="29">
        <v>8.08</v>
      </c>
      <c r="G706" s="30" t="s">
        <v>39</v>
      </c>
      <c r="H706" s="27" t="s">
        <v>94</v>
      </c>
      <c r="I706" s="27" t="s">
        <v>41</v>
      </c>
      <c r="J706" s="27" t="s">
        <v>135</v>
      </c>
      <c r="K706" s="27" t="s">
        <v>73</v>
      </c>
      <c r="L706" s="31" t="s">
        <v>1487</v>
      </c>
      <c r="M706" s="32">
        <v>0.6</v>
      </c>
      <c r="N706" s="27" t="s">
        <v>33</v>
      </c>
      <c r="O706" s="27" t="s">
        <v>53</v>
      </c>
      <c r="P706" s="27" t="s">
        <v>103</v>
      </c>
      <c r="Q706" s="27" t="s">
        <v>562</v>
      </c>
      <c r="R706" s="33">
        <v>60540</v>
      </c>
      <c r="S706" s="34">
        <v>42067</v>
      </c>
      <c r="T706" s="34">
        <v>42068</v>
      </c>
      <c r="U706" s="29">
        <v>1374.9480000000001</v>
      </c>
      <c r="V706" s="26">
        <v>22</v>
      </c>
      <c r="W706" s="29">
        <v>2800.33</v>
      </c>
      <c r="X706" s="26">
        <v>86792</v>
      </c>
      <c r="Y706" s="35">
        <v>8.370000000000001</v>
      </c>
      <c r="Z706" s="1" t="s">
        <v>3012</v>
      </c>
      <c r="AA706" s="36">
        <v>137.27119999999999</v>
      </c>
      <c r="AB706" s="54">
        <v>1120.1320000000001</v>
      </c>
      <c r="AC706" s="54">
        <v>76.37263636363636</v>
      </c>
      <c r="AD706" s="36">
        <v>1280.0308</v>
      </c>
    </row>
    <row r="707" spans="1:30" s="37" customFormat="1" ht="15.75" customHeight="1" x14ac:dyDescent="0.2">
      <c r="A707" s="26">
        <v>568</v>
      </c>
      <c r="B707" s="27" t="s">
        <v>1482</v>
      </c>
      <c r="C707" s="27" t="s">
        <v>26</v>
      </c>
      <c r="D707" s="28">
        <v>0.02</v>
      </c>
      <c r="E707" s="29">
        <v>280.98</v>
      </c>
      <c r="F707" s="29">
        <v>57</v>
      </c>
      <c r="G707" s="30" t="s">
        <v>27</v>
      </c>
      <c r="H707" s="27" t="s">
        <v>40</v>
      </c>
      <c r="I707" s="27" t="s">
        <v>29</v>
      </c>
      <c r="J707" s="27" t="s">
        <v>109</v>
      </c>
      <c r="K707" s="27" t="s">
        <v>58</v>
      </c>
      <c r="L707" s="31" t="s">
        <v>862</v>
      </c>
      <c r="M707" s="32">
        <v>0.78</v>
      </c>
      <c r="N707" s="27" t="s">
        <v>33</v>
      </c>
      <c r="O707" s="27" t="s">
        <v>34</v>
      </c>
      <c r="P707" s="27" t="s">
        <v>35</v>
      </c>
      <c r="Q707" s="27" t="s">
        <v>1483</v>
      </c>
      <c r="R707" s="33">
        <v>39701</v>
      </c>
      <c r="S707" s="34">
        <v>42067</v>
      </c>
      <c r="T707" s="34">
        <v>42068</v>
      </c>
      <c r="U707" s="29">
        <v>1141.7940000000001</v>
      </c>
      <c r="V707" s="26">
        <v>4</v>
      </c>
      <c r="W707" s="29">
        <v>1128.74</v>
      </c>
      <c r="X707" s="26">
        <v>88879</v>
      </c>
      <c r="Y707" s="35">
        <v>14.77</v>
      </c>
      <c r="Z707" s="1" t="s">
        <v>3011</v>
      </c>
      <c r="AA707" s="36">
        <v>22.478400000000001</v>
      </c>
      <c r="AB707" s="54">
        <v>248.32279999999997</v>
      </c>
      <c r="AC707" s="54">
        <v>220.10430000000002</v>
      </c>
      <c r="AD707" s="36">
        <v>-92.532400000000052</v>
      </c>
    </row>
    <row r="708" spans="1:30" s="37" customFormat="1" ht="15.75" customHeight="1" x14ac:dyDescent="0.2">
      <c r="A708" s="26">
        <v>2358</v>
      </c>
      <c r="B708" s="27" t="s">
        <v>1166</v>
      </c>
      <c r="C708" s="27" t="s">
        <v>48</v>
      </c>
      <c r="D708" s="28">
        <v>0.1</v>
      </c>
      <c r="E708" s="29">
        <v>205.99</v>
      </c>
      <c r="F708" s="29">
        <v>8.99</v>
      </c>
      <c r="G708" s="30" t="s">
        <v>39</v>
      </c>
      <c r="H708" s="27" t="s">
        <v>94</v>
      </c>
      <c r="I708" s="27" t="s">
        <v>41</v>
      </c>
      <c r="J708" s="27" t="s">
        <v>135</v>
      </c>
      <c r="K708" s="27" t="s">
        <v>73</v>
      </c>
      <c r="L708" s="31" t="s">
        <v>663</v>
      </c>
      <c r="M708" s="32">
        <v>0.56000000000000005</v>
      </c>
      <c r="N708" s="27" t="s">
        <v>33</v>
      </c>
      <c r="O708" s="27" t="s">
        <v>34</v>
      </c>
      <c r="P708" s="27" t="s">
        <v>123</v>
      </c>
      <c r="Q708" s="27" t="s">
        <v>1096</v>
      </c>
      <c r="R708" s="33">
        <v>33311</v>
      </c>
      <c r="S708" s="34">
        <v>42067</v>
      </c>
      <c r="T708" s="34">
        <v>42071</v>
      </c>
      <c r="U708" s="29">
        <v>147</v>
      </c>
      <c r="V708" s="26">
        <v>2</v>
      </c>
      <c r="W708" s="29">
        <v>324.62</v>
      </c>
      <c r="X708" s="26">
        <v>88267</v>
      </c>
      <c r="Y708" s="35">
        <v>155.95000000000002</v>
      </c>
      <c r="Z708" s="1" t="s">
        <v>3011</v>
      </c>
      <c r="AA708" s="36">
        <v>41.198000000000008</v>
      </c>
      <c r="AB708" s="54">
        <v>142.83279999999999</v>
      </c>
      <c r="AC708" s="54">
        <v>90.893600000000006</v>
      </c>
      <c r="AD708" s="36">
        <v>127.43199999999999</v>
      </c>
    </row>
    <row r="709" spans="1:30" s="37" customFormat="1" ht="15.75" customHeight="1" x14ac:dyDescent="0.2">
      <c r="A709" s="26">
        <v>680</v>
      </c>
      <c r="B709" s="27" t="s">
        <v>1492</v>
      </c>
      <c r="C709" s="27" t="s">
        <v>116</v>
      </c>
      <c r="D709" s="28">
        <v>0.04</v>
      </c>
      <c r="E709" s="29">
        <v>95.99</v>
      </c>
      <c r="F709" s="29">
        <v>4.9000000000000004</v>
      </c>
      <c r="G709" s="30" t="s">
        <v>39</v>
      </c>
      <c r="H709" s="27" t="s">
        <v>94</v>
      </c>
      <c r="I709" s="27" t="s">
        <v>41</v>
      </c>
      <c r="J709" s="27" t="s">
        <v>135</v>
      </c>
      <c r="K709" s="27" t="s">
        <v>73</v>
      </c>
      <c r="L709" s="31" t="s">
        <v>768</v>
      </c>
      <c r="M709" s="32">
        <v>0.56000000000000005</v>
      </c>
      <c r="N709" s="27" t="s">
        <v>33</v>
      </c>
      <c r="O709" s="27" t="s">
        <v>60</v>
      </c>
      <c r="P709" s="27" t="s">
        <v>67</v>
      </c>
      <c r="Q709" s="27" t="s">
        <v>1493</v>
      </c>
      <c r="R709" s="33">
        <v>99207</v>
      </c>
      <c r="S709" s="34">
        <v>42067</v>
      </c>
      <c r="T709" s="34">
        <v>42069</v>
      </c>
      <c r="U709" s="29">
        <v>-258.22500000000002</v>
      </c>
      <c r="V709" s="26">
        <v>3</v>
      </c>
      <c r="W709" s="29">
        <v>253.78</v>
      </c>
      <c r="X709" s="26">
        <v>88890</v>
      </c>
      <c r="Y709" s="35">
        <v>10.08</v>
      </c>
      <c r="Z709" s="1" t="s">
        <v>3013</v>
      </c>
      <c r="AA709" s="36">
        <v>11.518799999999999</v>
      </c>
      <c r="AB709" s="54">
        <v>111.66319999999999</v>
      </c>
      <c r="AC709" s="54">
        <v>47.372266666666668</v>
      </c>
      <c r="AD709" s="36">
        <v>495.58620000000002</v>
      </c>
    </row>
    <row r="710" spans="1:30" s="37" customFormat="1" ht="15.75" customHeight="1" x14ac:dyDescent="0.2">
      <c r="A710" s="26">
        <v>3133</v>
      </c>
      <c r="B710" s="27" t="s">
        <v>561</v>
      </c>
      <c r="C710" s="27" t="s">
        <v>26</v>
      </c>
      <c r="D710" s="28">
        <v>0.21</v>
      </c>
      <c r="E710" s="29">
        <v>14.98</v>
      </c>
      <c r="F710" s="29">
        <v>8.99</v>
      </c>
      <c r="G710" s="30" t="s">
        <v>39</v>
      </c>
      <c r="H710" s="27" t="s">
        <v>94</v>
      </c>
      <c r="I710" s="27" t="s">
        <v>29</v>
      </c>
      <c r="J710" s="27" t="s">
        <v>126</v>
      </c>
      <c r="K710" s="27" t="s">
        <v>43</v>
      </c>
      <c r="L710" s="31" t="s">
        <v>1486</v>
      </c>
      <c r="M710" s="32">
        <v>0.39</v>
      </c>
      <c r="N710" s="27" t="s">
        <v>33</v>
      </c>
      <c r="O710" s="27" t="s">
        <v>53</v>
      </c>
      <c r="P710" s="27" t="s">
        <v>103</v>
      </c>
      <c r="Q710" s="27" t="s">
        <v>562</v>
      </c>
      <c r="R710" s="33">
        <v>60540</v>
      </c>
      <c r="S710" s="34">
        <v>42067</v>
      </c>
      <c r="T710" s="34">
        <v>42068</v>
      </c>
      <c r="U710" s="29">
        <v>-17.75</v>
      </c>
      <c r="V710" s="26">
        <v>10</v>
      </c>
      <c r="W710" s="29">
        <v>153.87</v>
      </c>
      <c r="X710" s="26">
        <v>86792</v>
      </c>
      <c r="Y710" s="35">
        <v>205.89000000000001</v>
      </c>
      <c r="Z710" s="1" t="s">
        <v>3012</v>
      </c>
      <c r="AA710" s="36">
        <v>31.457999999999998</v>
      </c>
      <c r="AB710" s="54">
        <v>93.860699999999994</v>
      </c>
      <c r="AC710" s="54">
        <v>6.0009300000000003</v>
      </c>
      <c r="AD710" s="36">
        <v>131.172</v>
      </c>
    </row>
    <row r="711" spans="1:30" s="37" customFormat="1" ht="15.75" customHeight="1" x14ac:dyDescent="0.2">
      <c r="A711" s="26">
        <v>3133</v>
      </c>
      <c r="B711" s="27" t="s">
        <v>561</v>
      </c>
      <c r="C711" s="27" t="s">
        <v>26</v>
      </c>
      <c r="D711" s="28">
        <v>0.09</v>
      </c>
      <c r="E711" s="29">
        <v>8.4600000000000009</v>
      </c>
      <c r="F711" s="29">
        <v>8.99</v>
      </c>
      <c r="G711" s="30" t="s">
        <v>87</v>
      </c>
      <c r="H711" s="27" t="s">
        <v>94</v>
      </c>
      <c r="I711" s="27" t="s">
        <v>41</v>
      </c>
      <c r="J711" s="27" t="s">
        <v>42</v>
      </c>
      <c r="K711" s="27" t="s">
        <v>43</v>
      </c>
      <c r="L711" s="31" t="s">
        <v>1485</v>
      </c>
      <c r="M711" s="32">
        <v>0.79</v>
      </c>
      <c r="N711" s="27" t="s">
        <v>33</v>
      </c>
      <c r="O711" s="27" t="s">
        <v>53</v>
      </c>
      <c r="P711" s="27" t="s">
        <v>103</v>
      </c>
      <c r="Q711" s="27" t="s">
        <v>562</v>
      </c>
      <c r="R711" s="33">
        <v>60540</v>
      </c>
      <c r="S711" s="34">
        <v>42067</v>
      </c>
      <c r="T711" s="34">
        <v>42070</v>
      </c>
      <c r="U711" s="29">
        <v>-100.51</v>
      </c>
      <c r="V711" s="26">
        <v>5</v>
      </c>
      <c r="W711" s="29">
        <v>45.03</v>
      </c>
      <c r="X711" s="26">
        <v>86792</v>
      </c>
      <c r="Y711" s="35">
        <v>175.93</v>
      </c>
      <c r="Z711" s="1" t="s">
        <v>3012</v>
      </c>
      <c r="AA711" s="36">
        <v>3.8070000000000004</v>
      </c>
      <c r="AB711" s="54">
        <v>9.4562999999999988</v>
      </c>
      <c r="AC711" s="54">
        <v>7.1147400000000003</v>
      </c>
      <c r="AD711" s="36">
        <v>132.74299999999999</v>
      </c>
    </row>
    <row r="712" spans="1:30" s="37" customFormat="1" ht="15.75" customHeight="1" x14ac:dyDescent="0.2">
      <c r="A712" s="26">
        <v>3133</v>
      </c>
      <c r="B712" s="27" t="s">
        <v>561</v>
      </c>
      <c r="C712" s="27" t="s">
        <v>26</v>
      </c>
      <c r="D712" s="28">
        <v>0.08</v>
      </c>
      <c r="E712" s="29">
        <v>5.4</v>
      </c>
      <c r="F712" s="29">
        <v>7.78</v>
      </c>
      <c r="G712" s="30" t="s">
        <v>39</v>
      </c>
      <c r="H712" s="27" t="s">
        <v>94</v>
      </c>
      <c r="I712" s="27" t="s">
        <v>49</v>
      </c>
      <c r="J712" s="27" t="s">
        <v>72</v>
      </c>
      <c r="K712" s="27" t="s">
        <v>73</v>
      </c>
      <c r="L712" s="31" t="s">
        <v>1484</v>
      </c>
      <c r="M712" s="32">
        <v>0.37</v>
      </c>
      <c r="N712" s="27" t="s">
        <v>33</v>
      </c>
      <c r="O712" s="27" t="s">
        <v>53</v>
      </c>
      <c r="P712" s="27" t="s">
        <v>103</v>
      </c>
      <c r="Q712" s="27" t="s">
        <v>562</v>
      </c>
      <c r="R712" s="33">
        <v>60540</v>
      </c>
      <c r="S712" s="34">
        <v>42067</v>
      </c>
      <c r="T712" s="34">
        <v>42067</v>
      </c>
      <c r="U712" s="29">
        <v>-44.067999999999998</v>
      </c>
      <c r="V712" s="26">
        <v>4</v>
      </c>
      <c r="W712" s="29">
        <v>25.35</v>
      </c>
      <c r="X712" s="26">
        <v>86792</v>
      </c>
      <c r="Y712" s="35">
        <v>3.9400000000000004</v>
      </c>
      <c r="Z712" s="1" t="s">
        <v>3012</v>
      </c>
      <c r="AA712" s="36">
        <v>1.7280000000000002</v>
      </c>
      <c r="AB712" s="54">
        <v>15.970500000000001</v>
      </c>
      <c r="AC712" s="54">
        <v>2.344875</v>
      </c>
      <c r="AD712" s="36">
        <v>59.91</v>
      </c>
    </row>
    <row r="713" spans="1:30" s="37" customFormat="1" ht="15.75" customHeight="1" x14ac:dyDescent="0.2">
      <c r="A713" s="26">
        <v>1005</v>
      </c>
      <c r="B713" s="27" t="s">
        <v>1397</v>
      </c>
      <c r="C713" s="27" t="s">
        <v>48</v>
      </c>
      <c r="D713" s="28">
        <v>0.06</v>
      </c>
      <c r="E713" s="29">
        <v>10.14</v>
      </c>
      <c r="F713" s="29">
        <v>2.27</v>
      </c>
      <c r="G713" s="30" t="s">
        <v>39</v>
      </c>
      <c r="H713" s="27" t="s">
        <v>3095</v>
      </c>
      <c r="I713" s="27" t="s">
        <v>49</v>
      </c>
      <c r="J713" s="27" t="s">
        <v>88</v>
      </c>
      <c r="K713" s="27" t="s">
        <v>51</v>
      </c>
      <c r="L713" s="31" t="s">
        <v>171</v>
      </c>
      <c r="M713" s="32">
        <v>0.36</v>
      </c>
      <c r="N713" s="27" t="s">
        <v>33</v>
      </c>
      <c r="O713" s="27" t="s">
        <v>53</v>
      </c>
      <c r="P713" s="27" t="s">
        <v>103</v>
      </c>
      <c r="Q713" s="27" t="s">
        <v>1399</v>
      </c>
      <c r="R713" s="33">
        <v>60089</v>
      </c>
      <c r="S713" s="34">
        <v>42067</v>
      </c>
      <c r="T713" s="34">
        <v>42067</v>
      </c>
      <c r="U713" s="29">
        <v>-3.88</v>
      </c>
      <c r="V713" s="26">
        <v>1</v>
      </c>
      <c r="W713" s="29">
        <v>12.18</v>
      </c>
      <c r="X713" s="26">
        <v>90043</v>
      </c>
      <c r="Y713" s="35">
        <v>367.97</v>
      </c>
      <c r="Z713" s="1" t="s">
        <v>3012</v>
      </c>
      <c r="AA713" s="36">
        <v>0.60840000000000005</v>
      </c>
      <c r="AB713" s="54">
        <v>7.7952000000000004</v>
      </c>
      <c r="AC713" s="54">
        <v>4.3847999999999994</v>
      </c>
      <c r="AD713" s="36">
        <v>13.1816</v>
      </c>
    </row>
    <row r="714" spans="1:30" s="37" customFormat="1" ht="15.75" customHeight="1" x14ac:dyDescent="0.2">
      <c r="A714" s="26">
        <v>679</v>
      </c>
      <c r="B714" s="27" t="s">
        <v>1488</v>
      </c>
      <c r="C714" s="27" t="s">
        <v>116</v>
      </c>
      <c r="D714" s="28">
        <v>0.01</v>
      </c>
      <c r="E714" s="29">
        <v>3.95</v>
      </c>
      <c r="F714" s="29">
        <v>5.13</v>
      </c>
      <c r="G714" s="30" t="s">
        <v>39</v>
      </c>
      <c r="H714" s="27" t="s">
        <v>94</v>
      </c>
      <c r="I714" s="27" t="s">
        <v>49</v>
      </c>
      <c r="J714" s="27" t="s">
        <v>95</v>
      </c>
      <c r="K714" s="27" t="s">
        <v>73</v>
      </c>
      <c r="L714" s="31" t="s">
        <v>1489</v>
      </c>
      <c r="M714" s="32">
        <v>0.59</v>
      </c>
      <c r="N714" s="27" t="s">
        <v>33</v>
      </c>
      <c r="O714" s="27" t="s">
        <v>60</v>
      </c>
      <c r="P714" s="27" t="s">
        <v>67</v>
      </c>
      <c r="Q714" s="27" t="s">
        <v>1490</v>
      </c>
      <c r="R714" s="33">
        <v>98387</v>
      </c>
      <c r="S714" s="34">
        <v>42067</v>
      </c>
      <c r="T714" s="34">
        <v>42068</v>
      </c>
      <c r="U714" s="29">
        <v>-19.93</v>
      </c>
      <c r="V714" s="26">
        <v>2</v>
      </c>
      <c r="W714" s="29">
        <v>10.11</v>
      </c>
      <c r="X714" s="26">
        <v>88890</v>
      </c>
      <c r="Y714" s="35">
        <v>95.949999999999989</v>
      </c>
      <c r="Z714" s="1" t="s">
        <v>3013</v>
      </c>
      <c r="AA714" s="36">
        <v>7.9000000000000001E-2</v>
      </c>
      <c r="AB714" s="54">
        <v>4.1451000000000002</v>
      </c>
      <c r="AC714" s="54">
        <v>2.9824499999999996</v>
      </c>
      <c r="AD714" s="36">
        <v>24.831</v>
      </c>
    </row>
    <row r="715" spans="1:30" s="37" customFormat="1" ht="15.75" customHeight="1" x14ac:dyDescent="0.2">
      <c r="A715" s="26">
        <v>1279</v>
      </c>
      <c r="B715" s="27" t="s">
        <v>1447</v>
      </c>
      <c r="C715" s="27" t="s">
        <v>3094</v>
      </c>
      <c r="D715" s="28">
        <v>0</v>
      </c>
      <c r="E715" s="29">
        <v>442.14</v>
      </c>
      <c r="F715" s="29">
        <v>14.7</v>
      </c>
      <c r="G715" s="30" t="s">
        <v>27</v>
      </c>
      <c r="H715" s="27" t="s">
        <v>94</v>
      </c>
      <c r="I715" s="27" t="s">
        <v>41</v>
      </c>
      <c r="J715" s="27" t="s">
        <v>57</v>
      </c>
      <c r="K715" s="27" t="s">
        <v>58</v>
      </c>
      <c r="L715" s="31" t="s">
        <v>1312</v>
      </c>
      <c r="M715" s="32">
        <v>0.56000000000000005</v>
      </c>
      <c r="N715" s="27" t="s">
        <v>33</v>
      </c>
      <c r="O715" s="27" t="s">
        <v>53</v>
      </c>
      <c r="P715" s="27" t="s">
        <v>54</v>
      </c>
      <c r="Q715" s="27" t="s">
        <v>1448</v>
      </c>
      <c r="R715" s="33">
        <v>46324</v>
      </c>
      <c r="S715" s="34">
        <v>42068</v>
      </c>
      <c r="T715" s="34">
        <v>42068</v>
      </c>
      <c r="U715" s="29">
        <v>501.51</v>
      </c>
      <c r="V715" s="26">
        <v>5</v>
      </c>
      <c r="W715" s="29">
        <v>2343.34</v>
      </c>
      <c r="X715" s="26">
        <v>90115</v>
      </c>
      <c r="Y715" s="35">
        <v>107.48</v>
      </c>
      <c r="Z715" s="1" t="s">
        <v>3012</v>
      </c>
      <c r="AA715" s="36">
        <v>0</v>
      </c>
      <c r="AB715" s="54">
        <v>1031.0696</v>
      </c>
      <c r="AC715" s="54">
        <v>262.45408000000003</v>
      </c>
      <c r="AD715" s="36">
        <v>1827.13</v>
      </c>
    </row>
    <row r="716" spans="1:30" s="37" customFormat="1" ht="15.75" customHeight="1" x14ac:dyDescent="0.2">
      <c r="A716" s="26">
        <v>3003</v>
      </c>
      <c r="B716" s="27" t="s">
        <v>1507</v>
      </c>
      <c r="C716" s="27" t="s">
        <v>116</v>
      </c>
      <c r="D716" s="28">
        <v>0.03</v>
      </c>
      <c r="E716" s="29">
        <v>85.99</v>
      </c>
      <c r="F716" s="29">
        <v>0.99</v>
      </c>
      <c r="G716" s="30" t="s">
        <v>39</v>
      </c>
      <c r="H716" s="27" t="s">
        <v>71</v>
      </c>
      <c r="I716" s="27" t="s">
        <v>41</v>
      </c>
      <c r="J716" s="27" t="s">
        <v>135</v>
      </c>
      <c r="K716" s="27" t="s">
        <v>51</v>
      </c>
      <c r="L716" s="31" t="s">
        <v>1176</v>
      </c>
      <c r="M716" s="32">
        <v>0.55000000000000004</v>
      </c>
      <c r="N716" s="27" t="s">
        <v>33</v>
      </c>
      <c r="O716" s="27" t="s">
        <v>60</v>
      </c>
      <c r="P716" s="27" t="s">
        <v>490</v>
      </c>
      <c r="Q716" s="27" t="s">
        <v>1508</v>
      </c>
      <c r="R716" s="33">
        <v>83814</v>
      </c>
      <c r="S716" s="34">
        <v>42068</v>
      </c>
      <c r="T716" s="34">
        <v>42069</v>
      </c>
      <c r="U716" s="29">
        <v>1037.1044999999999</v>
      </c>
      <c r="V716" s="26">
        <v>20</v>
      </c>
      <c r="W716" s="29">
        <v>1503.05</v>
      </c>
      <c r="X716" s="26">
        <v>91586</v>
      </c>
      <c r="Y716" s="35">
        <v>3.23</v>
      </c>
      <c r="Z716" s="1" t="s">
        <v>3013</v>
      </c>
      <c r="AA716" s="36">
        <v>51.593999999999994</v>
      </c>
      <c r="AB716" s="54">
        <v>676.37249999999995</v>
      </c>
      <c r="AC716" s="54">
        <v>41.333875000000006</v>
      </c>
      <c r="AD716" s="36">
        <v>413.36149999999998</v>
      </c>
    </row>
    <row r="717" spans="1:30" s="37" customFormat="1" ht="15.75" customHeight="1" x14ac:dyDescent="0.2">
      <c r="A717" s="26">
        <v>670</v>
      </c>
      <c r="B717" s="27" t="s">
        <v>1500</v>
      </c>
      <c r="C717" s="27" t="s">
        <v>48</v>
      </c>
      <c r="D717" s="28">
        <v>0.08</v>
      </c>
      <c r="E717" s="29">
        <v>296.18</v>
      </c>
      <c r="F717" s="29">
        <v>54.12</v>
      </c>
      <c r="G717" s="30" t="s">
        <v>27</v>
      </c>
      <c r="H717" s="27" t="s">
        <v>71</v>
      </c>
      <c r="I717" s="27" t="s">
        <v>29</v>
      </c>
      <c r="J717" s="27" t="s">
        <v>30</v>
      </c>
      <c r="K717" s="27" t="s">
        <v>31</v>
      </c>
      <c r="L717" s="31" t="s">
        <v>1079</v>
      </c>
      <c r="M717" s="32">
        <v>0.76</v>
      </c>
      <c r="N717" s="27" t="s">
        <v>33</v>
      </c>
      <c r="O717" s="27" t="s">
        <v>34</v>
      </c>
      <c r="P717" s="27" t="s">
        <v>242</v>
      </c>
      <c r="Q717" s="27" t="s">
        <v>1501</v>
      </c>
      <c r="R717" s="33">
        <v>22025</v>
      </c>
      <c r="S717" s="34">
        <v>42068</v>
      </c>
      <c r="T717" s="34">
        <v>42075</v>
      </c>
      <c r="U717" s="29">
        <v>-187.22200000000001</v>
      </c>
      <c r="V717" s="26">
        <v>5</v>
      </c>
      <c r="W717" s="29">
        <v>1429.81</v>
      </c>
      <c r="X717" s="26">
        <v>88474</v>
      </c>
      <c r="Y717" s="35">
        <v>6.95</v>
      </c>
      <c r="Z717" s="1" t="s">
        <v>3011</v>
      </c>
      <c r="AA717" s="36">
        <v>118.47200000000001</v>
      </c>
      <c r="AB717" s="54">
        <v>343.15439999999995</v>
      </c>
      <c r="AC717" s="54">
        <v>217.33112</v>
      </c>
      <c r="AD717" s="36">
        <v>1444.44</v>
      </c>
    </row>
    <row r="718" spans="1:30" s="37" customFormat="1" ht="15.75" customHeight="1" x14ac:dyDescent="0.2">
      <c r="A718" s="26">
        <v>2696</v>
      </c>
      <c r="B718" s="27" t="s">
        <v>1494</v>
      </c>
      <c r="C718" s="27" t="s">
        <v>26</v>
      </c>
      <c r="D718" s="28">
        <v>0.05</v>
      </c>
      <c r="E718" s="29">
        <v>107.53</v>
      </c>
      <c r="F718" s="29">
        <v>5.81</v>
      </c>
      <c r="G718" s="30" t="s">
        <v>39</v>
      </c>
      <c r="H718" s="27" t="s">
        <v>71</v>
      </c>
      <c r="I718" s="27" t="s">
        <v>29</v>
      </c>
      <c r="J718" s="27" t="s">
        <v>126</v>
      </c>
      <c r="K718" s="27" t="s">
        <v>144</v>
      </c>
      <c r="L718" s="31" t="s">
        <v>1495</v>
      </c>
      <c r="M718" s="32">
        <v>0.65</v>
      </c>
      <c r="N718" s="27" t="s">
        <v>33</v>
      </c>
      <c r="O718" s="27" t="s">
        <v>34</v>
      </c>
      <c r="P718" s="27" t="s">
        <v>164</v>
      </c>
      <c r="Q718" s="27" t="s">
        <v>1496</v>
      </c>
      <c r="R718" s="33">
        <v>35401</v>
      </c>
      <c r="S718" s="34">
        <v>42068</v>
      </c>
      <c r="T718" s="34">
        <v>42069</v>
      </c>
      <c r="U718" s="29">
        <v>-89.418000000000006</v>
      </c>
      <c r="V718" s="26">
        <v>6</v>
      </c>
      <c r="W718" s="29">
        <v>612.91999999999996</v>
      </c>
      <c r="X718" s="26">
        <v>87676</v>
      </c>
      <c r="Y718" s="35">
        <v>296.10000000000002</v>
      </c>
      <c r="Z718" s="1" t="s">
        <v>3011</v>
      </c>
      <c r="AA718" s="36">
        <v>32.259</v>
      </c>
      <c r="AB718" s="54">
        <v>214.52199999999996</v>
      </c>
      <c r="AC718" s="54">
        <v>66.399666666666661</v>
      </c>
      <c r="AD718" s="36">
        <v>664.26900000000001</v>
      </c>
    </row>
    <row r="719" spans="1:30" s="37" customFormat="1" ht="15.75" customHeight="1" x14ac:dyDescent="0.2">
      <c r="A719" s="26">
        <v>1014</v>
      </c>
      <c r="B719" s="27" t="s">
        <v>1444</v>
      </c>
      <c r="C719" s="27" t="s">
        <v>3094</v>
      </c>
      <c r="D719" s="28">
        <v>0.08</v>
      </c>
      <c r="E719" s="29">
        <v>10.91</v>
      </c>
      <c r="F719" s="29">
        <v>2.99</v>
      </c>
      <c r="G719" s="30" t="s">
        <v>39</v>
      </c>
      <c r="H719" s="27" t="s">
        <v>71</v>
      </c>
      <c r="I719" s="27" t="s">
        <v>49</v>
      </c>
      <c r="J719" s="27" t="s">
        <v>72</v>
      </c>
      <c r="K719" s="27" t="s">
        <v>73</v>
      </c>
      <c r="L719" s="31" t="s">
        <v>1509</v>
      </c>
      <c r="M719" s="32">
        <v>0.38</v>
      </c>
      <c r="N719" s="27" t="s">
        <v>33</v>
      </c>
      <c r="O719" s="27" t="s">
        <v>34</v>
      </c>
      <c r="P719" s="27" t="s">
        <v>45</v>
      </c>
      <c r="Q719" s="27" t="s">
        <v>1445</v>
      </c>
      <c r="R719" s="33">
        <v>72022</v>
      </c>
      <c r="S719" s="34">
        <v>42068</v>
      </c>
      <c r="T719" s="34">
        <v>42069</v>
      </c>
      <c r="U719" s="29">
        <v>-2.1</v>
      </c>
      <c r="V719" s="26">
        <v>11</v>
      </c>
      <c r="W719" s="29">
        <v>119.99</v>
      </c>
      <c r="X719" s="26">
        <v>88388</v>
      </c>
      <c r="Y719" s="35">
        <v>4.51</v>
      </c>
      <c r="Z719" s="1" t="s">
        <v>3011</v>
      </c>
      <c r="AA719" s="36">
        <v>9.6007999999999996</v>
      </c>
      <c r="AB719" s="54">
        <v>74.393799999999999</v>
      </c>
      <c r="AC719" s="54">
        <v>4.1451090909090906</v>
      </c>
      <c r="AD719" s="36">
        <v>109.4992</v>
      </c>
    </row>
    <row r="720" spans="1:30" s="37" customFormat="1" ht="15.75" customHeight="1" x14ac:dyDescent="0.2">
      <c r="A720" s="26">
        <v>2376</v>
      </c>
      <c r="B720" s="27" t="s">
        <v>1497</v>
      </c>
      <c r="C720" s="27" t="s">
        <v>38</v>
      </c>
      <c r="D720" s="28">
        <v>0.03</v>
      </c>
      <c r="E720" s="29">
        <v>6.98</v>
      </c>
      <c r="F720" s="29">
        <v>9.69</v>
      </c>
      <c r="G720" s="30" t="s">
        <v>39</v>
      </c>
      <c r="H720" s="27" t="s">
        <v>94</v>
      </c>
      <c r="I720" s="27" t="s">
        <v>49</v>
      </c>
      <c r="J720" s="27" t="s">
        <v>78</v>
      </c>
      <c r="K720" s="27" t="s">
        <v>73</v>
      </c>
      <c r="L720" s="31" t="s">
        <v>1499</v>
      </c>
      <c r="M720" s="32">
        <v>0.83</v>
      </c>
      <c r="N720" s="27" t="s">
        <v>33</v>
      </c>
      <c r="O720" s="27" t="s">
        <v>60</v>
      </c>
      <c r="P720" s="27" t="s">
        <v>490</v>
      </c>
      <c r="Q720" s="27" t="s">
        <v>1498</v>
      </c>
      <c r="R720" s="33">
        <v>83843</v>
      </c>
      <c r="S720" s="34">
        <v>42068</v>
      </c>
      <c r="T720" s="34">
        <v>42070</v>
      </c>
      <c r="U720" s="29">
        <v>-262.62</v>
      </c>
      <c r="V720" s="26">
        <v>15</v>
      </c>
      <c r="W720" s="29">
        <v>109.15</v>
      </c>
      <c r="X720" s="26">
        <v>91321</v>
      </c>
      <c r="Y720" s="35">
        <v>34.959999999999994</v>
      </c>
      <c r="Z720" s="1" t="s">
        <v>3013</v>
      </c>
      <c r="AA720" s="36">
        <v>3.141</v>
      </c>
      <c r="AB720" s="54">
        <v>18.555500000000006</v>
      </c>
      <c r="AC720" s="54">
        <v>6.0396333333333336</v>
      </c>
      <c r="AD720" s="36">
        <v>358.93900000000002</v>
      </c>
    </row>
    <row r="721" spans="1:30" s="37" customFormat="1" ht="15.75" customHeight="1" x14ac:dyDescent="0.2">
      <c r="A721" s="26">
        <v>1432</v>
      </c>
      <c r="B721" s="27" t="s">
        <v>1510</v>
      </c>
      <c r="C721" s="27" t="s">
        <v>3094</v>
      </c>
      <c r="D721" s="28">
        <v>0.05</v>
      </c>
      <c r="E721" s="29">
        <v>9.7799999999999994</v>
      </c>
      <c r="F721" s="29">
        <v>1.39</v>
      </c>
      <c r="G721" s="30" t="s">
        <v>39</v>
      </c>
      <c r="H721" s="27" t="s">
        <v>94</v>
      </c>
      <c r="I721" s="27" t="s">
        <v>49</v>
      </c>
      <c r="J721" s="27" t="s">
        <v>345</v>
      </c>
      <c r="K721" s="27" t="s">
        <v>73</v>
      </c>
      <c r="L721" s="31" t="s">
        <v>1511</v>
      </c>
      <c r="M721" s="32">
        <v>0.39</v>
      </c>
      <c r="N721" s="27" t="s">
        <v>33</v>
      </c>
      <c r="O721" s="27" t="s">
        <v>53</v>
      </c>
      <c r="P721" s="27" t="s">
        <v>54</v>
      </c>
      <c r="Q721" s="27" t="s">
        <v>1512</v>
      </c>
      <c r="R721" s="33">
        <v>46203</v>
      </c>
      <c r="S721" s="34">
        <v>42068</v>
      </c>
      <c r="T721" s="34">
        <v>42069</v>
      </c>
      <c r="U721" s="29">
        <v>74.278499999999994</v>
      </c>
      <c r="V721" s="26">
        <v>11</v>
      </c>
      <c r="W721" s="29">
        <v>107.65</v>
      </c>
      <c r="X721" s="26">
        <v>86826</v>
      </c>
      <c r="Y721" s="35">
        <v>19.979999999999997</v>
      </c>
      <c r="Z721" s="1" t="s">
        <v>3012</v>
      </c>
      <c r="AA721" s="36">
        <v>5.3789999999999996</v>
      </c>
      <c r="AB721" s="54">
        <v>65.666499999999999</v>
      </c>
      <c r="AC721" s="54">
        <v>3.8166818181818187</v>
      </c>
      <c r="AD721" s="36">
        <v>26.602500000000006</v>
      </c>
    </row>
    <row r="722" spans="1:30" s="37" customFormat="1" ht="15.75" customHeight="1" x14ac:dyDescent="0.2">
      <c r="A722" s="26">
        <v>2006</v>
      </c>
      <c r="B722" s="27" t="s">
        <v>1515</v>
      </c>
      <c r="C722" s="27" t="s">
        <v>3094</v>
      </c>
      <c r="D722" s="28">
        <v>0.03</v>
      </c>
      <c r="E722" s="29">
        <v>5.78</v>
      </c>
      <c r="F722" s="29">
        <v>5.37</v>
      </c>
      <c r="G722" s="30" t="s">
        <v>39</v>
      </c>
      <c r="H722" s="27" t="s">
        <v>71</v>
      </c>
      <c r="I722" s="27" t="s">
        <v>49</v>
      </c>
      <c r="J722" s="27" t="s">
        <v>88</v>
      </c>
      <c r="K722" s="27" t="s">
        <v>73</v>
      </c>
      <c r="L722" s="31" t="s">
        <v>1516</v>
      </c>
      <c r="M722" s="32">
        <v>0.36</v>
      </c>
      <c r="N722" s="27" t="s">
        <v>33</v>
      </c>
      <c r="O722" s="27" t="s">
        <v>60</v>
      </c>
      <c r="P722" s="27" t="s">
        <v>61</v>
      </c>
      <c r="Q722" s="27" t="s">
        <v>1243</v>
      </c>
      <c r="R722" s="33">
        <v>81301</v>
      </c>
      <c r="S722" s="34">
        <v>42068</v>
      </c>
      <c r="T722" s="34">
        <v>42069</v>
      </c>
      <c r="U722" s="29">
        <v>-63.35</v>
      </c>
      <c r="V722" s="26">
        <v>15</v>
      </c>
      <c r="W722" s="29">
        <v>88.22</v>
      </c>
      <c r="X722" s="26">
        <v>88798</v>
      </c>
      <c r="Y722" s="35">
        <v>85.96</v>
      </c>
      <c r="Z722" s="1" t="s">
        <v>3013</v>
      </c>
      <c r="AA722" s="36">
        <v>2.601</v>
      </c>
      <c r="AB722" s="54">
        <v>56.460799999999999</v>
      </c>
      <c r="AC722" s="54">
        <v>2.1172800000000001</v>
      </c>
      <c r="AD722" s="36">
        <v>143.59899999999999</v>
      </c>
    </row>
    <row r="723" spans="1:30" s="37" customFormat="1" ht="15.75" customHeight="1" x14ac:dyDescent="0.2">
      <c r="A723" s="26">
        <v>2376</v>
      </c>
      <c r="B723" s="27" t="s">
        <v>1497</v>
      </c>
      <c r="C723" s="27" t="s">
        <v>38</v>
      </c>
      <c r="D723" s="28">
        <v>0.05</v>
      </c>
      <c r="E723" s="29">
        <v>3.28</v>
      </c>
      <c r="F723" s="29">
        <v>3.97</v>
      </c>
      <c r="G723" s="30" t="s">
        <v>39</v>
      </c>
      <c r="H723" s="27" t="s">
        <v>94</v>
      </c>
      <c r="I723" s="27" t="s">
        <v>49</v>
      </c>
      <c r="J723" s="27" t="s">
        <v>50</v>
      </c>
      <c r="K723" s="27" t="s">
        <v>51</v>
      </c>
      <c r="L723" s="31" t="s">
        <v>245</v>
      </c>
      <c r="M723" s="32">
        <v>0.56000000000000005</v>
      </c>
      <c r="N723" s="27" t="s">
        <v>33</v>
      </c>
      <c r="O723" s="27" t="s">
        <v>60</v>
      </c>
      <c r="P723" s="27" t="s">
        <v>490</v>
      </c>
      <c r="Q723" s="27" t="s">
        <v>1498</v>
      </c>
      <c r="R723" s="33">
        <v>83843</v>
      </c>
      <c r="S723" s="34">
        <v>42068</v>
      </c>
      <c r="T723" s="34">
        <v>42069</v>
      </c>
      <c r="U723" s="29">
        <v>-100.24</v>
      </c>
      <c r="V723" s="26">
        <v>18</v>
      </c>
      <c r="W723" s="29">
        <v>61.29</v>
      </c>
      <c r="X723" s="26">
        <v>91321</v>
      </c>
      <c r="Y723" s="35">
        <v>10.83</v>
      </c>
      <c r="Z723" s="1" t="s">
        <v>3013</v>
      </c>
      <c r="AA723" s="36">
        <v>2.952</v>
      </c>
      <c r="AB723" s="54">
        <v>26.967599999999997</v>
      </c>
      <c r="AC723" s="54">
        <v>1.9068000000000001</v>
      </c>
      <c r="AD723" s="36">
        <v>154.608</v>
      </c>
    </row>
    <row r="724" spans="1:30" s="37" customFormat="1" ht="15.75" customHeight="1" x14ac:dyDescent="0.2">
      <c r="A724" s="26">
        <v>2944</v>
      </c>
      <c r="B724" s="27" t="s">
        <v>1502</v>
      </c>
      <c r="C724" s="27" t="s">
        <v>48</v>
      </c>
      <c r="D724" s="28">
        <v>0.04</v>
      </c>
      <c r="E724" s="29">
        <v>4.55</v>
      </c>
      <c r="F724" s="29">
        <v>1.49</v>
      </c>
      <c r="G724" s="30" t="s">
        <v>39</v>
      </c>
      <c r="H724" s="27" t="s">
        <v>94</v>
      </c>
      <c r="I724" s="27" t="s">
        <v>49</v>
      </c>
      <c r="J724" s="27" t="s">
        <v>72</v>
      </c>
      <c r="K724" s="27" t="s">
        <v>73</v>
      </c>
      <c r="L724" s="31" t="s">
        <v>1503</v>
      </c>
      <c r="M724" s="32">
        <v>0.35</v>
      </c>
      <c r="N724" s="27" t="s">
        <v>33</v>
      </c>
      <c r="O724" s="27" t="s">
        <v>53</v>
      </c>
      <c r="P724" s="27" t="s">
        <v>289</v>
      </c>
      <c r="Q724" s="27" t="s">
        <v>1504</v>
      </c>
      <c r="R724" s="33">
        <v>48640</v>
      </c>
      <c r="S724" s="34">
        <v>42068</v>
      </c>
      <c r="T724" s="34">
        <v>42070</v>
      </c>
      <c r="U724" s="29">
        <v>28.288</v>
      </c>
      <c r="V724" s="26">
        <v>13</v>
      </c>
      <c r="W724" s="29">
        <v>59.75</v>
      </c>
      <c r="X724" s="26">
        <v>90309</v>
      </c>
      <c r="Y724" s="35">
        <v>442.14</v>
      </c>
      <c r="Z724" s="1" t="s">
        <v>3012</v>
      </c>
      <c r="AA724" s="36">
        <v>2.3660000000000001</v>
      </c>
      <c r="AB724" s="54">
        <v>38.837499999999999</v>
      </c>
      <c r="AC724" s="54">
        <v>1.608653846153846</v>
      </c>
      <c r="AD724" s="36">
        <v>27.606000000000002</v>
      </c>
    </row>
    <row r="725" spans="1:30" s="37" customFormat="1" ht="15.75" customHeight="1" x14ac:dyDescent="0.2">
      <c r="A725" s="26">
        <v>392</v>
      </c>
      <c r="B725" s="27" t="s">
        <v>1505</v>
      </c>
      <c r="C725" s="27" t="s">
        <v>116</v>
      </c>
      <c r="D725" s="28">
        <v>0.01</v>
      </c>
      <c r="E725" s="29">
        <v>19.989999999999998</v>
      </c>
      <c r="F725" s="29">
        <v>11.17</v>
      </c>
      <c r="G725" s="30" t="s">
        <v>39</v>
      </c>
      <c r="H725" s="27" t="s">
        <v>94</v>
      </c>
      <c r="I725" s="27" t="s">
        <v>29</v>
      </c>
      <c r="J725" s="27" t="s">
        <v>126</v>
      </c>
      <c r="K725" s="27" t="s">
        <v>65</v>
      </c>
      <c r="L725" s="31" t="s">
        <v>489</v>
      </c>
      <c r="M725" s="32">
        <v>0.6</v>
      </c>
      <c r="N725" s="27" t="s">
        <v>33</v>
      </c>
      <c r="O725" s="27" t="s">
        <v>53</v>
      </c>
      <c r="P725" s="27" t="s">
        <v>80</v>
      </c>
      <c r="Q725" s="27" t="s">
        <v>1506</v>
      </c>
      <c r="R725" s="33">
        <v>63105</v>
      </c>
      <c r="S725" s="34">
        <v>42068</v>
      </c>
      <c r="T725" s="34">
        <v>42071</v>
      </c>
      <c r="U725" s="29">
        <v>27.91</v>
      </c>
      <c r="V725" s="26">
        <v>2</v>
      </c>
      <c r="W725" s="29">
        <v>43.65</v>
      </c>
      <c r="X725" s="26">
        <v>86383</v>
      </c>
      <c r="Y725" s="35">
        <v>9.7299999999999986</v>
      </c>
      <c r="Z725" s="1" t="s">
        <v>3012</v>
      </c>
      <c r="AA725" s="36">
        <v>0.39979999999999999</v>
      </c>
      <c r="AB725" s="54">
        <v>17.46</v>
      </c>
      <c r="AC725" s="54">
        <v>13.094999999999999</v>
      </c>
      <c r="AD725" s="36">
        <v>4.1702000000000012</v>
      </c>
    </row>
    <row r="726" spans="1:30" s="37" customFormat="1" ht="15.75" customHeight="1" x14ac:dyDescent="0.2">
      <c r="A726" s="26">
        <v>392</v>
      </c>
      <c r="B726" s="27" t="s">
        <v>1505</v>
      </c>
      <c r="C726" s="27" t="s">
        <v>116</v>
      </c>
      <c r="D726" s="28">
        <v>0.02</v>
      </c>
      <c r="E726" s="29">
        <v>34.979999999999997</v>
      </c>
      <c r="F726" s="29">
        <v>7.53</v>
      </c>
      <c r="G726" s="30" t="s">
        <v>39</v>
      </c>
      <c r="H726" s="27" t="s">
        <v>94</v>
      </c>
      <c r="I726" s="27" t="s">
        <v>41</v>
      </c>
      <c r="J726" s="27" t="s">
        <v>42</v>
      </c>
      <c r="K726" s="27" t="s">
        <v>73</v>
      </c>
      <c r="L726" s="31" t="s">
        <v>1439</v>
      </c>
      <c r="M726" s="32">
        <v>0.76</v>
      </c>
      <c r="N726" s="27" t="s">
        <v>33</v>
      </c>
      <c r="O726" s="27" t="s">
        <v>53</v>
      </c>
      <c r="P726" s="27" t="s">
        <v>80</v>
      </c>
      <c r="Q726" s="27" t="s">
        <v>1506</v>
      </c>
      <c r="R726" s="33">
        <v>63105</v>
      </c>
      <c r="S726" s="34">
        <v>42068</v>
      </c>
      <c r="T726" s="34">
        <v>42070</v>
      </c>
      <c r="U726" s="29">
        <v>-159.68</v>
      </c>
      <c r="V726" s="26">
        <v>1</v>
      </c>
      <c r="W726" s="29">
        <v>37.159999999999997</v>
      </c>
      <c r="X726" s="26">
        <v>86383</v>
      </c>
      <c r="Y726" s="35">
        <v>3.26</v>
      </c>
      <c r="Z726" s="1" t="s">
        <v>3012</v>
      </c>
      <c r="AA726" s="36">
        <v>0.6996</v>
      </c>
      <c r="AB726" s="54">
        <v>8.9183999999999983</v>
      </c>
      <c r="AC726" s="54">
        <v>28.241599999999998</v>
      </c>
      <c r="AD726" s="36">
        <v>188.6104</v>
      </c>
    </row>
    <row r="727" spans="1:30" s="37" customFormat="1" ht="15.75" customHeight="1" x14ac:dyDescent="0.2">
      <c r="A727" s="26">
        <v>1433</v>
      </c>
      <c r="B727" s="27" t="s">
        <v>1513</v>
      </c>
      <c r="C727" s="27" t="s">
        <v>3094</v>
      </c>
      <c r="D727" s="28">
        <v>0.02</v>
      </c>
      <c r="E727" s="29">
        <v>3.28</v>
      </c>
      <c r="F727" s="29">
        <v>3.97</v>
      </c>
      <c r="G727" s="30" t="s">
        <v>87</v>
      </c>
      <c r="H727" s="27" t="s">
        <v>94</v>
      </c>
      <c r="I727" s="27" t="s">
        <v>49</v>
      </c>
      <c r="J727" s="27" t="s">
        <v>50</v>
      </c>
      <c r="K727" s="27" t="s">
        <v>51</v>
      </c>
      <c r="L727" s="31" t="s">
        <v>367</v>
      </c>
      <c r="M727" s="32">
        <v>0.56000000000000005</v>
      </c>
      <c r="N727" s="27" t="s">
        <v>33</v>
      </c>
      <c r="O727" s="27" t="s">
        <v>53</v>
      </c>
      <c r="P727" s="27" t="s">
        <v>54</v>
      </c>
      <c r="Q727" s="27" t="s">
        <v>1514</v>
      </c>
      <c r="R727" s="33">
        <v>47130</v>
      </c>
      <c r="S727" s="34">
        <v>42068</v>
      </c>
      <c r="T727" s="34">
        <v>42069</v>
      </c>
      <c r="U727" s="29">
        <v>-66.349999999999994</v>
      </c>
      <c r="V727" s="26">
        <v>7</v>
      </c>
      <c r="W727" s="29">
        <v>25.15</v>
      </c>
      <c r="X727" s="26">
        <v>86826</v>
      </c>
      <c r="Y727" s="35">
        <v>5.75</v>
      </c>
      <c r="Z727" s="1" t="s">
        <v>3012</v>
      </c>
      <c r="AA727" s="36">
        <v>0.45919999999999994</v>
      </c>
      <c r="AB727" s="54">
        <v>11.065999999999997</v>
      </c>
      <c r="AC727" s="54">
        <v>2.012</v>
      </c>
      <c r="AD727" s="36">
        <v>87.070799999999991</v>
      </c>
    </row>
    <row r="728" spans="1:30" s="37" customFormat="1" ht="15.75" customHeight="1" x14ac:dyDescent="0.2">
      <c r="A728" s="26">
        <v>2729</v>
      </c>
      <c r="B728" s="27" t="s">
        <v>1527</v>
      </c>
      <c r="C728" s="27" t="s">
        <v>48</v>
      </c>
      <c r="D728" s="28">
        <v>0.08</v>
      </c>
      <c r="E728" s="29">
        <v>230.98</v>
      </c>
      <c r="F728" s="29">
        <v>23.78</v>
      </c>
      <c r="G728" s="30" t="s">
        <v>27</v>
      </c>
      <c r="H728" s="27" t="s">
        <v>40</v>
      </c>
      <c r="I728" s="27" t="s">
        <v>29</v>
      </c>
      <c r="J728" s="27" t="s">
        <v>30</v>
      </c>
      <c r="K728" s="27" t="s">
        <v>31</v>
      </c>
      <c r="L728" s="31" t="s">
        <v>1528</v>
      </c>
      <c r="M728" s="32">
        <v>0.6</v>
      </c>
      <c r="N728" s="27" t="s">
        <v>33</v>
      </c>
      <c r="O728" s="27" t="s">
        <v>60</v>
      </c>
      <c r="P728" s="27" t="s">
        <v>67</v>
      </c>
      <c r="Q728" s="27" t="s">
        <v>404</v>
      </c>
      <c r="R728" s="33">
        <v>98226</v>
      </c>
      <c r="S728" s="34">
        <v>42069</v>
      </c>
      <c r="T728" s="34">
        <v>42073</v>
      </c>
      <c r="U728" s="29">
        <v>501.69</v>
      </c>
      <c r="V728" s="26">
        <v>4</v>
      </c>
      <c r="W728" s="29">
        <v>924.8</v>
      </c>
      <c r="X728" s="26">
        <v>88114</v>
      </c>
      <c r="Y728" s="35">
        <v>6.4200000000000008</v>
      </c>
      <c r="Z728" s="1" t="s">
        <v>3013</v>
      </c>
      <c r="AA728" s="36">
        <v>73.913600000000002</v>
      </c>
      <c r="AB728" s="54">
        <v>369.92</v>
      </c>
      <c r="AC728" s="54">
        <v>138.72</v>
      </c>
      <c r="AD728" s="36">
        <v>325.41639999999995</v>
      </c>
    </row>
    <row r="729" spans="1:30" s="37" customFormat="1" ht="15.75" customHeight="1" x14ac:dyDescent="0.2">
      <c r="A729" s="26">
        <v>1771</v>
      </c>
      <c r="B729" s="27" t="s">
        <v>1529</v>
      </c>
      <c r="C729" s="27" t="s">
        <v>116</v>
      </c>
      <c r="D729" s="28">
        <v>7.0000000000000007E-2</v>
      </c>
      <c r="E729" s="29">
        <v>60.98</v>
      </c>
      <c r="F729" s="29">
        <v>49</v>
      </c>
      <c r="G729" s="30" t="s">
        <v>39</v>
      </c>
      <c r="H729" s="27" t="s">
        <v>71</v>
      </c>
      <c r="I729" s="27" t="s">
        <v>49</v>
      </c>
      <c r="J729" s="27" t="s">
        <v>95</v>
      </c>
      <c r="K729" s="27" t="s">
        <v>65</v>
      </c>
      <c r="L729" s="31" t="s">
        <v>1530</v>
      </c>
      <c r="M729" s="32">
        <v>0.59</v>
      </c>
      <c r="N729" s="27" t="s">
        <v>33</v>
      </c>
      <c r="O729" s="27" t="s">
        <v>53</v>
      </c>
      <c r="P729" s="27" t="s">
        <v>103</v>
      </c>
      <c r="Q729" s="27" t="s">
        <v>1037</v>
      </c>
      <c r="R729" s="33">
        <v>61032</v>
      </c>
      <c r="S729" s="34">
        <v>42069</v>
      </c>
      <c r="T729" s="34">
        <v>42070</v>
      </c>
      <c r="U729" s="29">
        <v>-807.89</v>
      </c>
      <c r="V729" s="26">
        <v>7</v>
      </c>
      <c r="W729" s="29">
        <v>410.17</v>
      </c>
      <c r="X729" s="26">
        <v>89106</v>
      </c>
      <c r="Y729" s="35">
        <v>9.94</v>
      </c>
      <c r="Z729" s="1" t="s">
        <v>3012</v>
      </c>
      <c r="AA729" s="36">
        <v>29.880200000000002</v>
      </c>
      <c r="AB729" s="54">
        <v>168.16970000000001</v>
      </c>
      <c r="AC729" s="54">
        <v>34.571471428571428</v>
      </c>
      <c r="AD729" s="36">
        <v>1139.1798000000001</v>
      </c>
    </row>
    <row r="730" spans="1:30" s="37" customFormat="1" ht="15.75" customHeight="1" x14ac:dyDescent="0.2">
      <c r="A730" s="26">
        <v>3327</v>
      </c>
      <c r="B730" s="27" t="s">
        <v>1534</v>
      </c>
      <c r="C730" s="27" t="s">
        <v>3094</v>
      </c>
      <c r="D730" s="28">
        <v>0.06</v>
      </c>
      <c r="E730" s="29">
        <v>113.98</v>
      </c>
      <c r="F730" s="29">
        <v>30</v>
      </c>
      <c r="G730" s="30" t="s">
        <v>27</v>
      </c>
      <c r="H730" s="27" t="s">
        <v>3095</v>
      </c>
      <c r="I730" s="27" t="s">
        <v>29</v>
      </c>
      <c r="J730" s="27" t="s">
        <v>109</v>
      </c>
      <c r="K730" s="27" t="s">
        <v>58</v>
      </c>
      <c r="L730" s="31" t="s">
        <v>1535</v>
      </c>
      <c r="M730" s="32">
        <v>0.69</v>
      </c>
      <c r="N730" s="27" t="s">
        <v>33</v>
      </c>
      <c r="O730" s="27" t="s">
        <v>53</v>
      </c>
      <c r="P730" s="27" t="s">
        <v>289</v>
      </c>
      <c r="Q730" s="27" t="s">
        <v>1536</v>
      </c>
      <c r="R730" s="33">
        <v>48060</v>
      </c>
      <c r="S730" s="34">
        <v>42069</v>
      </c>
      <c r="T730" s="34">
        <v>42071</v>
      </c>
      <c r="U730" s="29">
        <v>-127.3</v>
      </c>
      <c r="V730" s="26">
        <v>3</v>
      </c>
      <c r="W730" s="29">
        <v>356.14</v>
      </c>
      <c r="X730" s="26">
        <v>87272</v>
      </c>
      <c r="Y730" s="35">
        <v>4.12</v>
      </c>
      <c r="Z730" s="1" t="s">
        <v>3012</v>
      </c>
      <c r="AA730" s="36">
        <v>20.516400000000001</v>
      </c>
      <c r="AB730" s="54">
        <v>110.40340000000002</v>
      </c>
      <c r="AC730" s="54">
        <v>81.912199999999984</v>
      </c>
      <c r="AD730" s="36">
        <v>432.92359999999996</v>
      </c>
    </row>
    <row r="731" spans="1:30" s="37" customFormat="1" ht="15.75" customHeight="1" x14ac:dyDescent="0.2">
      <c r="A731" s="26">
        <v>3008</v>
      </c>
      <c r="B731" s="27" t="s">
        <v>1518</v>
      </c>
      <c r="C731" s="27" t="s">
        <v>26</v>
      </c>
      <c r="D731" s="28">
        <v>0.05</v>
      </c>
      <c r="E731" s="29">
        <v>9.99</v>
      </c>
      <c r="F731" s="29">
        <v>4.78</v>
      </c>
      <c r="G731" s="30" t="s">
        <v>39</v>
      </c>
      <c r="H731" s="27" t="s">
        <v>71</v>
      </c>
      <c r="I731" s="27" t="s">
        <v>49</v>
      </c>
      <c r="J731" s="27" t="s">
        <v>88</v>
      </c>
      <c r="K731" s="27" t="s">
        <v>73</v>
      </c>
      <c r="L731" s="31" t="s">
        <v>1519</v>
      </c>
      <c r="M731" s="32">
        <v>0.4</v>
      </c>
      <c r="N731" s="27" t="s">
        <v>33</v>
      </c>
      <c r="O731" s="27" t="s">
        <v>53</v>
      </c>
      <c r="P731" s="27" t="s">
        <v>84</v>
      </c>
      <c r="Q731" s="27" t="s">
        <v>1520</v>
      </c>
      <c r="R731" s="33">
        <v>55343</v>
      </c>
      <c r="S731" s="34">
        <v>42069</v>
      </c>
      <c r="T731" s="34">
        <v>42070</v>
      </c>
      <c r="U731" s="29">
        <v>41.3</v>
      </c>
      <c r="V731" s="26">
        <v>20</v>
      </c>
      <c r="W731" s="29">
        <v>203.37</v>
      </c>
      <c r="X731" s="26">
        <v>89414</v>
      </c>
      <c r="Y731" s="35">
        <v>6.3900000000000006</v>
      </c>
      <c r="Z731" s="1" t="s">
        <v>3012</v>
      </c>
      <c r="AA731" s="36">
        <v>9.990000000000002</v>
      </c>
      <c r="AB731" s="54">
        <v>122.02199999999999</v>
      </c>
      <c r="AC731" s="54">
        <v>4.0674000000000001</v>
      </c>
      <c r="AD731" s="36">
        <v>147.30000000000001</v>
      </c>
    </row>
    <row r="732" spans="1:30" s="37" customFormat="1" ht="15.75" customHeight="1" x14ac:dyDescent="0.2">
      <c r="A732" s="26">
        <v>868</v>
      </c>
      <c r="B732" s="27" t="s">
        <v>1368</v>
      </c>
      <c r="C732" s="27" t="s">
        <v>26</v>
      </c>
      <c r="D732" s="28">
        <v>0.06</v>
      </c>
      <c r="E732" s="29">
        <v>6.48</v>
      </c>
      <c r="F732" s="29">
        <v>8.8800000000000008</v>
      </c>
      <c r="G732" s="30" t="s">
        <v>39</v>
      </c>
      <c r="H732" s="27" t="s">
        <v>94</v>
      </c>
      <c r="I732" s="27" t="s">
        <v>49</v>
      </c>
      <c r="J732" s="27" t="s">
        <v>88</v>
      </c>
      <c r="K732" s="27" t="s">
        <v>73</v>
      </c>
      <c r="L732" s="31" t="s">
        <v>1517</v>
      </c>
      <c r="M732" s="32">
        <v>0.37</v>
      </c>
      <c r="N732" s="27" t="s">
        <v>33</v>
      </c>
      <c r="O732" s="27" t="s">
        <v>53</v>
      </c>
      <c r="P732" s="27" t="s">
        <v>84</v>
      </c>
      <c r="Q732" s="27" t="s">
        <v>1370</v>
      </c>
      <c r="R732" s="33">
        <v>55126</v>
      </c>
      <c r="S732" s="34">
        <v>42069</v>
      </c>
      <c r="T732" s="34">
        <v>42070</v>
      </c>
      <c r="U732" s="29">
        <v>-237.47</v>
      </c>
      <c r="V732" s="26">
        <v>20</v>
      </c>
      <c r="W732" s="29">
        <v>125.77</v>
      </c>
      <c r="X732" s="26">
        <v>91195</v>
      </c>
      <c r="Y732" s="35">
        <v>230.89999999999998</v>
      </c>
      <c r="Z732" s="1" t="s">
        <v>3012</v>
      </c>
      <c r="AA732" s="36">
        <v>7.7760000000000007</v>
      </c>
      <c r="AB732" s="54">
        <v>79.235100000000003</v>
      </c>
      <c r="AC732" s="54">
        <v>2.3267449999999998</v>
      </c>
      <c r="AD732" s="36">
        <v>346.584</v>
      </c>
    </row>
    <row r="733" spans="1:30" s="37" customFormat="1" ht="15.75" customHeight="1" x14ac:dyDescent="0.2">
      <c r="A733" s="26">
        <v>945</v>
      </c>
      <c r="B733" s="27" t="s">
        <v>1531</v>
      </c>
      <c r="C733" s="27" t="s">
        <v>3094</v>
      </c>
      <c r="D733" s="28">
        <v>0.03</v>
      </c>
      <c r="E733" s="29">
        <v>31.74</v>
      </c>
      <c r="F733" s="29">
        <v>12.62</v>
      </c>
      <c r="G733" s="30" t="s">
        <v>39</v>
      </c>
      <c r="H733" s="27" t="s">
        <v>71</v>
      </c>
      <c r="I733" s="27" t="s">
        <v>49</v>
      </c>
      <c r="J733" s="27" t="s">
        <v>72</v>
      </c>
      <c r="K733" s="27" t="s">
        <v>73</v>
      </c>
      <c r="L733" s="31" t="s">
        <v>1532</v>
      </c>
      <c r="M733" s="32">
        <v>0.37</v>
      </c>
      <c r="N733" s="27" t="s">
        <v>33</v>
      </c>
      <c r="O733" s="27" t="s">
        <v>60</v>
      </c>
      <c r="P733" s="27" t="s">
        <v>90</v>
      </c>
      <c r="Q733" s="27" t="s">
        <v>1533</v>
      </c>
      <c r="R733" s="33">
        <v>95070</v>
      </c>
      <c r="S733" s="34">
        <v>42069</v>
      </c>
      <c r="T733" s="34">
        <v>42069</v>
      </c>
      <c r="U733" s="29">
        <v>-4.3010000000000002</v>
      </c>
      <c r="V733" s="26">
        <v>3</v>
      </c>
      <c r="W733" s="29">
        <v>98.7</v>
      </c>
      <c r="X733" s="26">
        <v>86567</v>
      </c>
      <c r="Y733" s="35">
        <v>60.91</v>
      </c>
      <c r="Z733" s="1" t="s">
        <v>3013</v>
      </c>
      <c r="AA733" s="36">
        <v>2.8565999999999998</v>
      </c>
      <c r="AB733" s="54">
        <v>62.181000000000004</v>
      </c>
      <c r="AC733" s="54">
        <v>12.173</v>
      </c>
      <c r="AD733" s="36">
        <v>87.5244</v>
      </c>
    </row>
    <row r="734" spans="1:30" s="37" customFormat="1" ht="15.75" customHeight="1" x14ac:dyDescent="0.2">
      <c r="A734" s="26">
        <v>797</v>
      </c>
      <c r="B734" s="27" t="s">
        <v>1524</v>
      </c>
      <c r="C734" s="27" t="s">
        <v>48</v>
      </c>
      <c r="D734" s="28">
        <v>0.09</v>
      </c>
      <c r="E734" s="29">
        <v>6.48</v>
      </c>
      <c r="F734" s="29">
        <v>6.86</v>
      </c>
      <c r="G734" s="30" t="s">
        <v>39</v>
      </c>
      <c r="H734" s="27" t="s">
        <v>94</v>
      </c>
      <c r="I734" s="27" t="s">
        <v>49</v>
      </c>
      <c r="J734" s="27" t="s">
        <v>88</v>
      </c>
      <c r="K734" s="27" t="s">
        <v>73</v>
      </c>
      <c r="L734" s="31" t="s">
        <v>1525</v>
      </c>
      <c r="M734" s="32">
        <v>0.37</v>
      </c>
      <c r="N734" s="27" t="s">
        <v>33</v>
      </c>
      <c r="O734" s="27" t="s">
        <v>60</v>
      </c>
      <c r="P734" s="27" t="s">
        <v>146</v>
      </c>
      <c r="Q734" s="27" t="s">
        <v>1526</v>
      </c>
      <c r="R734" s="33">
        <v>84067</v>
      </c>
      <c r="S734" s="34">
        <v>42069</v>
      </c>
      <c r="T734" s="34">
        <v>42071</v>
      </c>
      <c r="U734" s="29">
        <v>-62.23</v>
      </c>
      <c r="V734" s="26">
        <v>8</v>
      </c>
      <c r="W734" s="29">
        <v>50.88</v>
      </c>
      <c r="X734" s="26">
        <v>86870</v>
      </c>
      <c r="Y734" s="35">
        <v>31.709999999999997</v>
      </c>
      <c r="Z734" s="1" t="s">
        <v>3013</v>
      </c>
      <c r="AA734" s="36">
        <v>4.6656000000000004</v>
      </c>
      <c r="AB734" s="54">
        <v>32.054400000000001</v>
      </c>
      <c r="AC734" s="54">
        <v>2.3532000000000002</v>
      </c>
      <c r="AD734" s="36">
        <v>101.5844</v>
      </c>
    </row>
    <row r="735" spans="1:30" s="37" customFormat="1" ht="15.75" customHeight="1" x14ac:dyDescent="0.2">
      <c r="A735" s="26">
        <v>3327</v>
      </c>
      <c r="B735" s="27" t="s">
        <v>1534</v>
      </c>
      <c r="C735" s="27" t="s">
        <v>3094</v>
      </c>
      <c r="D735" s="28">
        <v>0.05</v>
      </c>
      <c r="E735" s="29">
        <v>6.48</v>
      </c>
      <c r="F735" s="29">
        <v>6.86</v>
      </c>
      <c r="G735" s="30" t="s">
        <v>39</v>
      </c>
      <c r="H735" s="27" t="s">
        <v>3095</v>
      </c>
      <c r="I735" s="27" t="s">
        <v>49</v>
      </c>
      <c r="J735" s="27" t="s">
        <v>88</v>
      </c>
      <c r="K735" s="27" t="s">
        <v>73</v>
      </c>
      <c r="L735" s="31" t="s">
        <v>1525</v>
      </c>
      <c r="M735" s="32">
        <v>0.37</v>
      </c>
      <c r="N735" s="27" t="s">
        <v>33</v>
      </c>
      <c r="O735" s="27" t="s">
        <v>53</v>
      </c>
      <c r="P735" s="27" t="s">
        <v>289</v>
      </c>
      <c r="Q735" s="27" t="s">
        <v>1536</v>
      </c>
      <c r="R735" s="33">
        <v>48060</v>
      </c>
      <c r="S735" s="34">
        <v>42069</v>
      </c>
      <c r="T735" s="34">
        <v>42071</v>
      </c>
      <c r="U735" s="29">
        <v>-52.77</v>
      </c>
      <c r="V735" s="26">
        <v>4</v>
      </c>
      <c r="W735" s="29">
        <v>27.08</v>
      </c>
      <c r="X735" s="26">
        <v>87272</v>
      </c>
      <c r="Y735" s="35">
        <v>113.92</v>
      </c>
      <c r="Z735" s="1" t="s">
        <v>3012</v>
      </c>
      <c r="AA735" s="36">
        <v>1.2960000000000003</v>
      </c>
      <c r="AB735" s="54">
        <v>17.060399999999998</v>
      </c>
      <c r="AC735" s="54">
        <v>2.5048999999999997</v>
      </c>
      <c r="AD735" s="36">
        <v>71.694000000000003</v>
      </c>
    </row>
    <row r="736" spans="1:30" s="37" customFormat="1" ht="15.75" customHeight="1" x14ac:dyDescent="0.2">
      <c r="A736" s="26">
        <v>688</v>
      </c>
      <c r="B736" s="27" t="s">
        <v>1521</v>
      </c>
      <c r="C736" s="27" t="s">
        <v>48</v>
      </c>
      <c r="D736" s="28">
        <v>0.06</v>
      </c>
      <c r="E736" s="29">
        <v>4.18</v>
      </c>
      <c r="F736" s="29">
        <v>2.99</v>
      </c>
      <c r="G736" s="30" t="s">
        <v>39</v>
      </c>
      <c r="H736" s="27" t="s">
        <v>3095</v>
      </c>
      <c r="I736" s="27" t="s">
        <v>49</v>
      </c>
      <c r="J736" s="27" t="s">
        <v>72</v>
      </c>
      <c r="K736" s="27" t="s">
        <v>73</v>
      </c>
      <c r="L736" s="31" t="s">
        <v>1522</v>
      </c>
      <c r="M736" s="32">
        <v>0.37</v>
      </c>
      <c r="N736" s="27" t="s">
        <v>33</v>
      </c>
      <c r="O736" s="27" t="s">
        <v>53</v>
      </c>
      <c r="P736" s="27" t="s">
        <v>80</v>
      </c>
      <c r="Q736" s="27" t="s">
        <v>1523</v>
      </c>
      <c r="R736" s="33">
        <v>63116</v>
      </c>
      <c r="S736" s="34">
        <v>42069</v>
      </c>
      <c r="T736" s="34">
        <v>42071</v>
      </c>
      <c r="U736" s="29">
        <v>-12.718999999999999</v>
      </c>
      <c r="V736" s="26">
        <v>5</v>
      </c>
      <c r="W736" s="29">
        <v>21.34</v>
      </c>
      <c r="X736" s="26">
        <v>88504</v>
      </c>
      <c r="Y736" s="35">
        <v>6.4300000000000006</v>
      </c>
      <c r="Z736" s="1" t="s">
        <v>3012</v>
      </c>
      <c r="AA736" s="36">
        <v>1.2539999999999998</v>
      </c>
      <c r="AB736" s="54">
        <v>13.4442</v>
      </c>
      <c r="AC736" s="54">
        <v>1.5791599999999999</v>
      </c>
      <c r="AD736" s="36">
        <v>29.814999999999998</v>
      </c>
    </row>
    <row r="737" spans="1:30" s="37" customFormat="1" ht="15.75" customHeight="1" x14ac:dyDescent="0.2">
      <c r="A737" s="26">
        <v>1020</v>
      </c>
      <c r="B737" s="27" t="s">
        <v>1018</v>
      </c>
      <c r="C737" s="27" t="s">
        <v>26</v>
      </c>
      <c r="D737" s="28">
        <v>0.09</v>
      </c>
      <c r="E737" s="29">
        <v>517.48</v>
      </c>
      <c r="F737" s="29">
        <v>16.63</v>
      </c>
      <c r="G737" s="30" t="s">
        <v>27</v>
      </c>
      <c r="H737" s="27" t="s">
        <v>3095</v>
      </c>
      <c r="I737" s="27" t="s">
        <v>41</v>
      </c>
      <c r="J737" s="27" t="s">
        <v>57</v>
      </c>
      <c r="K737" s="27" t="s">
        <v>31</v>
      </c>
      <c r="L737" s="31" t="s">
        <v>1537</v>
      </c>
      <c r="M737" s="32">
        <v>0.59</v>
      </c>
      <c r="N737" s="27" t="s">
        <v>33</v>
      </c>
      <c r="O737" s="27" t="s">
        <v>53</v>
      </c>
      <c r="P737" s="27" t="s">
        <v>537</v>
      </c>
      <c r="Q737" s="27" t="s">
        <v>1020</v>
      </c>
      <c r="R737" s="33">
        <v>66762</v>
      </c>
      <c r="S737" s="34">
        <v>42070</v>
      </c>
      <c r="T737" s="34">
        <v>42070</v>
      </c>
      <c r="U737" s="29">
        <v>909.36</v>
      </c>
      <c r="V737" s="26">
        <v>5</v>
      </c>
      <c r="W737" s="29">
        <v>2354.54</v>
      </c>
      <c r="X737" s="26">
        <v>88632</v>
      </c>
      <c r="Y737" s="35">
        <v>517.39</v>
      </c>
      <c r="Z737" s="1" t="s">
        <v>3012</v>
      </c>
      <c r="AA737" s="36">
        <v>232.86599999999999</v>
      </c>
      <c r="AB737" s="54">
        <v>965.3614</v>
      </c>
      <c r="AC737" s="54">
        <v>277.83571999999998</v>
      </c>
      <c r="AD737" s="36">
        <v>1195.684</v>
      </c>
    </row>
    <row r="738" spans="1:30" s="37" customFormat="1" ht="15.75" customHeight="1" x14ac:dyDescent="0.2">
      <c r="A738" s="26">
        <v>851</v>
      </c>
      <c r="B738" s="27" t="s">
        <v>1364</v>
      </c>
      <c r="C738" s="27" t="s">
        <v>3094</v>
      </c>
      <c r="D738" s="28">
        <v>0.08</v>
      </c>
      <c r="E738" s="29">
        <v>19.899999999999999</v>
      </c>
      <c r="F738" s="29">
        <v>5.29</v>
      </c>
      <c r="G738" s="30" t="s">
        <v>39</v>
      </c>
      <c r="H738" s="27" t="s">
        <v>94</v>
      </c>
      <c r="I738" s="27" t="s">
        <v>49</v>
      </c>
      <c r="J738" s="27" t="s">
        <v>95</v>
      </c>
      <c r="K738" s="27" t="s">
        <v>144</v>
      </c>
      <c r="L738" s="31" t="s">
        <v>1541</v>
      </c>
      <c r="M738" s="32">
        <v>0.4</v>
      </c>
      <c r="N738" s="27" t="s">
        <v>33</v>
      </c>
      <c r="O738" s="27" t="s">
        <v>60</v>
      </c>
      <c r="P738" s="27" t="s">
        <v>90</v>
      </c>
      <c r="Q738" s="27" t="s">
        <v>1366</v>
      </c>
      <c r="R738" s="33">
        <v>91745</v>
      </c>
      <c r="S738" s="34">
        <v>42070</v>
      </c>
      <c r="T738" s="34">
        <v>42072</v>
      </c>
      <c r="U738" s="29">
        <v>107.11</v>
      </c>
      <c r="V738" s="26">
        <v>13</v>
      </c>
      <c r="W738" s="29">
        <v>240.46</v>
      </c>
      <c r="X738" s="26">
        <v>88569</v>
      </c>
      <c r="Y738" s="35">
        <v>6.01</v>
      </c>
      <c r="Z738" s="1" t="s">
        <v>3013</v>
      </c>
      <c r="AA738" s="36">
        <v>20.695999999999998</v>
      </c>
      <c r="AB738" s="54">
        <v>144.27600000000001</v>
      </c>
      <c r="AC738" s="54">
        <v>7.3987692307692319</v>
      </c>
      <c r="AD738" s="36">
        <v>107.364</v>
      </c>
    </row>
    <row r="739" spans="1:30" s="37" customFormat="1" ht="15.75" customHeight="1" x14ac:dyDescent="0.2">
      <c r="A739" s="26">
        <v>851</v>
      </c>
      <c r="B739" s="27" t="s">
        <v>1364</v>
      </c>
      <c r="C739" s="27" t="s">
        <v>3094</v>
      </c>
      <c r="D739" s="28">
        <v>0.02</v>
      </c>
      <c r="E739" s="29">
        <v>3.36</v>
      </c>
      <c r="F739" s="29">
        <v>6.27</v>
      </c>
      <c r="G739" s="30" t="s">
        <v>39</v>
      </c>
      <c r="H739" s="27" t="s">
        <v>94</v>
      </c>
      <c r="I739" s="27" t="s">
        <v>49</v>
      </c>
      <c r="J739" s="27" t="s">
        <v>72</v>
      </c>
      <c r="K739" s="27" t="s">
        <v>73</v>
      </c>
      <c r="L739" s="31" t="s">
        <v>186</v>
      </c>
      <c r="M739" s="32">
        <v>0.4</v>
      </c>
      <c r="N739" s="27" t="s">
        <v>33</v>
      </c>
      <c r="O739" s="27" t="s">
        <v>60</v>
      </c>
      <c r="P739" s="27" t="s">
        <v>90</v>
      </c>
      <c r="Q739" s="27" t="s">
        <v>1366</v>
      </c>
      <c r="R739" s="33">
        <v>91745</v>
      </c>
      <c r="S739" s="34">
        <v>42070</v>
      </c>
      <c r="T739" s="34">
        <v>42072</v>
      </c>
      <c r="U739" s="29">
        <v>-216.154</v>
      </c>
      <c r="V739" s="26">
        <v>21</v>
      </c>
      <c r="W739" s="29">
        <v>74.08</v>
      </c>
      <c r="X739" s="26">
        <v>88569</v>
      </c>
      <c r="Y739" s="35">
        <v>19.82</v>
      </c>
      <c r="Z739" s="1" t="s">
        <v>3013</v>
      </c>
      <c r="AA739" s="36">
        <v>1.4112</v>
      </c>
      <c r="AB739" s="54">
        <v>44.448</v>
      </c>
      <c r="AC739" s="54">
        <v>1.4110476190476191</v>
      </c>
      <c r="AD739" s="36">
        <v>282.55279999999999</v>
      </c>
    </row>
    <row r="740" spans="1:30" s="37" customFormat="1" ht="15.75" customHeight="1" x14ac:dyDescent="0.2">
      <c r="A740" s="26">
        <v>850</v>
      </c>
      <c r="B740" s="27" t="s">
        <v>1538</v>
      </c>
      <c r="C740" s="27" t="s">
        <v>3094</v>
      </c>
      <c r="D740" s="28">
        <v>7.0000000000000007E-2</v>
      </c>
      <c r="E740" s="29">
        <v>6.08</v>
      </c>
      <c r="F740" s="29">
        <v>0.91</v>
      </c>
      <c r="G740" s="30" t="s">
        <v>39</v>
      </c>
      <c r="H740" s="27" t="s">
        <v>94</v>
      </c>
      <c r="I740" s="27" t="s">
        <v>49</v>
      </c>
      <c r="J740" s="27" t="s">
        <v>50</v>
      </c>
      <c r="K740" s="27" t="s">
        <v>51</v>
      </c>
      <c r="L740" s="31" t="s">
        <v>1539</v>
      </c>
      <c r="M740" s="32">
        <v>0.51</v>
      </c>
      <c r="N740" s="27" t="s">
        <v>33</v>
      </c>
      <c r="O740" s="27" t="s">
        <v>60</v>
      </c>
      <c r="P740" s="27" t="s">
        <v>90</v>
      </c>
      <c r="Q740" s="27" t="s">
        <v>1540</v>
      </c>
      <c r="R740" s="33">
        <v>93117</v>
      </c>
      <c r="S740" s="34">
        <v>42070</v>
      </c>
      <c r="T740" s="34">
        <v>42071</v>
      </c>
      <c r="U740" s="29">
        <v>19.57</v>
      </c>
      <c r="V740" s="26">
        <v>7</v>
      </c>
      <c r="W740" s="29">
        <v>41.96</v>
      </c>
      <c r="X740" s="26">
        <v>88569</v>
      </c>
      <c r="Y740" s="35">
        <v>3.34</v>
      </c>
      <c r="Z740" s="1" t="s">
        <v>3013</v>
      </c>
      <c r="AA740" s="36">
        <v>2.9792000000000001</v>
      </c>
      <c r="AB740" s="54">
        <v>20.560400000000001</v>
      </c>
      <c r="AC740" s="54">
        <v>3.0570857142857144</v>
      </c>
      <c r="AD740" s="36">
        <v>18.500800000000002</v>
      </c>
    </row>
    <row r="741" spans="1:30" s="37" customFormat="1" ht="15.75" customHeight="1" x14ac:dyDescent="0.2">
      <c r="A741" s="26">
        <v>693</v>
      </c>
      <c r="B741" s="27" t="s">
        <v>1549</v>
      </c>
      <c r="C741" s="27" t="s">
        <v>48</v>
      </c>
      <c r="D741" s="28">
        <v>0.06</v>
      </c>
      <c r="E741" s="29">
        <v>205.99</v>
      </c>
      <c r="F741" s="29">
        <v>5.26</v>
      </c>
      <c r="G741" s="30" t="s">
        <v>39</v>
      </c>
      <c r="H741" s="27" t="s">
        <v>3095</v>
      </c>
      <c r="I741" s="27" t="s">
        <v>41</v>
      </c>
      <c r="J741" s="27" t="s">
        <v>135</v>
      </c>
      <c r="K741" s="27" t="s">
        <v>73</v>
      </c>
      <c r="L741" s="31" t="s">
        <v>1552</v>
      </c>
      <c r="M741" s="32">
        <v>0.56000000000000005</v>
      </c>
      <c r="N741" s="27" t="s">
        <v>33</v>
      </c>
      <c r="O741" s="27" t="s">
        <v>60</v>
      </c>
      <c r="P741" s="27" t="s">
        <v>61</v>
      </c>
      <c r="Q741" s="27" t="s">
        <v>1550</v>
      </c>
      <c r="R741" s="33">
        <v>80229</v>
      </c>
      <c r="S741" s="34">
        <v>42071</v>
      </c>
      <c r="T741" s="34">
        <v>42078</v>
      </c>
      <c r="U741" s="29">
        <v>890.18100000000004</v>
      </c>
      <c r="V741" s="26">
        <v>11</v>
      </c>
      <c r="W741" s="29">
        <v>1882.87</v>
      </c>
      <c r="X741" s="26">
        <v>87812</v>
      </c>
      <c r="Y741" s="35">
        <v>161.53</v>
      </c>
      <c r="Z741" s="1" t="s">
        <v>3013</v>
      </c>
      <c r="AA741" s="36">
        <v>135.95340000000002</v>
      </c>
      <c r="AB741" s="54">
        <v>828.4627999999999</v>
      </c>
      <c r="AC741" s="54">
        <v>95.855199999999996</v>
      </c>
      <c r="AD741" s="36">
        <v>851.47559999999976</v>
      </c>
    </row>
    <row r="742" spans="1:30" s="37" customFormat="1" ht="15.75" customHeight="1" x14ac:dyDescent="0.2">
      <c r="A742" s="26">
        <v>1718</v>
      </c>
      <c r="B742" s="27" t="s">
        <v>1553</v>
      </c>
      <c r="C742" s="27" t="s">
        <v>48</v>
      </c>
      <c r="D742" s="28">
        <v>0.01</v>
      </c>
      <c r="E742" s="29">
        <v>300.98</v>
      </c>
      <c r="F742" s="29">
        <v>64.73</v>
      </c>
      <c r="G742" s="30" t="s">
        <v>27</v>
      </c>
      <c r="H742" s="27" t="s">
        <v>40</v>
      </c>
      <c r="I742" s="27" t="s">
        <v>29</v>
      </c>
      <c r="J742" s="27" t="s">
        <v>109</v>
      </c>
      <c r="K742" s="27" t="s">
        <v>58</v>
      </c>
      <c r="L742" s="31" t="s">
        <v>1340</v>
      </c>
      <c r="M742" s="32">
        <v>0.56000000000000005</v>
      </c>
      <c r="N742" s="27" t="s">
        <v>33</v>
      </c>
      <c r="O742" s="27" t="s">
        <v>34</v>
      </c>
      <c r="P742" s="27" t="s">
        <v>97</v>
      </c>
      <c r="Q742" s="27" t="s">
        <v>1554</v>
      </c>
      <c r="R742" s="33">
        <v>27529</v>
      </c>
      <c r="S742" s="34">
        <v>42071</v>
      </c>
      <c r="T742" s="34">
        <v>42078</v>
      </c>
      <c r="U742" s="29">
        <v>-48.874000000000002</v>
      </c>
      <c r="V742" s="26">
        <v>3</v>
      </c>
      <c r="W742" s="29">
        <v>974.14</v>
      </c>
      <c r="X742" s="26">
        <v>90621</v>
      </c>
      <c r="Y742" s="35">
        <v>11.530000000000001</v>
      </c>
      <c r="Z742" s="1" t="s">
        <v>3011</v>
      </c>
      <c r="AA742" s="36">
        <v>9.0294000000000008</v>
      </c>
      <c r="AB742" s="54">
        <v>428.62159999999994</v>
      </c>
      <c r="AC742" s="54">
        <v>181.83946666666668</v>
      </c>
      <c r="AD742" s="36">
        <v>949.25459999999998</v>
      </c>
    </row>
    <row r="743" spans="1:30" s="37" customFormat="1" ht="15.75" customHeight="1" x14ac:dyDescent="0.2">
      <c r="A743" s="26">
        <v>693</v>
      </c>
      <c r="B743" s="27" t="s">
        <v>1549</v>
      </c>
      <c r="C743" s="27" t="s">
        <v>48</v>
      </c>
      <c r="D743" s="28">
        <v>7.0000000000000007E-2</v>
      </c>
      <c r="E743" s="29">
        <v>140.97999999999999</v>
      </c>
      <c r="F743" s="29">
        <v>53.48</v>
      </c>
      <c r="G743" s="30" t="s">
        <v>27</v>
      </c>
      <c r="H743" s="27" t="s">
        <v>3095</v>
      </c>
      <c r="I743" s="27" t="s">
        <v>29</v>
      </c>
      <c r="J743" s="27" t="s">
        <v>117</v>
      </c>
      <c r="K743" s="27" t="s">
        <v>31</v>
      </c>
      <c r="L743" s="31" t="s">
        <v>1551</v>
      </c>
      <c r="M743" s="32">
        <v>0.65</v>
      </c>
      <c r="N743" s="27" t="s">
        <v>33</v>
      </c>
      <c r="O743" s="27" t="s">
        <v>60</v>
      </c>
      <c r="P743" s="27" t="s">
        <v>61</v>
      </c>
      <c r="Q743" s="27" t="s">
        <v>1550</v>
      </c>
      <c r="R743" s="33">
        <v>80229</v>
      </c>
      <c r="S743" s="34">
        <v>42071</v>
      </c>
      <c r="T743" s="34">
        <v>42078</v>
      </c>
      <c r="U743" s="29">
        <v>-263.64999999999998</v>
      </c>
      <c r="V743" s="26">
        <v>5</v>
      </c>
      <c r="W743" s="29">
        <v>734.74</v>
      </c>
      <c r="X743" s="26">
        <v>87812</v>
      </c>
      <c r="Y743" s="35">
        <v>51.91</v>
      </c>
      <c r="Z743" s="1" t="s">
        <v>3013</v>
      </c>
      <c r="AA743" s="36">
        <v>49.343000000000004</v>
      </c>
      <c r="AB743" s="54">
        <v>257.15899999999999</v>
      </c>
      <c r="AC743" s="54">
        <v>95.516200000000012</v>
      </c>
      <c r="AD743" s="36">
        <v>895.56700000000001</v>
      </c>
    </row>
    <row r="744" spans="1:30" s="37" customFormat="1" ht="15.75" customHeight="1" x14ac:dyDescent="0.2">
      <c r="A744" s="26">
        <v>2750</v>
      </c>
      <c r="B744" s="27" t="s">
        <v>1542</v>
      </c>
      <c r="C744" s="27" t="s">
        <v>26</v>
      </c>
      <c r="D744" s="28">
        <v>0.02</v>
      </c>
      <c r="E744" s="29">
        <v>161.55000000000001</v>
      </c>
      <c r="F744" s="29">
        <v>19.989999999999998</v>
      </c>
      <c r="G744" s="30" t="s">
        <v>39</v>
      </c>
      <c r="H744" s="27" t="s">
        <v>3095</v>
      </c>
      <c r="I744" s="27" t="s">
        <v>49</v>
      </c>
      <c r="J744" s="27" t="s">
        <v>78</v>
      </c>
      <c r="K744" s="27" t="s">
        <v>73</v>
      </c>
      <c r="L744" s="31" t="s">
        <v>79</v>
      </c>
      <c r="M744" s="32">
        <v>0.66</v>
      </c>
      <c r="N744" s="27" t="s">
        <v>33</v>
      </c>
      <c r="O744" s="27" t="s">
        <v>34</v>
      </c>
      <c r="P744" s="27" t="s">
        <v>242</v>
      </c>
      <c r="Q744" s="27" t="s">
        <v>1543</v>
      </c>
      <c r="R744" s="33">
        <v>22980</v>
      </c>
      <c r="S744" s="34">
        <v>42071</v>
      </c>
      <c r="T744" s="34">
        <v>42071</v>
      </c>
      <c r="U744" s="29">
        <v>664.51800000000003</v>
      </c>
      <c r="V744" s="26">
        <v>4</v>
      </c>
      <c r="W744" s="29">
        <v>657.61</v>
      </c>
      <c r="X744" s="26">
        <v>91424</v>
      </c>
      <c r="Y744" s="35">
        <v>80.87</v>
      </c>
      <c r="Z744" s="1" t="s">
        <v>3011</v>
      </c>
      <c r="AA744" s="36">
        <v>12.924000000000001</v>
      </c>
      <c r="AB744" s="54">
        <v>223.58739999999997</v>
      </c>
      <c r="AC744" s="54">
        <v>108.50565</v>
      </c>
      <c r="AD744" s="36">
        <v>-39.822000000000003</v>
      </c>
    </row>
    <row r="745" spans="1:30" s="37" customFormat="1" ht="15.75" customHeight="1" x14ac:dyDescent="0.2">
      <c r="A745" s="26">
        <v>2837</v>
      </c>
      <c r="B745" s="27" t="s">
        <v>1546</v>
      </c>
      <c r="C745" s="27" t="s">
        <v>38</v>
      </c>
      <c r="D745" s="28">
        <v>7.0000000000000007E-2</v>
      </c>
      <c r="E745" s="29">
        <v>51.98</v>
      </c>
      <c r="F745" s="29">
        <v>10.17</v>
      </c>
      <c r="G745" s="30" t="s">
        <v>39</v>
      </c>
      <c r="H745" s="27" t="s">
        <v>71</v>
      </c>
      <c r="I745" s="27" t="s">
        <v>41</v>
      </c>
      <c r="J745" s="27" t="s">
        <v>57</v>
      </c>
      <c r="K745" s="27" t="s">
        <v>144</v>
      </c>
      <c r="L745" s="31" t="s">
        <v>1547</v>
      </c>
      <c r="M745" s="32">
        <v>0.37</v>
      </c>
      <c r="N745" s="27" t="s">
        <v>33</v>
      </c>
      <c r="O745" s="27" t="s">
        <v>53</v>
      </c>
      <c r="P745" s="27" t="s">
        <v>207</v>
      </c>
      <c r="Q745" s="27" t="s">
        <v>1548</v>
      </c>
      <c r="R745" s="33">
        <v>74133</v>
      </c>
      <c r="S745" s="34">
        <v>42071</v>
      </c>
      <c r="T745" s="34">
        <v>42073</v>
      </c>
      <c r="U745" s="29">
        <v>439.78530000000001</v>
      </c>
      <c r="V745" s="26">
        <v>13</v>
      </c>
      <c r="W745" s="29">
        <v>637.37</v>
      </c>
      <c r="X745" s="26">
        <v>89801</v>
      </c>
      <c r="Y745" s="35">
        <v>5.25</v>
      </c>
      <c r="Z745" s="1" t="s">
        <v>3012</v>
      </c>
      <c r="AA745" s="36">
        <v>47.3018</v>
      </c>
      <c r="AB745" s="54">
        <v>401.54309999999998</v>
      </c>
      <c r="AC745" s="54">
        <v>18.140530769230772</v>
      </c>
      <c r="AD745" s="36">
        <v>140.11289999999997</v>
      </c>
    </row>
    <row r="746" spans="1:30" s="37" customFormat="1" ht="15.75" customHeight="1" x14ac:dyDescent="0.2">
      <c r="A746" s="26">
        <v>2837</v>
      </c>
      <c r="B746" s="27" t="s">
        <v>1546</v>
      </c>
      <c r="C746" s="27" t="s">
        <v>38</v>
      </c>
      <c r="D746" s="28">
        <v>0.1</v>
      </c>
      <c r="E746" s="29">
        <v>80.97</v>
      </c>
      <c r="F746" s="29">
        <v>33.6</v>
      </c>
      <c r="G746" s="30" t="s">
        <v>27</v>
      </c>
      <c r="H746" s="27" t="s">
        <v>71</v>
      </c>
      <c r="I746" s="27" t="s">
        <v>41</v>
      </c>
      <c r="J746" s="27" t="s">
        <v>57</v>
      </c>
      <c r="K746" s="27" t="s">
        <v>58</v>
      </c>
      <c r="L746" s="31" t="s">
        <v>909</v>
      </c>
      <c r="M746" s="32">
        <v>0.37</v>
      </c>
      <c r="N746" s="27" t="s">
        <v>33</v>
      </c>
      <c r="O746" s="27" t="s">
        <v>53</v>
      </c>
      <c r="P746" s="27" t="s">
        <v>207</v>
      </c>
      <c r="Q746" s="27" t="s">
        <v>1548</v>
      </c>
      <c r="R746" s="33">
        <v>74133</v>
      </c>
      <c r="S746" s="34">
        <v>42071</v>
      </c>
      <c r="T746" s="34">
        <v>42074</v>
      </c>
      <c r="U746" s="29">
        <v>-149.4573</v>
      </c>
      <c r="V746" s="26">
        <v>3</v>
      </c>
      <c r="W746" s="29">
        <v>232.16</v>
      </c>
      <c r="X746" s="26">
        <v>89801</v>
      </c>
      <c r="Y746" s="35">
        <v>140.91</v>
      </c>
      <c r="Z746" s="1" t="s">
        <v>3012</v>
      </c>
      <c r="AA746" s="36">
        <v>24.290999999999997</v>
      </c>
      <c r="AB746" s="54">
        <v>146.26079999999999</v>
      </c>
      <c r="AC746" s="54">
        <v>28.633066666666668</v>
      </c>
      <c r="AD746" s="36">
        <v>323.72630000000004</v>
      </c>
    </row>
    <row r="747" spans="1:30" s="37" customFormat="1" ht="15.75" customHeight="1" x14ac:dyDescent="0.2">
      <c r="A747" s="26">
        <v>2770</v>
      </c>
      <c r="B747" s="27" t="s">
        <v>1544</v>
      </c>
      <c r="C747" s="27" t="s">
        <v>26</v>
      </c>
      <c r="D747" s="28">
        <v>0.02</v>
      </c>
      <c r="E747" s="29">
        <v>11.55</v>
      </c>
      <c r="F747" s="29">
        <v>2.36</v>
      </c>
      <c r="G747" s="30" t="s">
        <v>39</v>
      </c>
      <c r="H747" s="27" t="s">
        <v>94</v>
      </c>
      <c r="I747" s="27" t="s">
        <v>49</v>
      </c>
      <c r="J747" s="27" t="s">
        <v>50</v>
      </c>
      <c r="K747" s="27" t="s">
        <v>51</v>
      </c>
      <c r="L747" s="31" t="s">
        <v>380</v>
      </c>
      <c r="M747" s="32">
        <v>0.55000000000000004</v>
      </c>
      <c r="N747" s="27" t="s">
        <v>33</v>
      </c>
      <c r="O747" s="27" t="s">
        <v>34</v>
      </c>
      <c r="P747" s="27" t="s">
        <v>75</v>
      </c>
      <c r="Q747" s="27" t="s">
        <v>1545</v>
      </c>
      <c r="R747" s="33">
        <v>30338</v>
      </c>
      <c r="S747" s="34">
        <v>42071</v>
      </c>
      <c r="T747" s="34">
        <v>42073</v>
      </c>
      <c r="U747" s="29">
        <v>1289.3820000000001</v>
      </c>
      <c r="V747" s="26">
        <v>14</v>
      </c>
      <c r="W747" s="29">
        <v>159.53</v>
      </c>
      <c r="X747" s="26">
        <v>88975</v>
      </c>
      <c r="Y747" s="35">
        <v>205.93</v>
      </c>
      <c r="Z747" s="1" t="s">
        <v>3011</v>
      </c>
      <c r="AA747" s="36">
        <v>3.234</v>
      </c>
      <c r="AB747" s="54">
        <v>71.788499999999999</v>
      </c>
      <c r="AC747" s="54">
        <v>6.2672500000000007</v>
      </c>
      <c r="AD747" s="36">
        <v>-1135.4459999999999</v>
      </c>
    </row>
    <row r="748" spans="1:30" s="37" customFormat="1" ht="15.75" customHeight="1" x14ac:dyDescent="0.2">
      <c r="A748" s="26">
        <v>693</v>
      </c>
      <c r="B748" s="27" t="s">
        <v>1549</v>
      </c>
      <c r="C748" s="27" t="s">
        <v>48</v>
      </c>
      <c r="D748" s="28">
        <v>0.09</v>
      </c>
      <c r="E748" s="29">
        <v>5.34</v>
      </c>
      <c r="F748" s="29">
        <v>2.99</v>
      </c>
      <c r="G748" s="30" t="s">
        <v>87</v>
      </c>
      <c r="H748" s="27" t="s">
        <v>3095</v>
      </c>
      <c r="I748" s="27" t="s">
        <v>49</v>
      </c>
      <c r="J748" s="27" t="s">
        <v>72</v>
      </c>
      <c r="K748" s="27" t="s">
        <v>73</v>
      </c>
      <c r="L748" s="31" t="s">
        <v>1378</v>
      </c>
      <c r="M748" s="32">
        <v>0.38</v>
      </c>
      <c r="N748" s="27" t="s">
        <v>33</v>
      </c>
      <c r="O748" s="27" t="s">
        <v>60</v>
      </c>
      <c r="P748" s="27" t="s">
        <v>61</v>
      </c>
      <c r="Q748" s="27" t="s">
        <v>1550</v>
      </c>
      <c r="R748" s="33">
        <v>80229</v>
      </c>
      <c r="S748" s="34">
        <v>42071</v>
      </c>
      <c r="T748" s="34">
        <v>42078</v>
      </c>
      <c r="U748" s="29">
        <v>9.4860000000000007</v>
      </c>
      <c r="V748" s="26">
        <v>17</v>
      </c>
      <c r="W748" s="29">
        <v>95.1</v>
      </c>
      <c r="X748" s="26">
        <v>87812</v>
      </c>
      <c r="Y748" s="35">
        <v>300.97000000000003</v>
      </c>
      <c r="Z748" s="1" t="s">
        <v>3013</v>
      </c>
      <c r="AA748" s="36">
        <v>8.1701999999999995</v>
      </c>
      <c r="AB748" s="54">
        <v>58.961999999999996</v>
      </c>
      <c r="AC748" s="54">
        <v>2.1257647058823528</v>
      </c>
      <c r="AD748" s="36">
        <v>74.453800000000001</v>
      </c>
    </row>
    <row r="749" spans="1:30" s="37" customFormat="1" ht="15.75" customHeight="1" x14ac:dyDescent="0.2">
      <c r="A749" s="26">
        <v>2258</v>
      </c>
      <c r="B749" s="27" t="s">
        <v>1557</v>
      </c>
      <c r="C749" s="27" t="s">
        <v>48</v>
      </c>
      <c r="D749" s="28">
        <v>7.0000000000000007E-2</v>
      </c>
      <c r="E749" s="29">
        <v>400.97</v>
      </c>
      <c r="F749" s="29">
        <v>48.26</v>
      </c>
      <c r="G749" s="30" t="s">
        <v>27</v>
      </c>
      <c r="H749" s="27" t="s">
        <v>94</v>
      </c>
      <c r="I749" s="27" t="s">
        <v>41</v>
      </c>
      <c r="J749" s="27" t="s">
        <v>57</v>
      </c>
      <c r="K749" s="27" t="s">
        <v>31</v>
      </c>
      <c r="L749" s="31" t="s">
        <v>1560</v>
      </c>
      <c r="M749" s="32">
        <v>0.36</v>
      </c>
      <c r="N749" s="27" t="s">
        <v>33</v>
      </c>
      <c r="O749" s="27" t="s">
        <v>34</v>
      </c>
      <c r="P749" s="27" t="s">
        <v>97</v>
      </c>
      <c r="Q749" s="27" t="s">
        <v>1559</v>
      </c>
      <c r="R749" s="33">
        <v>27801</v>
      </c>
      <c r="S749" s="34">
        <v>42072</v>
      </c>
      <c r="T749" s="34">
        <v>42076</v>
      </c>
      <c r="U749" s="29">
        <v>45.127800000000001</v>
      </c>
      <c r="V749" s="26">
        <v>8</v>
      </c>
      <c r="W749" s="29">
        <v>2961.32</v>
      </c>
      <c r="X749" s="26">
        <v>87962</v>
      </c>
      <c r="Y749" s="35">
        <v>19.190000000000001</v>
      </c>
      <c r="Z749" s="1" t="s">
        <v>3011</v>
      </c>
      <c r="AA749" s="36">
        <v>224.54320000000004</v>
      </c>
      <c r="AB749" s="54">
        <v>1895.2448000000002</v>
      </c>
      <c r="AC749" s="54">
        <v>133.2594</v>
      </c>
      <c r="AD749" s="36">
        <v>2643.3890000000001</v>
      </c>
    </row>
    <row r="750" spans="1:30" s="37" customFormat="1" ht="15.75" customHeight="1" x14ac:dyDescent="0.2">
      <c r="A750" s="26">
        <v>1075</v>
      </c>
      <c r="B750" s="27" t="s">
        <v>1555</v>
      </c>
      <c r="C750" s="27" t="s">
        <v>38</v>
      </c>
      <c r="D750" s="28">
        <v>0.04</v>
      </c>
      <c r="E750" s="29">
        <v>19.23</v>
      </c>
      <c r="F750" s="29">
        <v>6.15</v>
      </c>
      <c r="G750" s="30" t="s">
        <v>39</v>
      </c>
      <c r="H750" s="27" t="s">
        <v>71</v>
      </c>
      <c r="I750" s="27" t="s">
        <v>29</v>
      </c>
      <c r="J750" s="27" t="s">
        <v>126</v>
      </c>
      <c r="K750" s="27" t="s">
        <v>43</v>
      </c>
      <c r="L750" s="31" t="s">
        <v>1277</v>
      </c>
      <c r="M750" s="32">
        <v>0.44</v>
      </c>
      <c r="N750" s="27" t="s">
        <v>33</v>
      </c>
      <c r="O750" s="27" t="s">
        <v>53</v>
      </c>
      <c r="P750" s="27" t="s">
        <v>103</v>
      </c>
      <c r="Q750" s="27" t="s">
        <v>1556</v>
      </c>
      <c r="R750" s="33">
        <v>60441</v>
      </c>
      <c r="S750" s="34">
        <v>42072</v>
      </c>
      <c r="T750" s="34">
        <v>42073</v>
      </c>
      <c r="U750" s="29">
        <v>152.4348</v>
      </c>
      <c r="V750" s="26">
        <v>11</v>
      </c>
      <c r="W750" s="29">
        <v>220.92</v>
      </c>
      <c r="X750" s="26">
        <v>86422</v>
      </c>
      <c r="Y750" s="35">
        <v>7.63</v>
      </c>
      <c r="Z750" s="1" t="s">
        <v>3012</v>
      </c>
      <c r="AA750" s="36">
        <v>8.4611999999999998</v>
      </c>
      <c r="AB750" s="54">
        <v>123.71520000000001</v>
      </c>
      <c r="AC750" s="54">
        <v>8.8368000000000002</v>
      </c>
      <c r="AD750" s="36">
        <v>53.873999999999995</v>
      </c>
    </row>
    <row r="751" spans="1:30" s="37" customFormat="1" ht="15.75" customHeight="1" x14ac:dyDescent="0.2">
      <c r="A751" s="26">
        <v>2258</v>
      </c>
      <c r="B751" s="27" t="s">
        <v>1557</v>
      </c>
      <c r="C751" s="27" t="s">
        <v>48</v>
      </c>
      <c r="D751" s="28">
        <v>0.01</v>
      </c>
      <c r="E751" s="29">
        <v>7.64</v>
      </c>
      <c r="F751" s="29">
        <v>1.39</v>
      </c>
      <c r="G751" s="30" t="s">
        <v>87</v>
      </c>
      <c r="H751" s="27" t="s">
        <v>94</v>
      </c>
      <c r="I751" s="27" t="s">
        <v>49</v>
      </c>
      <c r="J751" s="27" t="s">
        <v>345</v>
      </c>
      <c r="K751" s="27" t="s">
        <v>73</v>
      </c>
      <c r="L751" s="31" t="s">
        <v>1558</v>
      </c>
      <c r="M751" s="32">
        <v>0.36</v>
      </c>
      <c r="N751" s="27" t="s">
        <v>33</v>
      </c>
      <c r="O751" s="27" t="s">
        <v>34</v>
      </c>
      <c r="P751" s="27" t="s">
        <v>97</v>
      </c>
      <c r="Q751" s="27" t="s">
        <v>1559</v>
      </c>
      <c r="R751" s="33">
        <v>27801</v>
      </c>
      <c r="S751" s="34">
        <v>42072</v>
      </c>
      <c r="T751" s="34">
        <v>42076</v>
      </c>
      <c r="U751" s="29">
        <v>-1676.6120000000001</v>
      </c>
      <c r="V751" s="26">
        <v>9</v>
      </c>
      <c r="W751" s="29">
        <v>73.290000000000006</v>
      </c>
      <c r="X751" s="26">
        <v>87962</v>
      </c>
      <c r="Y751" s="35">
        <v>400.90000000000003</v>
      </c>
      <c r="Z751" s="1" t="s">
        <v>3011</v>
      </c>
      <c r="AA751" s="36">
        <v>0.68759999999999999</v>
      </c>
      <c r="AB751" s="54">
        <v>46.905600000000007</v>
      </c>
      <c r="AC751" s="54">
        <v>2.9316000000000004</v>
      </c>
      <c r="AD751" s="36">
        <v>1747.8244</v>
      </c>
    </row>
    <row r="752" spans="1:30" s="37" customFormat="1" ht="15.75" customHeight="1" x14ac:dyDescent="0.2">
      <c r="A752" s="26">
        <v>2855</v>
      </c>
      <c r="B752" s="27" t="s">
        <v>678</v>
      </c>
      <c r="C752" s="27" t="s">
        <v>48</v>
      </c>
      <c r="D752" s="28">
        <v>0.09</v>
      </c>
      <c r="E752" s="29">
        <v>6783.02</v>
      </c>
      <c r="F752" s="29">
        <v>24.49</v>
      </c>
      <c r="G752" s="30" t="s">
        <v>39</v>
      </c>
      <c r="H752" s="27" t="s">
        <v>40</v>
      </c>
      <c r="I752" s="27" t="s">
        <v>41</v>
      </c>
      <c r="J752" s="27" t="s">
        <v>57</v>
      </c>
      <c r="K752" s="27" t="s">
        <v>65</v>
      </c>
      <c r="L752" s="31" t="s">
        <v>314</v>
      </c>
      <c r="M752" s="32">
        <v>0.39</v>
      </c>
      <c r="N752" s="27" t="s">
        <v>33</v>
      </c>
      <c r="O752" s="27" t="s">
        <v>60</v>
      </c>
      <c r="P752" s="27" t="s">
        <v>67</v>
      </c>
      <c r="Q752" s="27" t="s">
        <v>680</v>
      </c>
      <c r="R752" s="33">
        <v>98198</v>
      </c>
      <c r="S752" s="34">
        <v>42073</v>
      </c>
      <c r="T752" s="34">
        <v>42077</v>
      </c>
      <c r="U752" s="29">
        <v>-14140.7016</v>
      </c>
      <c r="V752" s="26">
        <v>1</v>
      </c>
      <c r="W752" s="29">
        <v>6296</v>
      </c>
      <c r="X752" s="26">
        <v>87317</v>
      </c>
      <c r="Y752" s="35">
        <v>6782.93</v>
      </c>
      <c r="Z752" s="1" t="s">
        <v>3013</v>
      </c>
      <c r="AA752" s="36">
        <v>610.47180000000003</v>
      </c>
      <c r="AB752" s="54">
        <v>3840.56</v>
      </c>
      <c r="AC752" s="54">
        <v>2455.44</v>
      </c>
      <c r="AD752" s="36">
        <v>19801.739800000003</v>
      </c>
    </row>
    <row r="753" spans="1:30" s="37" customFormat="1" ht="15.75" customHeight="1" x14ac:dyDescent="0.2">
      <c r="A753" s="26">
        <v>52</v>
      </c>
      <c r="B753" s="27" t="s">
        <v>1565</v>
      </c>
      <c r="C753" s="27" t="s">
        <v>3094</v>
      </c>
      <c r="D753" s="28">
        <v>0</v>
      </c>
      <c r="E753" s="29">
        <v>115.99</v>
      </c>
      <c r="F753" s="29">
        <v>2.5</v>
      </c>
      <c r="G753" s="30" t="s">
        <v>39</v>
      </c>
      <c r="H753" s="27" t="s">
        <v>94</v>
      </c>
      <c r="I753" s="27" t="s">
        <v>41</v>
      </c>
      <c r="J753" s="27" t="s">
        <v>135</v>
      </c>
      <c r="K753" s="27" t="s">
        <v>73</v>
      </c>
      <c r="L753" s="31" t="s">
        <v>1566</v>
      </c>
      <c r="M753" s="32">
        <v>0.56999999999999995</v>
      </c>
      <c r="N753" s="27" t="s">
        <v>33</v>
      </c>
      <c r="O753" s="27" t="s">
        <v>60</v>
      </c>
      <c r="P753" s="27" t="s">
        <v>67</v>
      </c>
      <c r="Q753" s="27" t="s">
        <v>1567</v>
      </c>
      <c r="R753" s="33">
        <v>98373</v>
      </c>
      <c r="S753" s="34">
        <v>42073</v>
      </c>
      <c r="T753" s="34">
        <v>42073</v>
      </c>
      <c r="U753" s="29">
        <v>162.666</v>
      </c>
      <c r="V753" s="26">
        <v>6</v>
      </c>
      <c r="W753" s="29">
        <v>627.04</v>
      </c>
      <c r="X753" s="26">
        <v>88426</v>
      </c>
      <c r="Y753" s="35">
        <v>99.97999999999999</v>
      </c>
      <c r="Z753" s="1" t="s">
        <v>3013</v>
      </c>
      <c r="AA753" s="36">
        <v>0</v>
      </c>
      <c r="AB753" s="54">
        <v>269.62720000000002</v>
      </c>
      <c r="AC753" s="54">
        <v>59.568799999999989</v>
      </c>
      <c r="AD753" s="36">
        <v>461.87399999999997</v>
      </c>
    </row>
    <row r="754" spans="1:30" s="37" customFormat="1" ht="15.75" customHeight="1" x14ac:dyDescent="0.2">
      <c r="A754" s="26">
        <v>2545</v>
      </c>
      <c r="B754" s="27" t="s">
        <v>1561</v>
      </c>
      <c r="C754" s="27" t="s">
        <v>116</v>
      </c>
      <c r="D754" s="28">
        <v>0.01</v>
      </c>
      <c r="E754" s="29">
        <v>99.99</v>
      </c>
      <c r="F754" s="29">
        <v>19.989999999999998</v>
      </c>
      <c r="G754" s="30" t="s">
        <v>87</v>
      </c>
      <c r="H754" s="27" t="s">
        <v>71</v>
      </c>
      <c r="I754" s="27" t="s">
        <v>41</v>
      </c>
      <c r="J754" s="27" t="s">
        <v>57</v>
      </c>
      <c r="K754" s="27" t="s">
        <v>73</v>
      </c>
      <c r="L754" s="31" t="s">
        <v>1562</v>
      </c>
      <c r="M754" s="32">
        <v>0.52</v>
      </c>
      <c r="N754" s="27" t="s">
        <v>33</v>
      </c>
      <c r="O754" s="27" t="s">
        <v>34</v>
      </c>
      <c r="P754" s="27" t="s">
        <v>242</v>
      </c>
      <c r="Q754" s="27" t="s">
        <v>878</v>
      </c>
      <c r="R754" s="33">
        <v>22153</v>
      </c>
      <c r="S754" s="34">
        <v>42073</v>
      </c>
      <c r="T754" s="34">
        <v>42075</v>
      </c>
      <c r="U754" s="29">
        <v>90.024000000000001</v>
      </c>
      <c r="V754" s="26">
        <v>2</v>
      </c>
      <c r="W754" s="29">
        <v>202.98</v>
      </c>
      <c r="X754" s="26">
        <v>87915</v>
      </c>
      <c r="Y754" s="35">
        <v>4.8800000000000008</v>
      </c>
      <c r="Z754" s="1" t="s">
        <v>3011</v>
      </c>
      <c r="AA754" s="36">
        <v>1.9998</v>
      </c>
      <c r="AB754" s="54">
        <v>97.430399999999992</v>
      </c>
      <c r="AC754" s="54">
        <v>52.774799999999999</v>
      </c>
      <c r="AD754" s="36">
        <v>90.966200000000001</v>
      </c>
    </row>
    <row r="755" spans="1:30" s="37" customFormat="1" ht="15.75" customHeight="1" x14ac:dyDescent="0.2">
      <c r="A755" s="26">
        <v>3194</v>
      </c>
      <c r="B755" s="27" t="s">
        <v>1563</v>
      </c>
      <c r="C755" s="27" t="s">
        <v>116</v>
      </c>
      <c r="D755" s="28">
        <v>0</v>
      </c>
      <c r="E755" s="29">
        <v>22.84</v>
      </c>
      <c r="F755" s="29">
        <v>8.18</v>
      </c>
      <c r="G755" s="30" t="s">
        <v>39</v>
      </c>
      <c r="H755" s="27" t="s">
        <v>40</v>
      </c>
      <c r="I755" s="27" t="s">
        <v>49</v>
      </c>
      <c r="J755" s="27" t="s">
        <v>88</v>
      </c>
      <c r="K755" s="27" t="s">
        <v>73</v>
      </c>
      <c r="L755" s="31" t="s">
        <v>605</v>
      </c>
      <c r="M755" s="32">
        <v>0.39</v>
      </c>
      <c r="N755" s="27" t="s">
        <v>33</v>
      </c>
      <c r="O755" s="27" t="s">
        <v>34</v>
      </c>
      <c r="P755" s="27" t="s">
        <v>123</v>
      </c>
      <c r="Q755" s="27" t="s">
        <v>436</v>
      </c>
      <c r="R755" s="33">
        <v>34609</v>
      </c>
      <c r="S755" s="34">
        <v>42073</v>
      </c>
      <c r="T755" s="34">
        <v>42075</v>
      </c>
      <c r="U755" s="29">
        <v>-110.376</v>
      </c>
      <c r="V755" s="26">
        <v>6</v>
      </c>
      <c r="W755" s="29">
        <v>141.74</v>
      </c>
      <c r="X755" s="26">
        <v>89805</v>
      </c>
      <c r="Y755" s="35">
        <v>22.84</v>
      </c>
      <c r="Z755" s="1" t="s">
        <v>3011</v>
      </c>
      <c r="AA755" s="36">
        <v>0</v>
      </c>
      <c r="AB755" s="54">
        <v>86.461399999999998</v>
      </c>
      <c r="AC755" s="54">
        <v>9.2131000000000007</v>
      </c>
      <c r="AD755" s="36">
        <v>243.93600000000001</v>
      </c>
    </row>
    <row r="756" spans="1:30" s="37" customFormat="1" ht="15.75" customHeight="1" x14ac:dyDescent="0.2">
      <c r="A756" s="26">
        <v>53</v>
      </c>
      <c r="B756" s="27" t="s">
        <v>840</v>
      </c>
      <c r="C756" s="27" t="s">
        <v>3094</v>
      </c>
      <c r="D756" s="28">
        <v>0.02</v>
      </c>
      <c r="E756" s="29">
        <v>5.98</v>
      </c>
      <c r="F756" s="29">
        <v>5.79</v>
      </c>
      <c r="G756" s="30" t="s">
        <v>39</v>
      </c>
      <c r="H756" s="27" t="s">
        <v>94</v>
      </c>
      <c r="I756" s="27" t="s">
        <v>49</v>
      </c>
      <c r="J756" s="27" t="s">
        <v>88</v>
      </c>
      <c r="K756" s="27" t="s">
        <v>73</v>
      </c>
      <c r="L756" s="31" t="s">
        <v>471</v>
      </c>
      <c r="M756" s="32">
        <v>0.36</v>
      </c>
      <c r="N756" s="27" t="s">
        <v>33</v>
      </c>
      <c r="O756" s="27" t="s">
        <v>60</v>
      </c>
      <c r="P756" s="27" t="s">
        <v>67</v>
      </c>
      <c r="Q756" s="27" t="s">
        <v>842</v>
      </c>
      <c r="R756" s="33">
        <v>98052</v>
      </c>
      <c r="S756" s="34">
        <v>42073</v>
      </c>
      <c r="T756" s="34">
        <v>42074</v>
      </c>
      <c r="U756" s="29">
        <v>-67.489999999999995</v>
      </c>
      <c r="V756" s="26">
        <v>17</v>
      </c>
      <c r="W756" s="29">
        <v>110.19</v>
      </c>
      <c r="X756" s="26">
        <v>88426</v>
      </c>
      <c r="Y756" s="35">
        <v>115.99</v>
      </c>
      <c r="Z756" s="1" t="s">
        <v>3013</v>
      </c>
      <c r="AA756" s="36">
        <v>2.0332000000000003</v>
      </c>
      <c r="AB756" s="54">
        <v>70.521600000000007</v>
      </c>
      <c r="AC756" s="54">
        <v>2.3334352941176468</v>
      </c>
      <c r="AD756" s="36">
        <v>169.85679999999999</v>
      </c>
    </row>
    <row r="757" spans="1:30" s="37" customFormat="1" ht="15.75" customHeight="1" x14ac:dyDescent="0.2">
      <c r="A757" s="26">
        <v>3194</v>
      </c>
      <c r="B757" s="27" t="s">
        <v>1563</v>
      </c>
      <c r="C757" s="27" t="s">
        <v>116</v>
      </c>
      <c r="D757" s="28">
        <v>0.1</v>
      </c>
      <c r="E757" s="29">
        <v>4.9800000000000004</v>
      </c>
      <c r="F757" s="29">
        <v>7.54</v>
      </c>
      <c r="G757" s="30" t="s">
        <v>39</v>
      </c>
      <c r="H757" s="27" t="s">
        <v>40</v>
      </c>
      <c r="I757" s="27" t="s">
        <v>49</v>
      </c>
      <c r="J757" s="27" t="s">
        <v>88</v>
      </c>
      <c r="K757" s="27" t="s">
        <v>73</v>
      </c>
      <c r="L757" s="31" t="s">
        <v>1564</v>
      </c>
      <c r="M757" s="32">
        <v>0.38</v>
      </c>
      <c r="N757" s="27" t="s">
        <v>33</v>
      </c>
      <c r="O757" s="27" t="s">
        <v>34</v>
      </c>
      <c r="P757" s="27" t="s">
        <v>123</v>
      </c>
      <c r="Q757" s="27" t="s">
        <v>436</v>
      </c>
      <c r="R757" s="33">
        <v>34609</v>
      </c>
      <c r="S757" s="34">
        <v>42073</v>
      </c>
      <c r="T757" s="34">
        <v>42074</v>
      </c>
      <c r="U757" s="29">
        <v>45.078000000000003</v>
      </c>
      <c r="V757" s="26">
        <v>9</v>
      </c>
      <c r="W757" s="29">
        <v>43.84</v>
      </c>
      <c r="X757" s="26">
        <v>89805</v>
      </c>
      <c r="Y757" s="35">
        <v>5.9600000000000009</v>
      </c>
      <c r="Z757" s="1" t="s">
        <v>3011</v>
      </c>
      <c r="AA757" s="36">
        <v>4.4820000000000002</v>
      </c>
      <c r="AB757" s="54">
        <v>27.180800000000001</v>
      </c>
      <c r="AC757" s="54">
        <v>1.8510222222222223</v>
      </c>
      <c r="AD757" s="36">
        <v>-13.259999999999998</v>
      </c>
    </row>
    <row r="758" spans="1:30" s="37" customFormat="1" ht="15.75" customHeight="1" x14ac:dyDescent="0.2">
      <c r="A758" s="26">
        <v>1484</v>
      </c>
      <c r="B758" s="27" t="s">
        <v>1579</v>
      </c>
      <c r="C758" s="27" t="s">
        <v>38</v>
      </c>
      <c r="D758" s="28">
        <v>0</v>
      </c>
      <c r="E758" s="29">
        <v>193.17</v>
      </c>
      <c r="F758" s="29">
        <v>19.989999999999998</v>
      </c>
      <c r="G758" s="30" t="s">
        <v>39</v>
      </c>
      <c r="H758" s="27" t="s">
        <v>71</v>
      </c>
      <c r="I758" s="27" t="s">
        <v>49</v>
      </c>
      <c r="J758" s="27" t="s">
        <v>78</v>
      </c>
      <c r="K758" s="27" t="s">
        <v>73</v>
      </c>
      <c r="L758" s="31" t="s">
        <v>1582</v>
      </c>
      <c r="M758" s="32">
        <v>0.71</v>
      </c>
      <c r="N758" s="27" t="s">
        <v>33</v>
      </c>
      <c r="O758" s="27" t="s">
        <v>53</v>
      </c>
      <c r="P758" s="27" t="s">
        <v>103</v>
      </c>
      <c r="Q758" s="27" t="s">
        <v>1581</v>
      </c>
      <c r="R758" s="33">
        <v>60016</v>
      </c>
      <c r="S758" s="34">
        <v>42074</v>
      </c>
      <c r="T758" s="34">
        <v>42075</v>
      </c>
      <c r="U758" s="29">
        <v>282.18</v>
      </c>
      <c r="V758" s="26">
        <v>5</v>
      </c>
      <c r="W758" s="29">
        <v>971.4</v>
      </c>
      <c r="X758" s="26">
        <v>91235</v>
      </c>
      <c r="Y758" s="35">
        <v>2.5499999999999998</v>
      </c>
      <c r="Z758" s="1" t="s">
        <v>3012</v>
      </c>
      <c r="AA758" s="36">
        <v>0</v>
      </c>
      <c r="AB758" s="54">
        <v>281.70600000000002</v>
      </c>
      <c r="AC758" s="54">
        <v>137.93879999999999</v>
      </c>
      <c r="AD758" s="36">
        <v>669.23</v>
      </c>
    </row>
    <row r="759" spans="1:30" s="37" customFormat="1" ht="15.75" customHeight="1" x14ac:dyDescent="0.2">
      <c r="A759" s="26">
        <v>1484</v>
      </c>
      <c r="B759" s="27" t="s">
        <v>1579</v>
      </c>
      <c r="C759" s="27" t="s">
        <v>38</v>
      </c>
      <c r="D759" s="28">
        <v>0.06</v>
      </c>
      <c r="E759" s="29">
        <v>99.99</v>
      </c>
      <c r="F759" s="29">
        <v>19.989999999999998</v>
      </c>
      <c r="G759" s="30" t="s">
        <v>39</v>
      </c>
      <c r="H759" s="27" t="s">
        <v>71</v>
      </c>
      <c r="I759" s="27" t="s">
        <v>41</v>
      </c>
      <c r="J759" s="27" t="s">
        <v>42</v>
      </c>
      <c r="K759" s="27" t="s">
        <v>73</v>
      </c>
      <c r="L759" s="31" t="s">
        <v>1580</v>
      </c>
      <c r="M759" s="32">
        <v>0.52</v>
      </c>
      <c r="N759" s="27" t="s">
        <v>33</v>
      </c>
      <c r="O759" s="27" t="s">
        <v>53</v>
      </c>
      <c r="P759" s="27" t="s">
        <v>103</v>
      </c>
      <c r="Q759" s="27" t="s">
        <v>1581</v>
      </c>
      <c r="R759" s="33">
        <v>60016</v>
      </c>
      <c r="S759" s="34">
        <v>42074</v>
      </c>
      <c r="T759" s="34">
        <v>42077</v>
      </c>
      <c r="U759" s="29">
        <v>-127.56</v>
      </c>
      <c r="V759" s="26">
        <v>3</v>
      </c>
      <c r="W759" s="29">
        <v>290.24</v>
      </c>
      <c r="X759" s="26">
        <v>91235</v>
      </c>
      <c r="Y759" s="35">
        <v>6.34</v>
      </c>
      <c r="Z759" s="1" t="s">
        <v>3012</v>
      </c>
      <c r="AA759" s="36">
        <v>17.998199999999997</v>
      </c>
      <c r="AB759" s="54">
        <v>139.3152</v>
      </c>
      <c r="AC759" s="54">
        <v>50.308266666666668</v>
      </c>
      <c r="AD759" s="36">
        <v>379.81180000000001</v>
      </c>
    </row>
    <row r="760" spans="1:30" s="37" customFormat="1" ht="15.75" customHeight="1" x14ac:dyDescent="0.2">
      <c r="A760" s="26">
        <v>1497</v>
      </c>
      <c r="B760" s="27" t="s">
        <v>1574</v>
      </c>
      <c r="C760" s="27" t="s">
        <v>26</v>
      </c>
      <c r="D760" s="28">
        <v>0.03</v>
      </c>
      <c r="E760" s="29">
        <v>15.14</v>
      </c>
      <c r="F760" s="29">
        <v>4.53</v>
      </c>
      <c r="G760" s="30" t="s">
        <v>39</v>
      </c>
      <c r="H760" s="27" t="s">
        <v>94</v>
      </c>
      <c r="I760" s="27" t="s">
        <v>49</v>
      </c>
      <c r="J760" s="27" t="s">
        <v>78</v>
      </c>
      <c r="K760" s="27" t="s">
        <v>73</v>
      </c>
      <c r="L760" s="31" t="s">
        <v>1355</v>
      </c>
      <c r="M760" s="32">
        <v>0.81</v>
      </c>
      <c r="N760" s="27" t="s">
        <v>33</v>
      </c>
      <c r="O760" s="27" t="s">
        <v>111</v>
      </c>
      <c r="P760" s="27" t="s">
        <v>112</v>
      </c>
      <c r="Q760" s="27" t="s">
        <v>1576</v>
      </c>
      <c r="R760" s="33">
        <v>14901</v>
      </c>
      <c r="S760" s="34">
        <v>42074</v>
      </c>
      <c r="T760" s="34">
        <v>42076</v>
      </c>
      <c r="U760" s="29">
        <v>-92.87</v>
      </c>
      <c r="V760" s="26">
        <v>17</v>
      </c>
      <c r="W760" s="29">
        <v>256.73</v>
      </c>
      <c r="X760" s="26">
        <v>85880</v>
      </c>
      <c r="Y760" s="35">
        <v>8.3099999999999987</v>
      </c>
      <c r="Z760" s="1" t="s">
        <v>3014</v>
      </c>
      <c r="AA760" s="36">
        <v>7.7214</v>
      </c>
      <c r="AB760" s="54">
        <v>48.778699999999986</v>
      </c>
      <c r="AC760" s="54">
        <v>12.232429411764707</v>
      </c>
      <c r="AD760" s="36">
        <v>337.34860000000003</v>
      </c>
    </row>
    <row r="761" spans="1:30" s="37" customFormat="1" ht="15.75" customHeight="1" x14ac:dyDescent="0.2">
      <c r="A761" s="26">
        <v>3397</v>
      </c>
      <c r="B761" s="27" t="s">
        <v>1584</v>
      </c>
      <c r="C761" s="27" t="s">
        <v>38</v>
      </c>
      <c r="D761" s="28">
        <v>0.01</v>
      </c>
      <c r="E761" s="29">
        <v>10.9</v>
      </c>
      <c r="F761" s="29">
        <v>7.46</v>
      </c>
      <c r="G761" s="30" t="s">
        <v>39</v>
      </c>
      <c r="H761" s="27" t="s">
        <v>3095</v>
      </c>
      <c r="I761" s="27" t="s">
        <v>49</v>
      </c>
      <c r="J761" s="27" t="s">
        <v>78</v>
      </c>
      <c r="K761" s="27" t="s">
        <v>73</v>
      </c>
      <c r="L761" s="31" t="s">
        <v>1585</v>
      </c>
      <c r="M761" s="32">
        <v>0.59</v>
      </c>
      <c r="N761" s="27" t="s">
        <v>33</v>
      </c>
      <c r="O761" s="27" t="s">
        <v>53</v>
      </c>
      <c r="P761" s="27" t="s">
        <v>103</v>
      </c>
      <c r="Q761" s="27" t="s">
        <v>1586</v>
      </c>
      <c r="R761" s="33">
        <v>61832</v>
      </c>
      <c r="S761" s="34">
        <v>42074</v>
      </c>
      <c r="T761" s="34">
        <v>42075</v>
      </c>
      <c r="U761" s="29">
        <v>-116.76</v>
      </c>
      <c r="V761" s="26">
        <v>18</v>
      </c>
      <c r="W761" s="29">
        <v>207.31</v>
      </c>
      <c r="X761" s="26">
        <v>87536</v>
      </c>
      <c r="Y761" s="35">
        <v>6.3900000000000006</v>
      </c>
      <c r="Z761" s="1" t="s">
        <v>3012</v>
      </c>
      <c r="AA761" s="36">
        <v>1.962</v>
      </c>
      <c r="AB761" s="54">
        <v>84.997100000000003</v>
      </c>
      <c r="AC761" s="54">
        <v>6.7951611111111117</v>
      </c>
      <c r="AD761" s="36">
        <v>314.64800000000002</v>
      </c>
    </row>
    <row r="762" spans="1:30" s="37" customFormat="1" ht="15.75" customHeight="1" x14ac:dyDescent="0.2">
      <c r="A762" s="26">
        <v>1484</v>
      </c>
      <c r="B762" s="27" t="s">
        <v>1579</v>
      </c>
      <c r="C762" s="27" t="s">
        <v>38</v>
      </c>
      <c r="D762" s="28">
        <v>0.08</v>
      </c>
      <c r="E762" s="29">
        <v>20.99</v>
      </c>
      <c r="F762" s="29">
        <v>3.3</v>
      </c>
      <c r="G762" s="30" t="s">
        <v>87</v>
      </c>
      <c r="H762" s="27" t="s">
        <v>71</v>
      </c>
      <c r="I762" s="27" t="s">
        <v>41</v>
      </c>
      <c r="J762" s="27" t="s">
        <v>135</v>
      </c>
      <c r="K762" s="27" t="s">
        <v>43</v>
      </c>
      <c r="L762" s="31" t="s">
        <v>1583</v>
      </c>
      <c r="M762" s="32">
        <v>0.81</v>
      </c>
      <c r="N762" s="27" t="s">
        <v>33</v>
      </c>
      <c r="O762" s="27" t="s">
        <v>53</v>
      </c>
      <c r="P762" s="27" t="s">
        <v>103</v>
      </c>
      <c r="Q762" s="27" t="s">
        <v>1581</v>
      </c>
      <c r="R762" s="33">
        <v>60016</v>
      </c>
      <c r="S762" s="34">
        <v>42074</v>
      </c>
      <c r="T762" s="34">
        <v>42074</v>
      </c>
      <c r="U762" s="29">
        <v>-96.337999999999994</v>
      </c>
      <c r="V762" s="26">
        <v>11</v>
      </c>
      <c r="W762" s="29">
        <v>193.51</v>
      </c>
      <c r="X762" s="26">
        <v>91235</v>
      </c>
      <c r="Y762" s="35">
        <v>6.19</v>
      </c>
      <c r="Z762" s="1" t="s">
        <v>3012</v>
      </c>
      <c r="AA762" s="36">
        <v>18.471199999999996</v>
      </c>
      <c r="AB762" s="54">
        <v>36.766899999999985</v>
      </c>
      <c r="AC762" s="54">
        <v>14.249372727272727</v>
      </c>
      <c r="AD762" s="36">
        <v>268.07679999999999</v>
      </c>
    </row>
    <row r="763" spans="1:30" s="37" customFormat="1" ht="15.75" customHeight="1" x14ac:dyDescent="0.2">
      <c r="A763" s="26">
        <v>1494</v>
      </c>
      <c r="B763" s="27" t="s">
        <v>1571</v>
      </c>
      <c r="C763" s="27" t="s">
        <v>26</v>
      </c>
      <c r="D763" s="28">
        <v>0.06</v>
      </c>
      <c r="E763" s="29">
        <v>8.3699999999999992</v>
      </c>
      <c r="F763" s="29">
        <v>10.16</v>
      </c>
      <c r="G763" s="30" t="s">
        <v>39</v>
      </c>
      <c r="H763" s="27" t="s">
        <v>94</v>
      </c>
      <c r="I763" s="27" t="s">
        <v>29</v>
      </c>
      <c r="J763" s="27" t="s">
        <v>126</v>
      </c>
      <c r="K763" s="27" t="s">
        <v>65</v>
      </c>
      <c r="L763" s="31" t="s">
        <v>1572</v>
      </c>
      <c r="M763" s="32">
        <v>0.59</v>
      </c>
      <c r="N763" s="27" t="s">
        <v>33</v>
      </c>
      <c r="O763" s="27" t="s">
        <v>111</v>
      </c>
      <c r="P763" s="27" t="s">
        <v>418</v>
      </c>
      <c r="Q763" s="27" t="s">
        <v>1573</v>
      </c>
      <c r="R763" s="33">
        <v>21222</v>
      </c>
      <c r="S763" s="34">
        <v>42074</v>
      </c>
      <c r="T763" s="34">
        <v>42076</v>
      </c>
      <c r="U763" s="29">
        <v>-255.65</v>
      </c>
      <c r="V763" s="26">
        <v>18</v>
      </c>
      <c r="W763" s="29">
        <v>157.63999999999999</v>
      </c>
      <c r="X763" s="26">
        <v>85880</v>
      </c>
      <c r="Y763" s="35">
        <v>15.110000000000001</v>
      </c>
      <c r="Z763" s="1" t="s">
        <v>3014</v>
      </c>
      <c r="AA763" s="36">
        <v>9.0396000000000001</v>
      </c>
      <c r="AB763" s="54">
        <v>64.632400000000004</v>
      </c>
      <c r="AC763" s="54">
        <v>5.1670888888888884</v>
      </c>
      <c r="AD763" s="36">
        <v>394.09039999999999</v>
      </c>
    </row>
    <row r="764" spans="1:30" s="37" customFormat="1" ht="15.75" customHeight="1" x14ac:dyDescent="0.2">
      <c r="A764" s="26">
        <v>3397</v>
      </c>
      <c r="B764" s="27" t="s">
        <v>1584</v>
      </c>
      <c r="C764" s="27" t="s">
        <v>38</v>
      </c>
      <c r="D764" s="28">
        <v>0.1</v>
      </c>
      <c r="E764" s="29">
        <v>7.99</v>
      </c>
      <c r="F764" s="29">
        <v>5.03</v>
      </c>
      <c r="G764" s="30" t="s">
        <v>39</v>
      </c>
      <c r="H764" s="27" t="s">
        <v>3095</v>
      </c>
      <c r="I764" s="27" t="s">
        <v>41</v>
      </c>
      <c r="J764" s="27" t="s">
        <v>135</v>
      </c>
      <c r="K764" s="27" t="s">
        <v>144</v>
      </c>
      <c r="L764" s="31" t="s">
        <v>465</v>
      </c>
      <c r="M764" s="32">
        <v>0.6</v>
      </c>
      <c r="N764" s="27" t="s">
        <v>33</v>
      </c>
      <c r="O764" s="27" t="s">
        <v>53</v>
      </c>
      <c r="P764" s="27" t="s">
        <v>103</v>
      </c>
      <c r="Q764" s="27" t="s">
        <v>1586</v>
      </c>
      <c r="R764" s="33">
        <v>61832</v>
      </c>
      <c r="S764" s="34">
        <v>42074</v>
      </c>
      <c r="T764" s="34">
        <v>42075</v>
      </c>
      <c r="U764" s="29">
        <v>-160.952</v>
      </c>
      <c r="V764" s="26">
        <v>22</v>
      </c>
      <c r="W764" s="29">
        <v>143.12</v>
      </c>
      <c r="X764" s="26">
        <v>87536</v>
      </c>
      <c r="Y764" s="35">
        <v>2.6</v>
      </c>
      <c r="Z764" s="1" t="s">
        <v>3012</v>
      </c>
      <c r="AA764" s="36">
        <v>17.577999999999999</v>
      </c>
      <c r="AB764" s="54">
        <v>57.248000000000005</v>
      </c>
      <c r="AC764" s="54">
        <v>3.9032727272727272</v>
      </c>
      <c r="AD764" s="36">
        <v>281.464</v>
      </c>
    </row>
    <row r="765" spans="1:30" s="37" customFormat="1" ht="15.75" customHeight="1" x14ac:dyDescent="0.2">
      <c r="A765" s="26">
        <v>753</v>
      </c>
      <c r="B765" s="27" t="s">
        <v>1568</v>
      </c>
      <c r="C765" s="27" t="s">
        <v>26</v>
      </c>
      <c r="D765" s="28">
        <v>0.01</v>
      </c>
      <c r="E765" s="29">
        <v>6.35</v>
      </c>
      <c r="F765" s="29">
        <v>1.02</v>
      </c>
      <c r="G765" s="30" t="s">
        <v>39</v>
      </c>
      <c r="H765" s="27" t="s">
        <v>94</v>
      </c>
      <c r="I765" s="27" t="s">
        <v>49</v>
      </c>
      <c r="J765" s="27" t="s">
        <v>88</v>
      </c>
      <c r="K765" s="27" t="s">
        <v>51</v>
      </c>
      <c r="L765" s="31" t="s">
        <v>527</v>
      </c>
      <c r="M765" s="32">
        <v>0.39</v>
      </c>
      <c r="N765" s="27" t="s">
        <v>33</v>
      </c>
      <c r="O765" s="27" t="s">
        <v>60</v>
      </c>
      <c r="P765" s="27" t="s">
        <v>588</v>
      </c>
      <c r="Q765" s="27" t="s">
        <v>1570</v>
      </c>
      <c r="R765" s="33">
        <v>86301</v>
      </c>
      <c r="S765" s="34">
        <v>42074</v>
      </c>
      <c r="T765" s="34">
        <v>42076</v>
      </c>
      <c r="U765" s="29">
        <v>97.662599999999998</v>
      </c>
      <c r="V765" s="26">
        <v>22</v>
      </c>
      <c r="W765" s="29">
        <v>141.54</v>
      </c>
      <c r="X765" s="26">
        <v>90438</v>
      </c>
      <c r="Y765" s="35">
        <v>99.929999999999993</v>
      </c>
      <c r="Z765" s="1" t="s">
        <v>3013</v>
      </c>
      <c r="AA765" s="36">
        <v>1.397</v>
      </c>
      <c r="AB765" s="54">
        <v>86.339399999999998</v>
      </c>
      <c r="AC765" s="54">
        <v>2.5091181818181818</v>
      </c>
      <c r="AD765" s="36">
        <v>41.460399999999993</v>
      </c>
    </row>
    <row r="766" spans="1:30" s="37" customFormat="1" ht="15.75" customHeight="1" x14ac:dyDescent="0.2">
      <c r="A766" s="26">
        <v>796</v>
      </c>
      <c r="B766" s="27" t="s">
        <v>1588</v>
      </c>
      <c r="C766" s="27" t="s">
        <v>3094</v>
      </c>
      <c r="D766" s="28">
        <v>0.06</v>
      </c>
      <c r="E766" s="29">
        <v>8.6</v>
      </c>
      <c r="F766" s="29">
        <v>6.19</v>
      </c>
      <c r="G766" s="30" t="s">
        <v>39</v>
      </c>
      <c r="H766" s="27" t="s">
        <v>94</v>
      </c>
      <c r="I766" s="27" t="s">
        <v>49</v>
      </c>
      <c r="J766" s="27" t="s">
        <v>72</v>
      </c>
      <c r="K766" s="27" t="s">
        <v>73</v>
      </c>
      <c r="L766" s="31" t="s">
        <v>532</v>
      </c>
      <c r="M766" s="32">
        <v>0.38</v>
      </c>
      <c r="N766" s="27" t="s">
        <v>33</v>
      </c>
      <c r="O766" s="27" t="s">
        <v>53</v>
      </c>
      <c r="P766" s="27" t="s">
        <v>133</v>
      </c>
      <c r="Q766" s="27" t="s">
        <v>1589</v>
      </c>
      <c r="R766" s="33">
        <v>68046</v>
      </c>
      <c r="S766" s="34">
        <v>42074</v>
      </c>
      <c r="T766" s="34">
        <v>42075</v>
      </c>
      <c r="U766" s="29">
        <v>-46.115000000000002</v>
      </c>
      <c r="V766" s="26">
        <v>9</v>
      </c>
      <c r="W766" s="29">
        <v>79.400000000000006</v>
      </c>
      <c r="X766" s="26">
        <v>86867</v>
      </c>
      <c r="Y766" s="35">
        <v>193.17</v>
      </c>
      <c r="Z766" s="1" t="s">
        <v>3012</v>
      </c>
      <c r="AA766" s="36">
        <v>4.6440000000000001</v>
      </c>
      <c r="AB766" s="54">
        <v>49.228000000000002</v>
      </c>
      <c r="AC766" s="54">
        <v>3.3524444444444446</v>
      </c>
      <c r="AD766" s="36">
        <v>114.68100000000001</v>
      </c>
    </row>
    <row r="767" spans="1:30" s="37" customFormat="1" ht="15.75" customHeight="1" x14ac:dyDescent="0.2">
      <c r="A767" s="26">
        <v>3151</v>
      </c>
      <c r="B767" s="27" t="s">
        <v>953</v>
      </c>
      <c r="C767" s="27" t="s">
        <v>116</v>
      </c>
      <c r="D767" s="28">
        <v>0.02</v>
      </c>
      <c r="E767" s="29">
        <v>5.98</v>
      </c>
      <c r="F767" s="29">
        <v>1.49</v>
      </c>
      <c r="G767" s="30" t="s">
        <v>39</v>
      </c>
      <c r="H767" s="27" t="s">
        <v>94</v>
      </c>
      <c r="I767" s="27" t="s">
        <v>49</v>
      </c>
      <c r="J767" s="27" t="s">
        <v>72</v>
      </c>
      <c r="K767" s="27" t="s">
        <v>73</v>
      </c>
      <c r="L767" s="31" t="s">
        <v>1587</v>
      </c>
      <c r="M767" s="32">
        <v>0.39</v>
      </c>
      <c r="N767" s="27" t="s">
        <v>33</v>
      </c>
      <c r="O767" s="27" t="s">
        <v>60</v>
      </c>
      <c r="P767" s="27" t="s">
        <v>90</v>
      </c>
      <c r="Q767" s="27" t="s">
        <v>954</v>
      </c>
      <c r="R767" s="33">
        <v>92277</v>
      </c>
      <c r="S767" s="34">
        <v>42074</v>
      </c>
      <c r="T767" s="34">
        <v>42075</v>
      </c>
      <c r="U767" s="29">
        <v>28.526</v>
      </c>
      <c r="V767" s="26">
        <v>10</v>
      </c>
      <c r="W767" s="29">
        <v>59.9</v>
      </c>
      <c r="X767" s="26">
        <v>88547</v>
      </c>
      <c r="Y767" s="35">
        <v>20.91</v>
      </c>
      <c r="Z767" s="1" t="s">
        <v>3013</v>
      </c>
      <c r="AA767" s="36">
        <v>1.1960000000000002</v>
      </c>
      <c r="AB767" s="54">
        <v>36.539000000000001</v>
      </c>
      <c r="AC767" s="54">
        <v>2.3361000000000001</v>
      </c>
      <c r="AD767" s="36">
        <v>28.687999999999999</v>
      </c>
    </row>
    <row r="768" spans="1:30" s="37" customFormat="1" ht="15.75" customHeight="1" x14ac:dyDescent="0.2">
      <c r="A768" s="26">
        <v>2616</v>
      </c>
      <c r="B768" s="27" t="s">
        <v>1577</v>
      </c>
      <c r="C768" s="27" t="s">
        <v>26</v>
      </c>
      <c r="D768" s="28">
        <v>0</v>
      </c>
      <c r="E768" s="29">
        <v>2.6</v>
      </c>
      <c r="F768" s="29">
        <v>2.4</v>
      </c>
      <c r="G768" s="30" t="s">
        <v>39</v>
      </c>
      <c r="H768" s="27" t="s">
        <v>94</v>
      </c>
      <c r="I768" s="27" t="s">
        <v>49</v>
      </c>
      <c r="J768" s="27" t="s">
        <v>50</v>
      </c>
      <c r="K768" s="27" t="s">
        <v>51</v>
      </c>
      <c r="L768" s="31" t="s">
        <v>356</v>
      </c>
      <c r="M768" s="32">
        <v>0.57999999999999996</v>
      </c>
      <c r="N768" s="27" t="s">
        <v>33</v>
      </c>
      <c r="O768" s="27" t="s">
        <v>53</v>
      </c>
      <c r="P768" s="27" t="s">
        <v>289</v>
      </c>
      <c r="Q768" s="27" t="s">
        <v>1578</v>
      </c>
      <c r="R768" s="33">
        <v>49002</v>
      </c>
      <c r="S768" s="34">
        <v>42074</v>
      </c>
      <c r="T768" s="34">
        <v>42076</v>
      </c>
      <c r="U768" s="29">
        <v>-45.21</v>
      </c>
      <c r="V768" s="26">
        <v>16</v>
      </c>
      <c r="W768" s="29">
        <v>44.75</v>
      </c>
      <c r="X768" s="26">
        <v>91495</v>
      </c>
      <c r="Y768" s="35">
        <v>10.89</v>
      </c>
      <c r="Z768" s="1" t="s">
        <v>3012</v>
      </c>
      <c r="AA768" s="36">
        <v>0</v>
      </c>
      <c r="AB768" s="54">
        <v>18.795000000000002</v>
      </c>
      <c r="AC768" s="54">
        <v>1.6221874999999999</v>
      </c>
      <c r="AD768" s="36">
        <v>87.56</v>
      </c>
    </row>
    <row r="769" spans="1:30" s="37" customFormat="1" ht="15.75" customHeight="1" x14ac:dyDescent="0.2">
      <c r="A769" s="26">
        <v>1494</v>
      </c>
      <c r="B769" s="27" t="s">
        <v>1571</v>
      </c>
      <c r="C769" s="27" t="s">
        <v>26</v>
      </c>
      <c r="D769" s="28">
        <v>0.09</v>
      </c>
      <c r="E769" s="29">
        <v>6.48</v>
      </c>
      <c r="F769" s="29">
        <v>9.17</v>
      </c>
      <c r="G769" s="30" t="s">
        <v>87</v>
      </c>
      <c r="H769" s="27" t="s">
        <v>94</v>
      </c>
      <c r="I769" s="27" t="s">
        <v>49</v>
      </c>
      <c r="J769" s="27" t="s">
        <v>88</v>
      </c>
      <c r="K769" s="27" t="s">
        <v>73</v>
      </c>
      <c r="L769" s="31" t="s">
        <v>394</v>
      </c>
      <c r="M769" s="32">
        <v>0.37</v>
      </c>
      <c r="N769" s="27" t="s">
        <v>33</v>
      </c>
      <c r="O769" s="27" t="s">
        <v>111</v>
      </c>
      <c r="P769" s="27" t="s">
        <v>418</v>
      </c>
      <c r="Q769" s="27" t="s">
        <v>1573</v>
      </c>
      <c r="R769" s="33">
        <v>21222</v>
      </c>
      <c r="S769" s="34">
        <v>42074</v>
      </c>
      <c r="T769" s="34">
        <v>42076</v>
      </c>
      <c r="U769" s="29">
        <v>-76.540000000000006</v>
      </c>
      <c r="V769" s="26">
        <v>6</v>
      </c>
      <c r="W769" s="29">
        <v>42.16</v>
      </c>
      <c r="X769" s="26">
        <v>85880</v>
      </c>
      <c r="Y769" s="35">
        <v>7.8900000000000006</v>
      </c>
      <c r="Z769" s="1" t="s">
        <v>3014</v>
      </c>
      <c r="AA769" s="36">
        <v>3.4992000000000001</v>
      </c>
      <c r="AB769" s="54">
        <v>26.560799999999997</v>
      </c>
      <c r="AC769" s="54">
        <v>2.5998666666666663</v>
      </c>
      <c r="AD769" s="36">
        <v>106.0308</v>
      </c>
    </row>
    <row r="770" spans="1:30" s="37" customFormat="1" ht="15.75" customHeight="1" x14ac:dyDescent="0.2">
      <c r="A770" s="26">
        <v>753</v>
      </c>
      <c r="B770" s="27" t="s">
        <v>1568</v>
      </c>
      <c r="C770" s="27" t="s">
        <v>26</v>
      </c>
      <c r="D770" s="28">
        <v>0.06</v>
      </c>
      <c r="E770" s="29">
        <v>2.61</v>
      </c>
      <c r="F770" s="29">
        <v>0.5</v>
      </c>
      <c r="G770" s="30" t="s">
        <v>87</v>
      </c>
      <c r="H770" s="27" t="s">
        <v>94</v>
      </c>
      <c r="I770" s="27" t="s">
        <v>49</v>
      </c>
      <c r="J770" s="27" t="s">
        <v>152</v>
      </c>
      <c r="K770" s="27" t="s">
        <v>73</v>
      </c>
      <c r="L770" s="31" t="s">
        <v>1569</v>
      </c>
      <c r="M770" s="32">
        <v>0.39</v>
      </c>
      <c r="N770" s="27" t="s">
        <v>33</v>
      </c>
      <c r="O770" s="27" t="s">
        <v>60</v>
      </c>
      <c r="P770" s="27" t="s">
        <v>588</v>
      </c>
      <c r="Q770" s="27" t="s">
        <v>1570</v>
      </c>
      <c r="R770" s="33">
        <v>86301</v>
      </c>
      <c r="S770" s="34">
        <v>42074</v>
      </c>
      <c r="T770" s="34">
        <v>42074</v>
      </c>
      <c r="U770" s="29">
        <v>10.85</v>
      </c>
      <c r="V770" s="26">
        <v>1</v>
      </c>
      <c r="W770" s="29">
        <v>17.59</v>
      </c>
      <c r="X770" s="26">
        <v>90438</v>
      </c>
      <c r="Y770" s="35">
        <v>5.9600000000000009</v>
      </c>
      <c r="Z770" s="1" t="s">
        <v>3013</v>
      </c>
      <c r="AA770" s="36">
        <v>0.15659999999999999</v>
      </c>
      <c r="AB770" s="54">
        <v>10.729899999999999</v>
      </c>
      <c r="AC770" s="54">
        <v>6.8601000000000001</v>
      </c>
      <c r="AD770" s="36">
        <v>6.083400000000001</v>
      </c>
    </row>
    <row r="771" spans="1:30" s="37" customFormat="1" ht="15.75" customHeight="1" x14ac:dyDescent="0.2">
      <c r="A771" s="26">
        <v>1497</v>
      </c>
      <c r="B771" s="27" t="s">
        <v>1574</v>
      </c>
      <c r="C771" s="27" t="s">
        <v>26</v>
      </c>
      <c r="D771" s="28">
        <v>0.09</v>
      </c>
      <c r="E771" s="29">
        <v>6.28</v>
      </c>
      <c r="F771" s="29">
        <v>5.29</v>
      </c>
      <c r="G771" s="30" t="s">
        <v>39</v>
      </c>
      <c r="H771" s="27" t="s">
        <v>94</v>
      </c>
      <c r="I771" s="27" t="s">
        <v>29</v>
      </c>
      <c r="J771" s="27" t="s">
        <v>126</v>
      </c>
      <c r="K771" s="27" t="s">
        <v>73</v>
      </c>
      <c r="L771" s="31" t="s">
        <v>1575</v>
      </c>
      <c r="M771" s="32">
        <v>0.43</v>
      </c>
      <c r="N771" s="27" t="s">
        <v>33</v>
      </c>
      <c r="O771" s="27" t="s">
        <v>111</v>
      </c>
      <c r="P771" s="27" t="s">
        <v>112</v>
      </c>
      <c r="Q771" s="27" t="s">
        <v>1576</v>
      </c>
      <c r="R771" s="33">
        <v>14901</v>
      </c>
      <c r="S771" s="34">
        <v>42074</v>
      </c>
      <c r="T771" s="34">
        <v>42075</v>
      </c>
      <c r="U771" s="29">
        <v>-10.09</v>
      </c>
      <c r="V771" s="26">
        <v>2</v>
      </c>
      <c r="W771" s="29">
        <v>14.08</v>
      </c>
      <c r="X771" s="26">
        <v>85880</v>
      </c>
      <c r="Y771" s="35">
        <v>8.5399999999999991</v>
      </c>
      <c r="Z771" s="1" t="s">
        <v>3014</v>
      </c>
      <c r="AA771" s="36">
        <v>1.1304000000000001</v>
      </c>
      <c r="AB771" s="54">
        <v>8.0256000000000007</v>
      </c>
      <c r="AC771" s="54">
        <v>3.0272000000000001</v>
      </c>
      <c r="AD771" s="36">
        <v>17.749600000000001</v>
      </c>
    </row>
    <row r="772" spans="1:30" s="37" customFormat="1" ht="15.75" customHeight="1" x14ac:dyDescent="0.2">
      <c r="A772" s="26">
        <v>32</v>
      </c>
      <c r="B772" s="27" t="s">
        <v>644</v>
      </c>
      <c r="C772" s="27" t="s">
        <v>48</v>
      </c>
      <c r="D772" s="28">
        <v>0.06</v>
      </c>
      <c r="E772" s="29">
        <v>205.99</v>
      </c>
      <c r="F772" s="29">
        <v>8.99</v>
      </c>
      <c r="G772" s="30" t="s">
        <v>39</v>
      </c>
      <c r="H772" s="27" t="s">
        <v>94</v>
      </c>
      <c r="I772" s="27" t="s">
        <v>41</v>
      </c>
      <c r="J772" s="27" t="s">
        <v>135</v>
      </c>
      <c r="K772" s="27" t="s">
        <v>73</v>
      </c>
      <c r="L772" s="31" t="s">
        <v>663</v>
      </c>
      <c r="M772" s="32">
        <v>0.56000000000000005</v>
      </c>
      <c r="N772" s="27" t="s">
        <v>33</v>
      </c>
      <c r="O772" s="27" t="s">
        <v>60</v>
      </c>
      <c r="P772" s="27" t="s">
        <v>139</v>
      </c>
      <c r="Q772" s="27" t="s">
        <v>646</v>
      </c>
      <c r="R772" s="33">
        <v>97526</v>
      </c>
      <c r="S772" s="34">
        <v>42075</v>
      </c>
      <c r="T772" s="34">
        <v>42082</v>
      </c>
      <c r="U772" s="29">
        <v>3568.096</v>
      </c>
      <c r="V772" s="26">
        <v>22</v>
      </c>
      <c r="W772" s="29">
        <v>3838.14</v>
      </c>
      <c r="X772" s="26">
        <v>89203</v>
      </c>
      <c r="Y772" s="35">
        <v>80.92</v>
      </c>
      <c r="Z772" s="1" t="s">
        <v>3013</v>
      </c>
      <c r="AA772" s="36">
        <v>271.90680000000003</v>
      </c>
      <c r="AB772" s="54">
        <v>1688.7815999999998</v>
      </c>
      <c r="AC772" s="54">
        <v>97.698109090909099</v>
      </c>
      <c r="AD772" s="36">
        <v>-10.852800000000116</v>
      </c>
    </row>
    <row r="773" spans="1:30" s="37" customFormat="1" ht="15.75" customHeight="1" x14ac:dyDescent="0.2">
      <c r="A773" s="26">
        <v>1027</v>
      </c>
      <c r="B773" s="27" t="s">
        <v>1593</v>
      </c>
      <c r="C773" s="27" t="s">
        <v>38</v>
      </c>
      <c r="D773" s="28">
        <v>0.05</v>
      </c>
      <c r="E773" s="29">
        <v>51.98</v>
      </c>
      <c r="F773" s="29">
        <v>10.17</v>
      </c>
      <c r="G773" s="30" t="s">
        <v>39</v>
      </c>
      <c r="H773" s="27" t="s">
        <v>3095</v>
      </c>
      <c r="I773" s="27" t="s">
        <v>41</v>
      </c>
      <c r="J773" s="27" t="s">
        <v>57</v>
      </c>
      <c r="K773" s="27" t="s">
        <v>144</v>
      </c>
      <c r="L773" s="31" t="s">
        <v>1547</v>
      </c>
      <c r="M773" s="32">
        <v>0.37</v>
      </c>
      <c r="N773" s="27" t="s">
        <v>33</v>
      </c>
      <c r="O773" s="27" t="s">
        <v>111</v>
      </c>
      <c r="P773" s="27" t="s">
        <v>112</v>
      </c>
      <c r="Q773" s="27" t="s">
        <v>1594</v>
      </c>
      <c r="R773" s="33">
        <v>14225</v>
      </c>
      <c r="S773" s="34">
        <v>42075</v>
      </c>
      <c r="T773" s="34">
        <v>42076</v>
      </c>
      <c r="U773" s="29">
        <v>329.9787</v>
      </c>
      <c r="V773" s="26">
        <v>9</v>
      </c>
      <c r="W773" s="29">
        <v>478.23</v>
      </c>
      <c r="X773" s="26">
        <v>89004</v>
      </c>
      <c r="Y773" s="35">
        <v>22.84</v>
      </c>
      <c r="Z773" s="1" t="s">
        <v>3014</v>
      </c>
      <c r="AA773" s="36">
        <v>23.391000000000002</v>
      </c>
      <c r="AB773" s="54">
        <v>301.28489999999999</v>
      </c>
      <c r="AC773" s="54">
        <v>19.660566666666668</v>
      </c>
      <c r="AD773" s="36">
        <v>114.69029999999998</v>
      </c>
    </row>
    <row r="774" spans="1:30" s="37" customFormat="1" ht="15.75" customHeight="1" x14ac:dyDescent="0.2">
      <c r="A774" s="26">
        <v>2787</v>
      </c>
      <c r="B774" s="27" t="s">
        <v>1605</v>
      </c>
      <c r="C774" s="27" t="s">
        <v>3094</v>
      </c>
      <c r="D774" s="28">
        <v>0.01</v>
      </c>
      <c r="E774" s="29">
        <v>47.98</v>
      </c>
      <c r="F774" s="29">
        <v>3.61</v>
      </c>
      <c r="G774" s="30" t="s">
        <v>87</v>
      </c>
      <c r="H774" s="27" t="s">
        <v>40</v>
      </c>
      <c r="I774" s="27" t="s">
        <v>41</v>
      </c>
      <c r="J774" s="27" t="s">
        <v>42</v>
      </c>
      <c r="K774" s="27" t="s">
        <v>43</v>
      </c>
      <c r="L774" s="31" t="s">
        <v>1239</v>
      </c>
      <c r="M774" s="32">
        <v>0.71</v>
      </c>
      <c r="N774" s="27" t="s">
        <v>33</v>
      </c>
      <c r="O774" s="27" t="s">
        <v>34</v>
      </c>
      <c r="P774" s="27" t="s">
        <v>168</v>
      </c>
      <c r="Q774" s="27" t="s">
        <v>1606</v>
      </c>
      <c r="R774" s="33">
        <v>70003</v>
      </c>
      <c r="S774" s="34">
        <v>42075</v>
      </c>
      <c r="T774" s="34">
        <v>42076</v>
      </c>
      <c r="U774" s="29">
        <v>-44.436</v>
      </c>
      <c r="V774" s="26">
        <v>8</v>
      </c>
      <c r="W774" s="29">
        <v>393.98</v>
      </c>
      <c r="X774" s="26">
        <v>91316</v>
      </c>
      <c r="Y774" s="35">
        <v>73.88000000000001</v>
      </c>
      <c r="Z774" s="1" t="s">
        <v>3011</v>
      </c>
      <c r="AA774" s="36">
        <v>3.8384</v>
      </c>
      <c r="AB774" s="54">
        <v>114.25420000000003</v>
      </c>
      <c r="AC774" s="54">
        <v>34.965724999999999</v>
      </c>
      <c r="AD774" s="36">
        <v>430.9676</v>
      </c>
    </row>
    <row r="775" spans="1:30" s="37" customFormat="1" ht="15.75" customHeight="1" x14ac:dyDescent="0.2">
      <c r="A775" s="26">
        <v>2896</v>
      </c>
      <c r="B775" s="27" t="s">
        <v>723</v>
      </c>
      <c r="C775" s="27" t="s">
        <v>26</v>
      </c>
      <c r="D775" s="28">
        <v>0</v>
      </c>
      <c r="E775" s="29">
        <v>22.84</v>
      </c>
      <c r="F775" s="29">
        <v>16.920000000000002</v>
      </c>
      <c r="G775" s="30" t="s">
        <v>39</v>
      </c>
      <c r="H775" s="27" t="s">
        <v>71</v>
      </c>
      <c r="I775" s="27" t="s">
        <v>49</v>
      </c>
      <c r="J775" s="27" t="s">
        <v>88</v>
      </c>
      <c r="K775" s="27" t="s">
        <v>73</v>
      </c>
      <c r="L775" s="31" t="s">
        <v>1592</v>
      </c>
      <c r="M775" s="32">
        <v>0.39</v>
      </c>
      <c r="N775" s="27" t="s">
        <v>33</v>
      </c>
      <c r="O775" s="27" t="s">
        <v>53</v>
      </c>
      <c r="P775" s="27" t="s">
        <v>84</v>
      </c>
      <c r="Q775" s="27" t="s">
        <v>724</v>
      </c>
      <c r="R775" s="33">
        <v>56001</v>
      </c>
      <c r="S775" s="34">
        <v>42075</v>
      </c>
      <c r="T775" s="34">
        <v>42077</v>
      </c>
      <c r="U775" s="29">
        <v>-83.75</v>
      </c>
      <c r="V775" s="26">
        <v>15</v>
      </c>
      <c r="W775" s="29">
        <v>370.62</v>
      </c>
      <c r="X775" s="26">
        <v>86927</v>
      </c>
      <c r="Y775" s="35">
        <v>51.93</v>
      </c>
      <c r="Z775" s="1" t="s">
        <v>3012</v>
      </c>
      <c r="AA775" s="36">
        <v>0</v>
      </c>
      <c r="AB775" s="54">
        <v>226.07820000000001</v>
      </c>
      <c r="AC775" s="54">
        <v>9.6361200000000018</v>
      </c>
      <c r="AD775" s="36">
        <v>437.45</v>
      </c>
    </row>
    <row r="776" spans="1:30" s="37" customFormat="1" ht="15.75" customHeight="1" x14ac:dyDescent="0.2">
      <c r="A776" s="26">
        <v>1027</v>
      </c>
      <c r="B776" s="27" t="s">
        <v>1593</v>
      </c>
      <c r="C776" s="27" t="s">
        <v>38</v>
      </c>
      <c r="D776" s="28">
        <v>0.1</v>
      </c>
      <c r="E776" s="29">
        <v>73.98</v>
      </c>
      <c r="F776" s="29">
        <v>4</v>
      </c>
      <c r="G776" s="30" t="s">
        <v>39</v>
      </c>
      <c r="H776" s="27" t="s">
        <v>3095</v>
      </c>
      <c r="I776" s="27" t="s">
        <v>41</v>
      </c>
      <c r="J776" s="27" t="s">
        <v>42</v>
      </c>
      <c r="K776" s="27" t="s">
        <v>73</v>
      </c>
      <c r="L776" s="31" t="s">
        <v>308</v>
      </c>
      <c r="M776" s="32">
        <v>0.79</v>
      </c>
      <c r="N776" s="27" t="s">
        <v>33</v>
      </c>
      <c r="O776" s="27" t="s">
        <v>111</v>
      </c>
      <c r="P776" s="27" t="s">
        <v>112</v>
      </c>
      <c r="Q776" s="27" t="s">
        <v>1594</v>
      </c>
      <c r="R776" s="33">
        <v>14225</v>
      </c>
      <c r="S776" s="34">
        <v>42075</v>
      </c>
      <c r="T776" s="34">
        <v>42076</v>
      </c>
      <c r="U776" s="29">
        <v>-229.87</v>
      </c>
      <c r="V776" s="26">
        <v>5</v>
      </c>
      <c r="W776" s="29">
        <v>347.23</v>
      </c>
      <c r="X776" s="26">
        <v>89004</v>
      </c>
      <c r="Y776" s="35">
        <v>205.93</v>
      </c>
      <c r="Z776" s="1" t="s">
        <v>3014</v>
      </c>
      <c r="AA776" s="36">
        <v>36.99</v>
      </c>
      <c r="AB776" s="54">
        <v>72.918299999999988</v>
      </c>
      <c r="AC776" s="54">
        <v>54.862340000000003</v>
      </c>
      <c r="AD776" s="36">
        <v>536.11</v>
      </c>
    </row>
    <row r="777" spans="1:30" s="37" customFormat="1" ht="15.75" customHeight="1" x14ac:dyDescent="0.2">
      <c r="A777" s="26">
        <v>2741</v>
      </c>
      <c r="B777" s="27" t="s">
        <v>1598</v>
      </c>
      <c r="C777" s="27" t="s">
        <v>48</v>
      </c>
      <c r="D777" s="28">
        <v>0.01</v>
      </c>
      <c r="E777" s="29">
        <v>35.99</v>
      </c>
      <c r="F777" s="29">
        <v>5.99</v>
      </c>
      <c r="G777" s="30" t="s">
        <v>39</v>
      </c>
      <c r="H777" s="27" t="s">
        <v>3095</v>
      </c>
      <c r="I777" s="27" t="s">
        <v>41</v>
      </c>
      <c r="J777" s="27" t="s">
        <v>135</v>
      </c>
      <c r="K777" s="27" t="s">
        <v>51</v>
      </c>
      <c r="L777" s="31" t="s">
        <v>1372</v>
      </c>
      <c r="M777" s="32">
        <v>0.38</v>
      </c>
      <c r="N777" s="27" t="s">
        <v>33</v>
      </c>
      <c r="O777" s="27" t="s">
        <v>60</v>
      </c>
      <c r="P777" s="27" t="s">
        <v>490</v>
      </c>
      <c r="Q777" s="27" t="s">
        <v>1599</v>
      </c>
      <c r="R777" s="33">
        <v>83605</v>
      </c>
      <c r="S777" s="34">
        <v>42075</v>
      </c>
      <c r="T777" s="34">
        <v>42082</v>
      </c>
      <c r="U777" s="29">
        <v>218.23320000000001</v>
      </c>
      <c r="V777" s="26">
        <v>10</v>
      </c>
      <c r="W777" s="29">
        <v>316.27999999999997</v>
      </c>
      <c r="X777" s="26">
        <v>89481</v>
      </c>
      <c r="Y777" s="35">
        <v>85.97999999999999</v>
      </c>
      <c r="Z777" s="1" t="s">
        <v>3013</v>
      </c>
      <c r="AA777" s="36">
        <v>3.5990000000000006</v>
      </c>
      <c r="AB777" s="54">
        <v>196.09359999999998</v>
      </c>
      <c r="AC777" s="54">
        <v>12.01864</v>
      </c>
      <c r="AD777" s="36">
        <v>88.457799999999963</v>
      </c>
    </row>
    <row r="778" spans="1:30" s="37" customFormat="1" ht="15.75" customHeight="1" x14ac:dyDescent="0.2">
      <c r="A778" s="26">
        <v>2037</v>
      </c>
      <c r="B778" s="27" t="s">
        <v>1604</v>
      </c>
      <c r="C778" s="27" t="s">
        <v>3094</v>
      </c>
      <c r="D778" s="28">
        <v>0</v>
      </c>
      <c r="E778" s="29">
        <v>73.98</v>
      </c>
      <c r="F778" s="29">
        <v>14.52</v>
      </c>
      <c r="G778" s="30" t="s">
        <v>39</v>
      </c>
      <c r="H778" s="27" t="s">
        <v>3095</v>
      </c>
      <c r="I778" s="27" t="s">
        <v>41</v>
      </c>
      <c r="J778" s="27" t="s">
        <v>42</v>
      </c>
      <c r="K778" s="27" t="s">
        <v>73</v>
      </c>
      <c r="L778" s="31" t="s">
        <v>308</v>
      </c>
      <c r="M778" s="32">
        <v>0.65</v>
      </c>
      <c r="N778" s="27" t="s">
        <v>33</v>
      </c>
      <c r="O778" s="27" t="s">
        <v>60</v>
      </c>
      <c r="P778" s="27" t="s">
        <v>277</v>
      </c>
      <c r="Q778" s="27" t="s">
        <v>916</v>
      </c>
      <c r="R778" s="33">
        <v>59715</v>
      </c>
      <c r="S778" s="34">
        <v>42075</v>
      </c>
      <c r="T778" s="34">
        <v>42077</v>
      </c>
      <c r="U778" s="29">
        <v>-88.61</v>
      </c>
      <c r="V778" s="26">
        <v>4</v>
      </c>
      <c r="W778" s="29">
        <v>305.70999999999998</v>
      </c>
      <c r="X778" s="26">
        <v>89333</v>
      </c>
      <c r="Y778" s="35">
        <v>35.980000000000004</v>
      </c>
      <c r="Z778" s="1" t="s">
        <v>3013</v>
      </c>
      <c r="AA778" s="36">
        <v>0</v>
      </c>
      <c r="AB778" s="54">
        <v>106.99849999999999</v>
      </c>
      <c r="AC778" s="54">
        <v>49.677875</v>
      </c>
      <c r="AD778" s="36">
        <v>379.79999999999995</v>
      </c>
    </row>
    <row r="779" spans="1:30" s="37" customFormat="1" ht="15.75" customHeight="1" x14ac:dyDescent="0.2">
      <c r="A779" s="26">
        <v>146</v>
      </c>
      <c r="B779" s="27" t="s">
        <v>1600</v>
      </c>
      <c r="C779" s="27" t="s">
        <v>3094</v>
      </c>
      <c r="D779" s="28">
        <v>0.01</v>
      </c>
      <c r="E779" s="29">
        <v>45.98</v>
      </c>
      <c r="F779" s="29">
        <v>4.8</v>
      </c>
      <c r="G779" s="30" t="s">
        <v>39</v>
      </c>
      <c r="H779" s="27" t="s">
        <v>3095</v>
      </c>
      <c r="I779" s="27" t="s">
        <v>29</v>
      </c>
      <c r="J779" s="27" t="s">
        <v>126</v>
      </c>
      <c r="K779" s="27" t="s">
        <v>51</v>
      </c>
      <c r="L779" s="31" t="s">
        <v>1601</v>
      </c>
      <c r="M779" s="32">
        <v>0.68</v>
      </c>
      <c r="N779" s="27" t="s">
        <v>33</v>
      </c>
      <c r="O779" s="27" t="s">
        <v>53</v>
      </c>
      <c r="P779" s="27" t="s">
        <v>187</v>
      </c>
      <c r="Q779" s="27" t="s">
        <v>1602</v>
      </c>
      <c r="R779" s="33">
        <v>76148</v>
      </c>
      <c r="S779" s="34">
        <v>42075</v>
      </c>
      <c r="T779" s="34">
        <v>42076</v>
      </c>
      <c r="U779" s="29">
        <v>133.5771</v>
      </c>
      <c r="V779" s="26">
        <v>4</v>
      </c>
      <c r="W779" s="29">
        <v>193.59</v>
      </c>
      <c r="X779" s="26">
        <v>91088</v>
      </c>
      <c r="Y779" s="35">
        <v>45.97</v>
      </c>
      <c r="Z779" s="1" t="s">
        <v>3012</v>
      </c>
      <c r="AA779" s="36">
        <v>1.8391999999999999</v>
      </c>
      <c r="AB779" s="54">
        <v>61.948799999999991</v>
      </c>
      <c r="AC779" s="54">
        <v>32.910299999999999</v>
      </c>
      <c r="AD779" s="36">
        <v>53.373699999999985</v>
      </c>
    </row>
    <row r="780" spans="1:30" s="37" customFormat="1" ht="15.75" customHeight="1" x14ac:dyDescent="0.2">
      <c r="A780" s="26">
        <v>1254</v>
      </c>
      <c r="B780" s="27" t="s">
        <v>1590</v>
      </c>
      <c r="C780" s="27" t="s">
        <v>26</v>
      </c>
      <c r="D780" s="28">
        <v>0.06</v>
      </c>
      <c r="E780" s="29">
        <v>80.98</v>
      </c>
      <c r="F780" s="29">
        <v>35</v>
      </c>
      <c r="G780" s="30" t="s">
        <v>39</v>
      </c>
      <c r="H780" s="27" t="s">
        <v>71</v>
      </c>
      <c r="I780" s="27" t="s">
        <v>49</v>
      </c>
      <c r="J780" s="27" t="s">
        <v>78</v>
      </c>
      <c r="K780" s="27" t="s">
        <v>65</v>
      </c>
      <c r="L780" s="31" t="s">
        <v>224</v>
      </c>
      <c r="M780" s="32">
        <v>0.81</v>
      </c>
      <c r="N780" s="27" t="s">
        <v>33</v>
      </c>
      <c r="O780" s="27" t="s">
        <v>53</v>
      </c>
      <c r="P780" s="27" t="s">
        <v>187</v>
      </c>
      <c r="Q780" s="27" t="s">
        <v>1591</v>
      </c>
      <c r="R780" s="33">
        <v>77530</v>
      </c>
      <c r="S780" s="34">
        <v>42075</v>
      </c>
      <c r="T780" s="34">
        <v>42076</v>
      </c>
      <c r="U780" s="29">
        <v>-218.77</v>
      </c>
      <c r="V780" s="26">
        <v>2</v>
      </c>
      <c r="W780" s="29">
        <v>172.79</v>
      </c>
      <c r="X780" s="26">
        <v>89983</v>
      </c>
      <c r="Y780" s="35">
        <v>5.98</v>
      </c>
      <c r="Z780" s="1" t="s">
        <v>3012</v>
      </c>
      <c r="AA780" s="36">
        <v>9.7176000000000009</v>
      </c>
      <c r="AB780" s="54">
        <v>32.830099999999987</v>
      </c>
      <c r="AC780" s="54">
        <v>69.979950000000002</v>
      </c>
      <c r="AD780" s="36">
        <v>346.8424</v>
      </c>
    </row>
    <row r="781" spans="1:30" s="37" customFormat="1" ht="15.75" customHeight="1" x14ac:dyDescent="0.2">
      <c r="A781" s="26">
        <v>2593</v>
      </c>
      <c r="B781" s="27" t="s">
        <v>1595</v>
      </c>
      <c r="C781" s="27" t="s">
        <v>48</v>
      </c>
      <c r="D781" s="28">
        <v>0.01</v>
      </c>
      <c r="E781" s="29">
        <v>85.99</v>
      </c>
      <c r="F781" s="29">
        <v>0.99</v>
      </c>
      <c r="G781" s="30" t="s">
        <v>39</v>
      </c>
      <c r="H781" s="27" t="s">
        <v>94</v>
      </c>
      <c r="I781" s="27" t="s">
        <v>41</v>
      </c>
      <c r="J781" s="27" t="s">
        <v>135</v>
      </c>
      <c r="K781" s="27" t="s">
        <v>51</v>
      </c>
      <c r="L781" s="31" t="s">
        <v>1596</v>
      </c>
      <c r="M781" s="32">
        <v>0.85</v>
      </c>
      <c r="N781" s="27" t="s">
        <v>33</v>
      </c>
      <c r="O781" s="27" t="s">
        <v>34</v>
      </c>
      <c r="P781" s="27" t="s">
        <v>75</v>
      </c>
      <c r="Q781" s="27" t="s">
        <v>1597</v>
      </c>
      <c r="R781" s="33">
        <v>30605</v>
      </c>
      <c r="S781" s="34">
        <v>42075</v>
      </c>
      <c r="T781" s="34">
        <v>42080</v>
      </c>
      <c r="U781" s="29">
        <v>311.73</v>
      </c>
      <c r="V781" s="26">
        <v>2</v>
      </c>
      <c r="W781" s="29">
        <v>146.16999999999999</v>
      </c>
      <c r="X781" s="26">
        <v>87773</v>
      </c>
      <c r="Y781" s="35">
        <v>73.98</v>
      </c>
      <c r="Z781" s="1" t="s">
        <v>3011</v>
      </c>
      <c r="AA781" s="36">
        <v>1.7198</v>
      </c>
      <c r="AB781" s="54">
        <v>21.925500000000003</v>
      </c>
      <c r="AC781" s="54">
        <v>62.122249999999994</v>
      </c>
      <c r="AD781" s="36">
        <v>-168.26980000000006</v>
      </c>
    </row>
    <row r="782" spans="1:30" s="37" customFormat="1" ht="15.75" customHeight="1" x14ac:dyDescent="0.2">
      <c r="A782" s="26">
        <v>903</v>
      </c>
      <c r="B782" s="27" t="s">
        <v>1603</v>
      </c>
      <c r="C782" s="27" t="s">
        <v>3094</v>
      </c>
      <c r="D782" s="28">
        <v>0</v>
      </c>
      <c r="E782" s="29">
        <v>5.98</v>
      </c>
      <c r="F782" s="29">
        <v>1.49</v>
      </c>
      <c r="G782" s="30" t="s">
        <v>39</v>
      </c>
      <c r="H782" s="27" t="s">
        <v>40</v>
      </c>
      <c r="I782" s="27" t="s">
        <v>49</v>
      </c>
      <c r="J782" s="27" t="s">
        <v>72</v>
      </c>
      <c r="K782" s="27" t="s">
        <v>73</v>
      </c>
      <c r="L782" s="31" t="s">
        <v>1587</v>
      </c>
      <c r="M782" s="32">
        <v>0.39</v>
      </c>
      <c r="N782" s="27" t="s">
        <v>33</v>
      </c>
      <c r="O782" s="27" t="s">
        <v>111</v>
      </c>
      <c r="P782" s="27" t="s">
        <v>403</v>
      </c>
      <c r="Q782" s="27" t="s">
        <v>1108</v>
      </c>
      <c r="R782" s="33">
        <v>1887</v>
      </c>
      <c r="S782" s="34">
        <v>42075</v>
      </c>
      <c r="T782" s="34">
        <v>42077</v>
      </c>
      <c r="U782" s="29">
        <v>80.674800000000005</v>
      </c>
      <c r="V782" s="26">
        <v>18</v>
      </c>
      <c r="W782" s="29">
        <v>116.92</v>
      </c>
      <c r="X782" s="26">
        <v>90806</v>
      </c>
      <c r="Y782" s="35">
        <v>47.97</v>
      </c>
      <c r="Z782" s="1" t="s">
        <v>3014</v>
      </c>
      <c r="AA782" s="36">
        <v>0</v>
      </c>
      <c r="AB782" s="54">
        <v>71.321200000000005</v>
      </c>
      <c r="AC782" s="54">
        <v>2.533266666666667</v>
      </c>
      <c r="AD782" s="36">
        <v>34.755200000000002</v>
      </c>
    </row>
    <row r="783" spans="1:30" s="37" customFormat="1" ht="15.75" customHeight="1" x14ac:dyDescent="0.2">
      <c r="A783" s="26">
        <v>3036</v>
      </c>
      <c r="B783" s="27" t="s">
        <v>564</v>
      </c>
      <c r="C783" s="27" t="s">
        <v>26</v>
      </c>
      <c r="D783" s="28">
        <v>0.08</v>
      </c>
      <c r="E783" s="29">
        <v>178.47</v>
      </c>
      <c r="F783" s="29">
        <v>19.989999999999998</v>
      </c>
      <c r="G783" s="30" t="s">
        <v>39</v>
      </c>
      <c r="H783" s="27" t="s">
        <v>71</v>
      </c>
      <c r="I783" s="27" t="s">
        <v>49</v>
      </c>
      <c r="J783" s="27" t="s">
        <v>78</v>
      </c>
      <c r="K783" s="27" t="s">
        <v>73</v>
      </c>
      <c r="L783" s="31" t="s">
        <v>1011</v>
      </c>
      <c r="M783" s="32">
        <v>0.55000000000000004</v>
      </c>
      <c r="N783" s="27" t="s">
        <v>33</v>
      </c>
      <c r="O783" s="27" t="s">
        <v>53</v>
      </c>
      <c r="P783" s="27" t="s">
        <v>565</v>
      </c>
      <c r="Q783" s="27" t="s">
        <v>566</v>
      </c>
      <c r="R783" s="33">
        <v>58554</v>
      </c>
      <c r="S783" s="34">
        <v>42076</v>
      </c>
      <c r="T783" s="34">
        <v>42079</v>
      </c>
      <c r="U783" s="29">
        <v>2267.2199999999998</v>
      </c>
      <c r="V783" s="26">
        <v>22</v>
      </c>
      <c r="W783" s="29">
        <v>3802.01</v>
      </c>
      <c r="X783" s="26">
        <v>89130</v>
      </c>
      <c r="Y783" s="35">
        <v>4.08</v>
      </c>
      <c r="Z783" s="1" t="s">
        <v>3012</v>
      </c>
      <c r="AA783" s="36">
        <v>314.10719999999998</v>
      </c>
      <c r="AB783" s="54">
        <v>1710.9044999999999</v>
      </c>
      <c r="AC783" s="54">
        <v>95.05025000000002</v>
      </c>
      <c r="AD783" s="36">
        <v>1200.6928000000007</v>
      </c>
    </row>
    <row r="784" spans="1:30" s="37" customFormat="1" ht="15.75" customHeight="1" x14ac:dyDescent="0.2">
      <c r="A784" s="26">
        <v>2484</v>
      </c>
      <c r="B784" s="27" t="s">
        <v>1619</v>
      </c>
      <c r="C784" s="27" t="s">
        <v>116</v>
      </c>
      <c r="D784" s="28">
        <v>0.03</v>
      </c>
      <c r="E784" s="29">
        <v>111.03</v>
      </c>
      <c r="F784" s="29">
        <v>8.64</v>
      </c>
      <c r="G784" s="30" t="s">
        <v>39</v>
      </c>
      <c r="H784" s="27" t="s">
        <v>94</v>
      </c>
      <c r="I784" s="27" t="s">
        <v>49</v>
      </c>
      <c r="J784" s="27" t="s">
        <v>78</v>
      </c>
      <c r="K784" s="27" t="s">
        <v>73</v>
      </c>
      <c r="L784" s="31" t="s">
        <v>1622</v>
      </c>
      <c r="M784" s="32">
        <v>0.78</v>
      </c>
      <c r="N784" s="27" t="s">
        <v>33</v>
      </c>
      <c r="O784" s="27" t="s">
        <v>34</v>
      </c>
      <c r="P784" s="27" t="s">
        <v>123</v>
      </c>
      <c r="Q784" s="27" t="s">
        <v>1621</v>
      </c>
      <c r="R784" s="33">
        <v>33881</v>
      </c>
      <c r="S784" s="34">
        <v>42076</v>
      </c>
      <c r="T784" s="34">
        <v>42077</v>
      </c>
      <c r="U784" s="29">
        <v>366.54</v>
      </c>
      <c r="V784" s="26">
        <v>8</v>
      </c>
      <c r="W784" s="29">
        <v>900.12</v>
      </c>
      <c r="X784" s="26">
        <v>88998</v>
      </c>
      <c r="Y784" s="35">
        <v>125.92</v>
      </c>
      <c r="Z784" s="1" t="s">
        <v>3011</v>
      </c>
      <c r="AA784" s="36">
        <v>26.647199999999998</v>
      </c>
      <c r="AB784" s="54">
        <v>198.02639999999997</v>
      </c>
      <c r="AC784" s="54">
        <v>87.761700000000005</v>
      </c>
      <c r="AD784" s="36">
        <v>498.2928</v>
      </c>
    </row>
    <row r="785" spans="1:30" s="37" customFormat="1" ht="15.75" customHeight="1" x14ac:dyDescent="0.2">
      <c r="A785" s="26">
        <v>2468</v>
      </c>
      <c r="B785" s="27" t="s">
        <v>1611</v>
      </c>
      <c r="C785" s="27" t="s">
        <v>26</v>
      </c>
      <c r="D785" s="28">
        <v>0.04</v>
      </c>
      <c r="E785" s="29">
        <v>65.989999999999995</v>
      </c>
      <c r="F785" s="29">
        <v>8.99</v>
      </c>
      <c r="G785" s="30" t="s">
        <v>39</v>
      </c>
      <c r="H785" s="27" t="s">
        <v>94</v>
      </c>
      <c r="I785" s="27" t="s">
        <v>41</v>
      </c>
      <c r="J785" s="27" t="s">
        <v>135</v>
      </c>
      <c r="K785" s="27" t="s">
        <v>73</v>
      </c>
      <c r="L785" s="31" t="s">
        <v>1612</v>
      </c>
      <c r="M785" s="32">
        <v>0.55000000000000004</v>
      </c>
      <c r="N785" s="27" t="s">
        <v>33</v>
      </c>
      <c r="O785" s="27" t="s">
        <v>34</v>
      </c>
      <c r="P785" s="27" t="s">
        <v>97</v>
      </c>
      <c r="Q785" s="27" t="s">
        <v>1613</v>
      </c>
      <c r="R785" s="33">
        <v>28144</v>
      </c>
      <c r="S785" s="34">
        <v>42076</v>
      </c>
      <c r="T785" s="34">
        <v>42077</v>
      </c>
      <c r="U785" s="29">
        <v>-335.041</v>
      </c>
      <c r="V785" s="26">
        <v>13</v>
      </c>
      <c r="W785" s="29">
        <v>724.57</v>
      </c>
      <c r="X785" s="26">
        <v>88137</v>
      </c>
      <c r="Y785" s="35">
        <v>99.96</v>
      </c>
      <c r="Z785" s="1" t="s">
        <v>3011</v>
      </c>
      <c r="AA785" s="36">
        <v>34.314799999999998</v>
      </c>
      <c r="AB785" s="54">
        <v>326.05649999999997</v>
      </c>
      <c r="AC785" s="54">
        <v>30.654884615384617</v>
      </c>
      <c r="AD785" s="36">
        <v>1016.3062</v>
      </c>
    </row>
    <row r="786" spans="1:30" s="37" customFormat="1" ht="15.75" customHeight="1" x14ac:dyDescent="0.2">
      <c r="A786" s="26">
        <v>1036</v>
      </c>
      <c r="B786" s="27" t="s">
        <v>1609</v>
      </c>
      <c r="C786" s="27" t="s">
        <v>26</v>
      </c>
      <c r="D786" s="28">
        <v>0.03</v>
      </c>
      <c r="E786" s="29">
        <v>99.99</v>
      </c>
      <c r="F786" s="29">
        <v>19.989999999999998</v>
      </c>
      <c r="G786" s="30" t="s">
        <v>39</v>
      </c>
      <c r="H786" s="27" t="s">
        <v>71</v>
      </c>
      <c r="I786" s="27" t="s">
        <v>41</v>
      </c>
      <c r="J786" s="27" t="s">
        <v>42</v>
      </c>
      <c r="K786" s="27" t="s">
        <v>73</v>
      </c>
      <c r="L786" s="31" t="s">
        <v>1580</v>
      </c>
      <c r="M786" s="32">
        <v>0.52</v>
      </c>
      <c r="N786" s="27" t="s">
        <v>33</v>
      </c>
      <c r="O786" s="27" t="s">
        <v>111</v>
      </c>
      <c r="P786" s="27" t="s">
        <v>317</v>
      </c>
      <c r="Q786" s="27" t="s">
        <v>1610</v>
      </c>
      <c r="R786" s="33">
        <v>43017</v>
      </c>
      <c r="S786" s="34">
        <v>42076</v>
      </c>
      <c r="T786" s="34">
        <v>42077</v>
      </c>
      <c r="U786" s="29">
        <v>293.66000000000003</v>
      </c>
      <c r="V786" s="26">
        <v>6</v>
      </c>
      <c r="W786" s="29">
        <v>598.38</v>
      </c>
      <c r="X786" s="26">
        <v>90710</v>
      </c>
      <c r="Y786" s="35">
        <v>65.949999999999989</v>
      </c>
      <c r="Z786" s="1" t="s">
        <v>3014</v>
      </c>
      <c r="AA786" s="36">
        <v>17.998199999999997</v>
      </c>
      <c r="AB786" s="54">
        <v>287.22239999999999</v>
      </c>
      <c r="AC786" s="54">
        <v>51.8596</v>
      </c>
      <c r="AD786" s="36">
        <v>266.73179999999996</v>
      </c>
    </row>
    <row r="787" spans="1:30" s="37" customFormat="1" ht="15.75" customHeight="1" x14ac:dyDescent="0.2">
      <c r="A787" s="26">
        <v>2285</v>
      </c>
      <c r="B787" s="27" t="s">
        <v>1617</v>
      </c>
      <c r="C787" s="27" t="s">
        <v>116</v>
      </c>
      <c r="D787" s="28">
        <v>0.02</v>
      </c>
      <c r="E787" s="29">
        <v>17.7</v>
      </c>
      <c r="F787" s="29">
        <v>9.4700000000000006</v>
      </c>
      <c r="G787" s="30" t="s">
        <v>87</v>
      </c>
      <c r="H787" s="27" t="s">
        <v>94</v>
      </c>
      <c r="I787" s="27" t="s">
        <v>49</v>
      </c>
      <c r="J787" s="27" t="s">
        <v>78</v>
      </c>
      <c r="K787" s="27" t="s">
        <v>73</v>
      </c>
      <c r="L787" s="31" t="s">
        <v>1051</v>
      </c>
      <c r="M787" s="32">
        <v>0.59</v>
      </c>
      <c r="N787" s="27" t="s">
        <v>33</v>
      </c>
      <c r="O787" s="27" t="s">
        <v>34</v>
      </c>
      <c r="P787" s="27" t="s">
        <v>271</v>
      </c>
      <c r="Q787" s="27" t="s">
        <v>1618</v>
      </c>
      <c r="R787" s="33">
        <v>29730</v>
      </c>
      <c r="S787" s="34">
        <v>42076</v>
      </c>
      <c r="T787" s="34">
        <v>42078</v>
      </c>
      <c r="U787" s="29">
        <v>-85.022000000000006</v>
      </c>
      <c r="V787" s="26">
        <v>21</v>
      </c>
      <c r="W787" s="29">
        <v>374.6</v>
      </c>
      <c r="X787" s="26">
        <v>90148</v>
      </c>
      <c r="Y787" s="35">
        <v>178.39</v>
      </c>
      <c r="Z787" s="1" t="s">
        <v>3011</v>
      </c>
      <c r="AA787" s="36">
        <v>7.4339999999999993</v>
      </c>
      <c r="AB787" s="54">
        <v>153.58600000000001</v>
      </c>
      <c r="AC787" s="54">
        <v>10.524476190476189</v>
      </c>
      <c r="AD787" s="36">
        <v>442.71800000000002</v>
      </c>
    </row>
    <row r="788" spans="1:30" s="37" customFormat="1" ht="15.75" customHeight="1" x14ac:dyDescent="0.2">
      <c r="A788" s="26">
        <v>2484</v>
      </c>
      <c r="B788" s="27" t="s">
        <v>1619</v>
      </c>
      <c r="C788" s="27" t="s">
        <v>116</v>
      </c>
      <c r="D788" s="28">
        <v>0.05</v>
      </c>
      <c r="E788" s="29">
        <v>6.48</v>
      </c>
      <c r="F788" s="29">
        <v>7.91</v>
      </c>
      <c r="G788" s="30" t="s">
        <v>39</v>
      </c>
      <c r="H788" s="27" t="s">
        <v>94</v>
      </c>
      <c r="I788" s="27" t="s">
        <v>49</v>
      </c>
      <c r="J788" s="27" t="s">
        <v>88</v>
      </c>
      <c r="K788" s="27" t="s">
        <v>73</v>
      </c>
      <c r="L788" s="31" t="s">
        <v>1620</v>
      </c>
      <c r="M788" s="32">
        <v>0.37</v>
      </c>
      <c r="N788" s="27" t="s">
        <v>33</v>
      </c>
      <c r="O788" s="27" t="s">
        <v>34</v>
      </c>
      <c r="P788" s="27" t="s">
        <v>123</v>
      </c>
      <c r="Q788" s="27" t="s">
        <v>1621</v>
      </c>
      <c r="R788" s="33">
        <v>33881</v>
      </c>
      <c r="S788" s="34">
        <v>42076</v>
      </c>
      <c r="T788" s="34">
        <v>42077</v>
      </c>
      <c r="U788" s="29">
        <v>322.12200000000001</v>
      </c>
      <c r="V788" s="26">
        <v>16</v>
      </c>
      <c r="W788" s="29">
        <v>109.99</v>
      </c>
      <c r="X788" s="26">
        <v>88998</v>
      </c>
      <c r="Y788" s="35">
        <v>6.4200000000000008</v>
      </c>
      <c r="Z788" s="1" t="s">
        <v>3011</v>
      </c>
      <c r="AA788" s="36">
        <v>5.1840000000000011</v>
      </c>
      <c r="AB788" s="54">
        <v>69.293700000000001</v>
      </c>
      <c r="AC788" s="54">
        <v>2.5435187500000001</v>
      </c>
      <c r="AD788" s="36">
        <v>-225.22600000000006</v>
      </c>
    </row>
    <row r="789" spans="1:30" s="37" customFormat="1" ht="15.75" customHeight="1" x14ac:dyDescent="0.2">
      <c r="A789" s="26">
        <v>1035</v>
      </c>
      <c r="B789" s="27" t="s">
        <v>1607</v>
      </c>
      <c r="C789" s="27" t="s">
        <v>26</v>
      </c>
      <c r="D789" s="28">
        <v>7.0000000000000007E-2</v>
      </c>
      <c r="E789" s="29">
        <v>125.99</v>
      </c>
      <c r="F789" s="29">
        <v>2.5</v>
      </c>
      <c r="G789" s="30" t="s">
        <v>39</v>
      </c>
      <c r="H789" s="27" t="s">
        <v>71</v>
      </c>
      <c r="I789" s="27" t="s">
        <v>41</v>
      </c>
      <c r="J789" s="27" t="s">
        <v>135</v>
      </c>
      <c r="K789" s="27" t="s">
        <v>73</v>
      </c>
      <c r="L789" s="31" t="s">
        <v>948</v>
      </c>
      <c r="M789" s="32">
        <v>0.6</v>
      </c>
      <c r="N789" s="27" t="s">
        <v>33</v>
      </c>
      <c r="O789" s="27" t="s">
        <v>111</v>
      </c>
      <c r="P789" s="27" t="s">
        <v>317</v>
      </c>
      <c r="Q789" s="27" t="s">
        <v>1608</v>
      </c>
      <c r="R789" s="33">
        <v>43015</v>
      </c>
      <c r="S789" s="34">
        <v>42076</v>
      </c>
      <c r="T789" s="34">
        <v>42076</v>
      </c>
      <c r="U789" s="29">
        <v>-604.40599999999995</v>
      </c>
      <c r="V789" s="26">
        <v>1</v>
      </c>
      <c r="W789" s="29">
        <v>100.59</v>
      </c>
      <c r="X789" s="26">
        <v>90710</v>
      </c>
      <c r="Y789" s="35">
        <v>17.68</v>
      </c>
      <c r="Z789" s="1" t="s">
        <v>3014</v>
      </c>
      <c r="AA789" s="36">
        <v>8.8193000000000001</v>
      </c>
      <c r="AB789" s="54">
        <v>40.236000000000004</v>
      </c>
      <c r="AC789" s="54">
        <v>60.353999999999999</v>
      </c>
      <c r="AD789" s="36">
        <v>693.67669999999998</v>
      </c>
    </row>
    <row r="790" spans="1:30" s="37" customFormat="1" ht="15.75" customHeight="1" x14ac:dyDescent="0.2">
      <c r="A790" s="26">
        <v>600</v>
      </c>
      <c r="B790" s="27" t="s">
        <v>1614</v>
      </c>
      <c r="C790" s="27" t="s">
        <v>116</v>
      </c>
      <c r="D790" s="28">
        <v>0.06</v>
      </c>
      <c r="E790" s="29">
        <v>6.48</v>
      </c>
      <c r="F790" s="29">
        <v>7.37</v>
      </c>
      <c r="G790" s="30" t="s">
        <v>39</v>
      </c>
      <c r="H790" s="27" t="s">
        <v>94</v>
      </c>
      <c r="I790" s="27" t="s">
        <v>49</v>
      </c>
      <c r="J790" s="27" t="s">
        <v>88</v>
      </c>
      <c r="K790" s="27" t="s">
        <v>73</v>
      </c>
      <c r="L790" s="31" t="s">
        <v>1615</v>
      </c>
      <c r="M790" s="32">
        <v>0.37</v>
      </c>
      <c r="N790" s="27" t="s">
        <v>33</v>
      </c>
      <c r="O790" s="27" t="s">
        <v>111</v>
      </c>
      <c r="P790" s="27" t="s">
        <v>418</v>
      </c>
      <c r="Q790" s="27" t="s">
        <v>1616</v>
      </c>
      <c r="R790" s="33">
        <v>21136</v>
      </c>
      <c r="S790" s="34">
        <v>42076</v>
      </c>
      <c r="T790" s="34">
        <v>42077</v>
      </c>
      <c r="U790" s="29">
        <v>-75.44</v>
      </c>
      <c r="V790" s="26">
        <v>5</v>
      </c>
      <c r="W790" s="29">
        <v>32.39</v>
      </c>
      <c r="X790" s="26">
        <v>87579</v>
      </c>
      <c r="Y790" s="35">
        <v>6.4300000000000006</v>
      </c>
      <c r="Z790" s="1" t="s">
        <v>3014</v>
      </c>
      <c r="AA790" s="36">
        <v>1.9440000000000002</v>
      </c>
      <c r="AB790" s="54">
        <v>20.4057</v>
      </c>
      <c r="AC790" s="54">
        <v>2.3968599999999998</v>
      </c>
      <c r="AD790" s="36">
        <v>98.515999999999991</v>
      </c>
    </row>
    <row r="791" spans="1:30" s="37" customFormat="1" ht="15.75" customHeight="1" x14ac:dyDescent="0.2">
      <c r="A791" s="26">
        <v>573</v>
      </c>
      <c r="B791" s="27" t="s">
        <v>1380</v>
      </c>
      <c r="C791" s="27" t="s">
        <v>26</v>
      </c>
      <c r="D791" s="28">
        <v>0.05</v>
      </c>
      <c r="E791" s="29">
        <v>4.13</v>
      </c>
      <c r="F791" s="29">
        <v>5.04</v>
      </c>
      <c r="G791" s="30" t="s">
        <v>39</v>
      </c>
      <c r="H791" s="27" t="s">
        <v>71</v>
      </c>
      <c r="I791" s="27" t="s">
        <v>49</v>
      </c>
      <c r="J791" s="27" t="s">
        <v>72</v>
      </c>
      <c r="K791" s="27" t="s">
        <v>73</v>
      </c>
      <c r="L791" s="31" t="s">
        <v>1019</v>
      </c>
      <c r="M791" s="32">
        <v>0.38</v>
      </c>
      <c r="N791" s="27" t="s">
        <v>33</v>
      </c>
      <c r="O791" s="27" t="s">
        <v>53</v>
      </c>
      <c r="P791" s="27" t="s">
        <v>103</v>
      </c>
      <c r="Q791" s="27" t="s">
        <v>1382</v>
      </c>
      <c r="R791" s="33">
        <v>61554</v>
      </c>
      <c r="S791" s="34">
        <v>42076</v>
      </c>
      <c r="T791" s="34">
        <v>42077</v>
      </c>
      <c r="U791" s="29">
        <v>-12.1555</v>
      </c>
      <c r="V791" s="26">
        <v>1</v>
      </c>
      <c r="W791" s="29">
        <v>5.84</v>
      </c>
      <c r="X791" s="26">
        <v>86555</v>
      </c>
      <c r="Y791" s="35">
        <v>111</v>
      </c>
      <c r="Z791" s="1" t="s">
        <v>3012</v>
      </c>
      <c r="AA791" s="36">
        <v>0.20650000000000002</v>
      </c>
      <c r="AB791" s="54">
        <v>3.6208</v>
      </c>
      <c r="AC791" s="54">
        <v>2.2191999999999998</v>
      </c>
      <c r="AD791" s="36">
        <v>12.748999999999999</v>
      </c>
    </row>
    <row r="792" spans="1:30" s="37" customFormat="1" ht="15.75" customHeight="1" x14ac:dyDescent="0.2">
      <c r="A792" s="26">
        <v>373</v>
      </c>
      <c r="B792" s="27" t="s">
        <v>1638</v>
      </c>
      <c r="C792" s="27" t="s">
        <v>3094</v>
      </c>
      <c r="D792" s="28">
        <v>0.02</v>
      </c>
      <c r="E792" s="29">
        <v>200.98</v>
      </c>
      <c r="F792" s="29">
        <v>55.96</v>
      </c>
      <c r="G792" s="30" t="s">
        <v>27</v>
      </c>
      <c r="H792" s="27" t="s">
        <v>3095</v>
      </c>
      <c r="I792" s="27" t="s">
        <v>29</v>
      </c>
      <c r="J792" s="27" t="s">
        <v>117</v>
      </c>
      <c r="K792" s="27" t="s">
        <v>31</v>
      </c>
      <c r="L792" s="31" t="s">
        <v>1639</v>
      </c>
      <c r="M792" s="32">
        <v>0.75</v>
      </c>
      <c r="N792" s="27" t="s">
        <v>33</v>
      </c>
      <c r="O792" s="27" t="s">
        <v>53</v>
      </c>
      <c r="P792" s="27" t="s">
        <v>289</v>
      </c>
      <c r="Q792" s="27" t="s">
        <v>1163</v>
      </c>
      <c r="R792" s="33">
        <v>48234</v>
      </c>
      <c r="S792" s="34">
        <v>42077</v>
      </c>
      <c r="T792" s="34">
        <v>42079</v>
      </c>
      <c r="U792" s="29">
        <v>-163.63</v>
      </c>
      <c r="V792" s="26">
        <v>45</v>
      </c>
      <c r="W792" s="29">
        <v>9539.6</v>
      </c>
      <c r="X792" s="26">
        <v>24193</v>
      </c>
      <c r="Y792" s="35">
        <v>154.04</v>
      </c>
      <c r="Z792" s="1" t="s">
        <v>3012</v>
      </c>
      <c r="AA792" s="36">
        <v>180.88199999999998</v>
      </c>
      <c r="AB792" s="54">
        <v>2384.9</v>
      </c>
      <c r="AC792" s="54">
        <v>158.99333333333334</v>
      </c>
      <c r="AD792" s="36">
        <v>9466.3880000000008</v>
      </c>
    </row>
    <row r="793" spans="1:30" s="37" customFormat="1" ht="15.75" customHeight="1" x14ac:dyDescent="0.2">
      <c r="A793" s="26">
        <v>604</v>
      </c>
      <c r="B793" s="27" t="s">
        <v>741</v>
      </c>
      <c r="C793" s="27" t="s">
        <v>26</v>
      </c>
      <c r="D793" s="28">
        <v>0.09</v>
      </c>
      <c r="E793" s="29">
        <v>154.13</v>
      </c>
      <c r="F793" s="29">
        <v>69</v>
      </c>
      <c r="G793" s="30" t="s">
        <v>87</v>
      </c>
      <c r="H793" s="27" t="s">
        <v>94</v>
      </c>
      <c r="I793" s="27" t="s">
        <v>29</v>
      </c>
      <c r="J793" s="27" t="s">
        <v>30</v>
      </c>
      <c r="K793" s="27" t="s">
        <v>65</v>
      </c>
      <c r="L793" s="31" t="s">
        <v>924</v>
      </c>
      <c r="M793" s="32">
        <v>0.68</v>
      </c>
      <c r="N793" s="27" t="s">
        <v>33</v>
      </c>
      <c r="O793" s="27" t="s">
        <v>60</v>
      </c>
      <c r="P793" s="27" t="s">
        <v>90</v>
      </c>
      <c r="Q793" s="27" t="s">
        <v>100</v>
      </c>
      <c r="R793" s="33">
        <v>90045</v>
      </c>
      <c r="S793" s="34">
        <v>42077</v>
      </c>
      <c r="T793" s="34">
        <v>42078</v>
      </c>
      <c r="U793" s="29">
        <v>-1763.7476999999999</v>
      </c>
      <c r="V793" s="26">
        <v>38</v>
      </c>
      <c r="W793" s="29">
        <v>5679.59</v>
      </c>
      <c r="X793" s="26">
        <v>28647</v>
      </c>
      <c r="Y793" s="35">
        <v>154.04</v>
      </c>
      <c r="Z793" s="1" t="s">
        <v>3013</v>
      </c>
      <c r="AA793" s="36">
        <v>527.12459999999999</v>
      </c>
      <c r="AB793" s="54">
        <v>1817.4687999999999</v>
      </c>
      <c r="AC793" s="54">
        <v>101.63476842105264</v>
      </c>
      <c r="AD793" s="36">
        <v>6847.2130999999999</v>
      </c>
    </row>
    <row r="794" spans="1:30" s="37" customFormat="1" ht="15.75" customHeight="1" x14ac:dyDescent="0.2">
      <c r="A794" s="26">
        <v>375</v>
      </c>
      <c r="B794" s="27" t="s">
        <v>1640</v>
      </c>
      <c r="C794" s="27" t="s">
        <v>3094</v>
      </c>
      <c r="D794" s="28">
        <v>0.02</v>
      </c>
      <c r="E794" s="29">
        <v>200.98</v>
      </c>
      <c r="F794" s="29">
        <v>55.96</v>
      </c>
      <c r="G794" s="30" t="s">
        <v>27</v>
      </c>
      <c r="H794" s="27" t="s">
        <v>3095</v>
      </c>
      <c r="I794" s="27" t="s">
        <v>29</v>
      </c>
      <c r="J794" s="27" t="s">
        <v>117</v>
      </c>
      <c r="K794" s="27" t="s">
        <v>31</v>
      </c>
      <c r="L794" s="31" t="s">
        <v>1639</v>
      </c>
      <c r="M794" s="32">
        <v>0.75</v>
      </c>
      <c r="N794" s="27" t="s">
        <v>33</v>
      </c>
      <c r="O794" s="27" t="s">
        <v>34</v>
      </c>
      <c r="P794" s="27" t="s">
        <v>400</v>
      </c>
      <c r="Q794" s="27" t="s">
        <v>1641</v>
      </c>
      <c r="R794" s="33">
        <v>37814</v>
      </c>
      <c r="S794" s="34">
        <v>42077</v>
      </c>
      <c r="T794" s="34">
        <v>42079</v>
      </c>
      <c r="U794" s="29">
        <v>-224.9478</v>
      </c>
      <c r="V794" s="26">
        <v>11</v>
      </c>
      <c r="W794" s="29">
        <v>2331.9</v>
      </c>
      <c r="X794" s="26">
        <v>90917</v>
      </c>
      <c r="Y794" s="35">
        <v>400.88</v>
      </c>
      <c r="Z794" s="1" t="s">
        <v>3011</v>
      </c>
      <c r="AA794" s="36">
        <v>44.215599999999995</v>
      </c>
      <c r="AB794" s="54">
        <v>582.97500000000002</v>
      </c>
      <c r="AC794" s="54">
        <v>158.99318181818182</v>
      </c>
      <c r="AD794" s="36">
        <v>2456.6722</v>
      </c>
    </row>
    <row r="795" spans="1:30" s="37" customFormat="1" ht="15.75" customHeight="1" x14ac:dyDescent="0.2">
      <c r="A795" s="26">
        <v>2345</v>
      </c>
      <c r="B795" s="27" t="s">
        <v>1631</v>
      </c>
      <c r="C795" s="27" t="s">
        <v>116</v>
      </c>
      <c r="D795" s="28">
        <v>7.0000000000000007E-2</v>
      </c>
      <c r="E795" s="29">
        <v>200.98</v>
      </c>
      <c r="F795" s="29">
        <v>23.76</v>
      </c>
      <c r="G795" s="30" t="s">
        <v>27</v>
      </c>
      <c r="H795" s="27" t="s">
        <v>94</v>
      </c>
      <c r="I795" s="27" t="s">
        <v>29</v>
      </c>
      <c r="J795" s="27" t="s">
        <v>109</v>
      </c>
      <c r="K795" s="27" t="s">
        <v>58</v>
      </c>
      <c r="L795" s="31" t="s">
        <v>1632</v>
      </c>
      <c r="M795" s="32">
        <v>0.57999999999999996</v>
      </c>
      <c r="N795" s="27" t="s">
        <v>33</v>
      </c>
      <c r="O795" s="27" t="s">
        <v>34</v>
      </c>
      <c r="P795" s="27" t="s">
        <v>388</v>
      </c>
      <c r="Q795" s="27" t="s">
        <v>827</v>
      </c>
      <c r="R795" s="33">
        <v>42003</v>
      </c>
      <c r="S795" s="34">
        <v>42077</v>
      </c>
      <c r="T795" s="34">
        <v>42078</v>
      </c>
      <c r="U795" s="29">
        <v>-132.42599999999999</v>
      </c>
      <c r="V795" s="26">
        <v>9</v>
      </c>
      <c r="W795" s="29">
        <v>1805.9</v>
      </c>
      <c r="X795" s="26">
        <v>89504</v>
      </c>
      <c r="Y795" s="35">
        <v>45.11</v>
      </c>
      <c r="Z795" s="1" t="s">
        <v>3011</v>
      </c>
      <c r="AA795" s="36">
        <v>126.6174</v>
      </c>
      <c r="AB795" s="54">
        <v>758.47800000000007</v>
      </c>
      <c r="AC795" s="54">
        <v>116.38022222222222</v>
      </c>
      <c r="AD795" s="36">
        <v>1787.9486000000002</v>
      </c>
    </row>
    <row r="796" spans="1:30" s="37" customFormat="1" ht="15.75" customHeight="1" x14ac:dyDescent="0.2">
      <c r="A796" s="26">
        <v>605</v>
      </c>
      <c r="B796" s="27" t="s">
        <v>1623</v>
      </c>
      <c r="C796" s="27" t="s">
        <v>26</v>
      </c>
      <c r="D796" s="28">
        <v>0.09</v>
      </c>
      <c r="E796" s="29">
        <v>154.13</v>
      </c>
      <c r="F796" s="29">
        <v>69</v>
      </c>
      <c r="G796" s="30" t="s">
        <v>87</v>
      </c>
      <c r="H796" s="27" t="s">
        <v>94</v>
      </c>
      <c r="I796" s="27" t="s">
        <v>29</v>
      </c>
      <c r="J796" s="27" t="s">
        <v>30</v>
      </c>
      <c r="K796" s="27" t="s">
        <v>65</v>
      </c>
      <c r="L796" s="31" t="s">
        <v>924</v>
      </c>
      <c r="M796" s="32">
        <v>0.68</v>
      </c>
      <c r="N796" s="27" t="s">
        <v>33</v>
      </c>
      <c r="O796" s="27" t="s">
        <v>111</v>
      </c>
      <c r="P796" s="27" t="s">
        <v>112</v>
      </c>
      <c r="Q796" s="27" t="s">
        <v>1624</v>
      </c>
      <c r="R796" s="33">
        <v>11795</v>
      </c>
      <c r="S796" s="34">
        <v>42077</v>
      </c>
      <c r="T796" s="34">
        <v>42078</v>
      </c>
      <c r="U796" s="29">
        <v>-1763.7476999999999</v>
      </c>
      <c r="V796" s="26">
        <v>10</v>
      </c>
      <c r="W796" s="29">
        <v>1494.63</v>
      </c>
      <c r="X796" s="26">
        <v>91144</v>
      </c>
      <c r="Y796" s="35">
        <v>33.949999999999996</v>
      </c>
      <c r="Z796" s="1" t="s">
        <v>3014</v>
      </c>
      <c r="AA796" s="36">
        <v>138.71699999999998</v>
      </c>
      <c r="AB796" s="54">
        <v>478.28159999999997</v>
      </c>
      <c r="AC796" s="54">
        <v>101.63484000000003</v>
      </c>
      <c r="AD796" s="36">
        <v>3050.6606999999999</v>
      </c>
    </row>
    <row r="797" spans="1:30" s="37" customFormat="1" ht="15.75" customHeight="1" x14ac:dyDescent="0.2">
      <c r="A797" s="26">
        <v>373</v>
      </c>
      <c r="B797" s="27" t="s">
        <v>1638</v>
      </c>
      <c r="C797" s="27" t="s">
        <v>3094</v>
      </c>
      <c r="D797" s="28">
        <v>0.04</v>
      </c>
      <c r="E797" s="29">
        <v>85.99</v>
      </c>
      <c r="F797" s="29">
        <v>0.99</v>
      </c>
      <c r="G797" s="30" t="s">
        <v>39</v>
      </c>
      <c r="H797" s="27" t="s">
        <v>3095</v>
      </c>
      <c r="I797" s="27" t="s">
        <v>41</v>
      </c>
      <c r="J797" s="27" t="s">
        <v>135</v>
      </c>
      <c r="K797" s="27" t="s">
        <v>51</v>
      </c>
      <c r="L797" s="31" t="s">
        <v>1596</v>
      </c>
      <c r="M797" s="32">
        <v>0.85</v>
      </c>
      <c r="N797" s="27" t="s">
        <v>33</v>
      </c>
      <c r="O797" s="27" t="s">
        <v>53</v>
      </c>
      <c r="P797" s="27" t="s">
        <v>289</v>
      </c>
      <c r="Q797" s="27" t="s">
        <v>1163</v>
      </c>
      <c r="R797" s="33">
        <v>48234</v>
      </c>
      <c r="S797" s="34">
        <v>42077</v>
      </c>
      <c r="T797" s="34">
        <v>42079</v>
      </c>
      <c r="U797" s="29">
        <v>-175.17500000000001</v>
      </c>
      <c r="V797" s="26">
        <v>19</v>
      </c>
      <c r="W797" s="29">
        <v>1426.51</v>
      </c>
      <c r="X797" s="26">
        <v>24193</v>
      </c>
      <c r="Y797" s="35">
        <v>200.91</v>
      </c>
      <c r="Z797" s="1" t="s">
        <v>3012</v>
      </c>
      <c r="AA797" s="36">
        <v>65.352400000000003</v>
      </c>
      <c r="AB797" s="54">
        <v>213.97650000000004</v>
      </c>
      <c r="AC797" s="54">
        <v>63.817552631578948</v>
      </c>
      <c r="AD797" s="36">
        <v>1535.3425999999999</v>
      </c>
    </row>
    <row r="798" spans="1:30" s="37" customFormat="1" ht="15.75" customHeight="1" x14ac:dyDescent="0.2">
      <c r="A798" s="26">
        <v>994</v>
      </c>
      <c r="B798" s="27" t="s">
        <v>1625</v>
      </c>
      <c r="C798" s="27" t="s">
        <v>38</v>
      </c>
      <c r="D798" s="28">
        <v>0.1</v>
      </c>
      <c r="E798" s="29">
        <v>400.98</v>
      </c>
      <c r="F798" s="29">
        <v>76.37</v>
      </c>
      <c r="G798" s="30" t="s">
        <v>27</v>
      </c>
      <c r="H798" s="27" t="s">
        <v>3095</v>
      </c>
      <c r="I798" s="27" t="s">
        <v>29</v>
      </c>
      <c r="J798" s="27" t="s">
        <v>30</v>
      </c>
      <c r="K798" s="27" t="s">
        <v>31</v>
      </c>
      <c r="L798" s="31" t="s">
        <v>1002</v>
      </c>
      <c r="M798" s="32">
        <v>0.6</v>
      </c>
      <c r="N798" s="27" t="s">
        <v>33</v>
      </c>
      <c r="O798" s="27" t="s">
        <v>111</v>
      </c>
      <c r="P798" s="27" t="s">
        <v>331</v>
      </c>
      <c r="Q798" s="27" t="s">
        <v>332</v>
      </c>
      <c r="R798" s="33">
        <v>4073</v>
      </c>
      <c r="S798" s="34">
        <v>42077</v>
      </c>
      <c r="T798" s="34">
        <v>42078</v>
      </c>
      <c r="U798" s="29">
        <v>-969.04836599999999</v>
      </c>
      <c r="V798" s="26">
        <v>2</v>
      </c>
      <c r="W798" s="29">
        <v>810.47</v>
      </c>
      <c r="X798" s="26">
        <v>89433</v>
      </c>
      <c r="Y798" s="35">
        <v>179.26999999999998</v>
      </c>
      <c r="Z798" s="1" t="s">
        <v>3014</v>
      </c>
      <c r="AA798" s="36">
        <v>80.196000000000012</v>
      </c>
      <c r="AB798" s="54">
        <v>324.18800000000005</v>
      </c>
      <c r="AC798" s="54">
        <v>243.14099999999999</v>
      </c>
      <c r="AD798" s="36">
        <v>1622.952366</v>
      </c>
    </row>
    <row r="799" spans="1:30" s="37" customFormat="1" ht="15.75" customHeight="1" x14ac:dyDescent="0.2">
      <c r="A799" s="26">
        <v>2417</v>
      </c>
      <c r="B799" s="27" t="s">
        <v>1633</v>
      </c>
      <c r="C799" s="27" t="s">
        <v>116</v>
      </c>
      <c r="D799" s="28">
        <v>0</v>
      </c>
      <c r="E799" s="29">
        <v>65.989999999999995</v>
      </c>
      <c r="F799" s="29">
        <v>3.99</v>
      </c>
      <c r="G799" s="30" t="s">
        <v>39</v>
      </c>
      <c r="H799" s="27" t="s">
        <v>40</v>
      </c>
      <c r="I799" s="27" t="s">
        <v>41</v>
      </c>
      <c r="J799" s="27" t="s">
        <v>135</v>
      </c>
      <c r="K799" s="27" t="s">
        <v>73</v>
      </c>
      <c r="L799" s="31" t="s">
        <v>1634</v>
      </c>
      <c r="M799" s="32">
        <v>0.59</v>
      </c>
      <c r="N799" s="27" t="s">
        <v>33</v>
      </c>
      <c r="O799" s="27" t="s">
        <v>34</v>
      </c>
      <c r="P799" s="27" t="s">
        <v>242</v>
      </c>
      <c r="Q799" s="27" t="s">
        <v>1635</v>
      </c>
      <c r="R799" s="33">
        <v>22124</v>
      </c>
      <c r="S799" s="34">
        <v>42077</v>
      </c>
      <c r="T799" s="34">
        <v>42078</v>
      </c>
      <c r="U799" s="29">
        <v>-60.564</v>
      </c>
      <c r="V799" s="26">
        <v>13</v>
      </c>
      <c r="W799" s="29">
        <v>765.65</v>
      </c>
      <c r="X799" s="26">
        <v>86754</v>
      </c>
      <c r="Y799" s="35">
        <v>65.989999999999995</v>
      </c>
      <c r="Z799" s="1" t="s">
        <v>3011</v>
      </c>
      <c r="AA799" s="36">
        <v>0</v>
      </c>
      <c r="AB799" s="54">
        <v>313.91650000000004</v>
      </c>
      <c r="AC799" s="54">
        <v>34.748730769230768</v>
      </c>
      <c r="AD799" s="36">
        <v>822.22399999999993</v>
      </c>
    </row>
    <row r="800" spans="1:30" s="37" customFormat="1" ht="15.75" customHeight="1" x14ac:dyDescent="0.2">
      <c r="A800" s="26">
        <v>3177</v>
      </c>
      <c r="B800" s="27" t="s">
        <v>1642</v>
      </c>
      <c r="C800" s="27" t="s">
        <v>3094</v>
      </c>
      <c r="D800" s="28">
        <v>0.1</v>
      </c>
      <c r="E800" s="29">
        <v>62.18</v>
      </c>
      <c r="F800" s="29">
        <v>10.84</v>
      </c>
      <c r="G800" s="30" t="s">
        <v>39</v>
      </c>
      <c r="H800" s="27" t="s">
        <v>40</v>
      </c>
      <c r="I800" s="27" t="s">
        <v>29</v>
      </c>
      <c r="J800" s="27" t="s">
        <v>126</v>
      </c>
      <c r="K800" s="27" t="s">
        <v>144</v>
      </c>
      <c r="L800" s="31" t="s">
        <v>1231</v>
      </c>
      <c r="M800" s="32">
        <v>0.63</v>
      </c>
      <c r="N800" s="27" t="s">
        <v>33</v>
      </c>
      <c r="O800" s="27" t="s">
        <v>34</v>
      </c>
      <c r="P800" s="27" t="s">
        <v>123</v>
      </c>
      <c r="Q800" s="27" t="s">
        <v>1643</v>
      </c>
      <c r="R800" s="33">
        <v>33458</v>
      </c>
      <c r="S800" s="34">
        <v>42077</v>
      </c>
      <c r="T800" s="34">
        <v>42079</v>
      </c>
      <c r="U800" s="29">
        <v>-29.666</v>
      </c>
      <c r="V800" s="26">
        <v>9</v>
      </c>
      <c r="W800" s="29">
        <v>511.57</v>
      </c>
      <c r="X800" s="26">
        <v>90818</v>
      </c>
      <c r="Y800" s="35">
        <v>45.980000000000004</v>
      </c>
      <c r="Z800" s="1" t="s">
        <v>3011</v>
      </c>
      <c r="AA800" s="36">
        <v>55.962000000000003</v>
      </c>
      <c r="AB800" s="54">
        <v>189.2809</v>
      </c>
      <c r="AC800" s="54">
        <v>35.809899999999999</v>
      </c>
      <c r="AD800" s="36">
        <v>474.43399999999997</v>
      </c>
    </row>
    <row r="801" spans="1:30" s="37" customFormat="1" ht="15.75" customHeight="1" x14ac:dyDescent="0.2">
      <c r="A801" s="26">
        <v>1000</v>
      </c>
      <c r="B801" s="27" t="s">
        <v>1628</v>
      </c>
      <c r="C801" s="27" t="s">
        <v>38</v>
      </c>
      <c r="D801" s="28">
        <v>0.03</v>
      </c>
      <c r="E801" s="29">
        <v>33.979999999999997</v>
      </c>
      <c r="F801" s="29">
        <v>19.989999999999998</v>
      </c>
      <c r="G801" s="30" t="s">
        <v>39</v>
      </c>
      <c r="H801" s="27" t="s">
        <v>3095</v>
      </c>
      <c r="I801" s="27" t="s">
        <v>29</v>
      </c>
      <c r="J801" s="27" t="s">
        <v>126</v>
      </c>
      <c r="K801" s="27" t="s">
        <v>73</v>
      </c>
      <c r="L801" s="31" t="s">
        <v>1629</v>
      </c>
      <c r="M801" s="32">
        <v>0.55000000000000004</v>
      </c>
      <c r="N801" s="27" t="s">
        <v>33</v>
      </c>
      <c r="O801" s="27" t="s">
        <v>111</v>
      </c>
      <c r="P801" s="27" t="s">
        <v>633</v>
      </c>
      <c r="Q801" s="27" t="s">
        <v>1630</v>
      </c>
      <c r="R801" s="33">
        <v>5201</v>
      </c>
      <c r="S801" s="34">
        <v>42077</v>
      </c>
      <c r="T801" s="34">
        <v>42078</v>
      </c>
      <c r="U801" s="29">
        <v>-0.74</v>
      </c>
      <c r="V801" s="26">
        <v>12</v>
      </c>
      <c r="W801" s="29">
        <v>432.44</v>
      </c>
      <c r="X801" s="26">
        <v>89433</v>
      </c>
      <c r="Y801" s="35">
        <v>200.95999999999998</v>
      </c>
      <c r="Z801" s="1" t="s">
        <v>3014</v>
      </c>
      <c r="AA801" s="36">
        <v>12.232799999999997</v>
      </c>
      <c r="AB801" s="54">
        <v>194.59799999999998</v>
      </c>
      <c r="AC801" s="54">
        <v>19.820166666666669</v>
      </c>
      <c r="AD801" s="36">
        <v>400.9572</v>
      </c>
    </row>
    <row r="802" spans="1:30" s="37" customFormat="1" ht="15.75" customHeight="1" x14ac:dyDescent="0.2">
      <c r="A802" s="26">
        <v>2345</v>
      </c>
      <c r="B802" s="27" t="s">
        <v>1631</v>
      </c>
      <c r="C802" s="27" t="s">
        <v>116</v>
      </c>
      <c r="D802" s="28">
        <v>0.02</v>
      </c>
      <c r="E802" s="29">
        <v>179.29</v>
      </c>
      <c r="F802" s="29">
        <v>29.21</v>
      </c>
      <c r="G802" s="30" t="s">
        <v>27</v>
      </c>
      <c r="H802" s="27" t="s">
        <v>94</v>
      </c>
      <c r="I802" s="27" t="s">
        <v>29</v>
      </c>
      <c r="J802" s="27" t="s">
        <v>30</v>
      </c>
      <c r="K802" s="27" t="s">
        <v>31</v>
      </c>
      <c r="L802" s="31" t="s">
        <v>543</v>
      </c>
      <c r="M802" s="32">
        <v>0.76</v>
      </c>
      <c r="N802" s="27" t="s">
        <v>33</v>
      </c>
      <c r="O802" s="27" t="s">
        <v>34</v>
      </c>
      <c r="P802" s="27" t="s">
        <v>388</v>
      </c>
      <c r="Q802" s="27" t="s">
        <v>827</v>
      </c>
      <c r="R802" s="33">
        <v>42003</v>
      </c>
      <c r="S802" s="34">
        <v>42077</v>
      </c>
      <c r="T802" s="34">
        <v>42077</v>
      </c>
      <c r="U802" s="29">
        <v>-411.23599999999999</v>
      </c>
      <c r="V802" s="26">
        <v>2</v>
      </c>
      <c r="W802" s="29">
        <v>311.41000000000003</v>
      </c>
      <c r="X802" s="26">
        <v>89504</v>
      </c>
      <c r="Y802" s="35">
        <v>4.2600000000000007</v>
      </c>
      <c r="Z802" s="1" t="s">
        <v>3011</v>
      </c>
      <c r="AA802" s="36">
        <v>7.1715999999999998</v>
      </c>
      <c r="AB802" s="54">
        <v>74.738399999999999</v>
      </c>
      <c r="AC802" s="54">
        <v>118.33580000000001</v>
      </c>
      <c r="AD802" s="36">
        <v>686.26440000000002</v>
      </c>
    </row>
    <row r="803" spans="1:30" s="37" customFormat="1" ht="15.75" customHeight="1" x14ac:dyDescent="0.2">
      <c r="A803" s="26">
        <v>1682</v>
      </c>
      <c r="B803" s="27" t="s">
        <v>1186</v>
      </c>
      <c r="C803" s="27" t="s">
        <v>3094</v>
      </c>
      <c r="D803" s="28">
        <v>0.08</v>
      </c>
      <c r="E803" s="29">
        <v>4.9800000000000004</v>
      </c>
      <c r="F803" s="29">
        <v>4.7</v>
      </c>
      <c r="G803" s="30" t="s">
        <v>39</v>
      </c>
      <c r="H803" s="27" t="s">
        <v>40</v>
      </c>
      <c r="I803" s="27" t="s">
        <v>49</v>
      </c>
      <c r="J803" s="27" t="s">
        <v>88</v>
      </c>
      <c r="K803" s="27" t="s">
        <v>73</v>
      </c>
      <c r="L803" s="31" t="s">
        <v>1334</v>
      </c>
      <c r="M803" s="32">
        <v>0.38</v>
      </c>
      <c r="N803" s="27" t="s">
        <v>33</v>
      </c>
      <c r="O803" s="27" t="s">
        <v>53</v>
      </c>
      <c r="P803" s="27" t="s">
        <v>103</v>
      </c>
      <c r="Q803" s="27" t="s">
        <v>533</v>
      </c>
      <c r="R803" s="33">
        <v>60611</v>
      </c>
      <c r="S803" s="34">
        <v>42077</v>
      </c>
      <c r="T803" s="34">
        <v>42078</v>
      </c>
      <c r="U803" s="29">
        <v>-56.35</v>
      </c>
      <c r="V803" s="26">
        <v>47</v>
      </c>
      <c r="W803" s="29">
        <v>225.98</v>
      </c>
      <c r="X803" s="26">
        <v>38080</v>
      </c>
      <c r="Y803" s="35">
        <v>85.949999999999989</v>
      </c>
      <c r="Z803" s="1" t="s">
        <v>3012</v>
      </c>
      <c r="AA803" s="36">
        <v>18.724800000000002</v>
      </c>
      <c r="AB803" s="54">
        <v>140.10759999999999</v>
      </c>
      <c r="AC803" s="54">
        <v>1.8270723404255318</v>
      </c>
      <c r="AD803" s="36">
        <v>258.90519999999998</v>
      </c>
    </row>
    <row r="804" spans="1:30" s="37" customFormat="1" ht="15.75" customHeight="1" x14ac:dyDescent="0.2">
      <c r="A804" s="26">
        <v>999</v>
      </c>
      <c r="B804" s="27" t="s">
        <v>1626</v>
      </c>
      <c r="C804" s="27" t="s">
        <v>38</v>
      </c>
      <c r="D804" s="28">
        <v>0.08</v>
      </c>
      <c r="E804" s="29">
        <v>45.19</v>
      </c>
      <c r="F804" s="29">
        <v>1.99</v>
      </c>
      <c r="G804" s="30" t="s">
        <v>39</v>
      </c>
      <c r="H804" s="27" t="s">
        <v>3095</v>
      </c>
      <c r="I804" s="27" t="s">
        <v>41</v>
      </c>
      <c r="J804" s="27" t="s">
        <v>42</v>
      </c>
      <c r="K804" s="27" t="s">
        <v>43</v>
      </c>
      <c r="L804" s="31" t="s">
        <v>44</v>
      </c>
      <c r="M804" s="32">
        <v>0.55000000000000004</v>
      </c>
      <c r="N804" s="27" t="s">
        <v>33</v>
      </c>
      <c r="O804" s="27" t="s">
        <v>111</v>
      </c>
      <c r="P804" s="27" t="s">
        <v>397</v>
      </c>
      <c r="Q804" s="27" t="s">
        <v>1627</v>
      </c>
      <c r="R804" s="33">
        <v>7450</v>
      </c>
      <c r="S804" s="34">
        <v>42077</v>
      </c>
      <c r="T804" s="34">
        <v>42078</v>
      </c>
      <c r="U804" s="29">
        <v>-71.83</v>
      </c>
      <c r="V804" s="26">
        <v>3</v>
      </c>
      <c r="W804" s="29">
        <v>127.22</v>
      </c>
      <c r="X804" s="26">
        <v>89433</v>
      </c>
      <c r="Y804" s="35">
        <v>200.95999999999998</v>
      </c>
      <c r="Z804" s="1" t="s">
        <v>3014</v>
      </c>
      <c r="AA804" s="36">
        <v>10.845599999999999</v>
      </c>
      <c r="AB804" s="54">
        <v>57.248999999999995</v>
      </c>
      <c r="AC804" s="54">
        <v>23.323666666666668</v>
      </c>
      <c r="AD804" s="36">
        <v>186.21440000000001</v>
      </c>
    </row>
    <row r="805" spans="1:30" s="37" customFormat="1" ht="15.75" customHeight="1" x14ac:dyDescent="0.2">
      <c r="A805" s="26">
        <v>3279</v>
      </c>
      <c r="B805" s="27" t="s">
        <v>1636</v>
      </c>
      <c r="C805" s="27" t="s">
        <v>116</v>
      </c>
      <c r="D805" s="28">
        <v>0.01</v>
      </c>
      <c r="E805" s="29">
        <v>45.99</v>
      </c>
      <c r="F805" s="29">
        <v>4.99</v>
      </c>
      <c r="G805" s="30" t="s">
        <v>39</v>
      </c>
      <c r="H805" s="27" t="s">
        <v>71</v>
      </c>
      <c r="I805" s="27" t="s">
        <v>41</v>
      </c>
      <c r="J805" s="27" t="s">
        <v>135</v>
      </c>
      <c r="K805" s="27" t="s">
        <v>73</v>
      </c>
      <c r="L805" s="31" t="s">
        <v>1446</v>
      </c>
      <c r="M805" s="32">
        <v>0.56000000000000005</v>
      </c>
      <c r="N805" s="27" t="s">
        <v>33</v>
      </c>
      <c r="O805" s="27" t="s">
        <v>34</v>
      </c>
      <c r="P805" s="27" t="s">
        <v>271</v>
      </c>
      <c r="Q805" s="27" t="s">
        <v>1637</v>
      </c>
      <c r="R805" s="33">
        <v>29203</v>
      </c>
      <c r="S805" s="34">
        <v>42077</v>
      </c>
      <c r="T805" s="34">
        <v>42079</v>
      </c>
      <c r="U805" s="29">
        <v>24.018000000000001</v>
      </c>
      <c r="V805" s="26">
        <v>3</v>
      </c>
      <c r="W805" s="29">
        <v>125.19</v>
      </c>
      <c r="X805" s="26">
        <v>90767</v>
      </c>
      <c r="Y805" s="35">
        <v>4.2600000000000007</v>
      </c>
      <c r="Z805" s="1" t="s">
        <v>3011</v>
      </c>
      <c r="AA805" s="36">
        <v>1.3797000000000001</v>
      </c>
      <c r="AB805" s="54">
        <v>55.08359999999999</v>
      </c>
      <c r="AC805" s="54">
        <v>23.3688</v>
      </c>
      <c r="AD805" s="36">
        <v>94.802300000000002</v>
      </c>
    </row>
    <row r="806" spans="1:30" s="37" customFormat="1" ht="15.75" customHeight="1" x14ac:dyDescent="0.2">
      <c r="A806" s="26">
        <v>373</v>
      </c>
      <c r="B806" s="27" t="s">
        <v>1638</v>
      </c>
      <c r="C806" s="27" t="s">
        <v>3094</v>
      </c>
      <c r="D806" s="28">
        <v>0.02</v>
      </c>
      <c r="E806" s="29">
        <v>4.28</v>
      </c>
      <c r="F806" s="29">
        <v>5.17</v>
      </c>
      <c r="G806" s="30" t="s">
        <v>39</v>
      </c>
      <c r="H806" s="27" t="s">
        <v>3095</v>
      </c>
      <c r="I806" s="27" t="s">
        <v>49</v>
      </c>
      <c r="J806" s="27" t="s">
        <v>88</v>
      </c>
      <c r="K806" s="27" t="s">
        <v>73</v>
      </c>
      <c r="L806" s="31" t="s">
        <v>1254</v>
      </c>
      <c r="M806" s="32">
        <v>0.4</v>
      </c>
      <c r="N806" s="27" t="s">
        <v>33</v>
      </c>
      <c r="O806" s="27" t="s">
        <v>53</v>
      </c>
      <c r="P806" s="27" t="s">
        <v>289</v>
      </c>
      <c r="Q806" s="27" t="s">
        <v>1163</v>
      </c>
      <c r="R806" s="33">
        <v>48234</v>
      </c>
      <c r="S806" s="34">
        <v>42077</v>
      </c>
      <c r="T806" s="34">
        <v>42078</v>
      </c>
      <c r="U806" s="29">
        <v>-63.87</v>
      </c>
      <c r="V806" s="26">
        <v>24</v>
      </c>
      <c r="W806" s="29">
        <v>109.86</v>
      </c>
      <c r="X806" s="26">
        <v>24193</v>
      </c>
      <c r="Y806" s="35">
        <v>4.9000000000000004</v>
      </c>
      <c r="Z806" s="1" t="s">
        <v>3012</v>
      </c>
      <c r="AA806" s="36">
        <v>2.0544000000000002</v>
      </c>
      <c r="AB806" s="54">
        <v>65.915999999999997</v>
      </c>
      <c r="AC806" s="54">
        <v>1.831</v>
      </c>
      <c r="AD806" s="36">
        <v>166.50559999999999</v>
      </c>
    </row>
    <row r="807" spans="1:30" s="37" customFormat="1" ht="15.75" customHeight="1" x14ac:dyDescent="0.2">
      <c r="A807" s="26">
        <v>1683</v>
      </c>
      <c r="B807" s="27" t="s">
        <v>1187</v>
      </c>
      <c r="C807" s="27" t="s">
        <v>3094</v>
      </c>
      <c r="D807" s="28">
        <v>0.08</v>
      </c>
      <c r="E807" s="29">
        <v>4.9800000000000004</v>
      </c>
      <c r="F807" s="29">
        <v>4.7</v>
      </c>
      <c r="G807" s="30" t="s">
        <v>39</v>
      </c>
      <c r="H807" s="27" t="s">
        <v>40</v>
      </c>
      <c r="I807" s="27" t="s">
        <v>49</v>
      </c>
      <c r="J807" s="27" t="s">
        <v>88</v>
      </c>
      <c r="K807" s="27" t="s">
        <v>73</v>
      </c>
      <c r="L807" s="31" t="s">
        <v>1334</v>
      </c>
      <c r="M807" s="32">
        <v>0.38</v>
      </c>
      <c r="N807" s="27" t="s">
        <v>33</v>
      </c>
      <c r="O807" s="27" t="s">
        <v>53</v>
      </c>
      <c r="P807" s="27" t="s">
        <v>187</v>
      </c>
      <c r="Q807" s="27" t="s">
        <v>1188</v>
      </c>
      <c r="R807" s="33">
        <v>77301</v>
      </c>
      <c r="S807" s="34">
        <v>42077</v>
      </c>
      <c r="T807" s="34">
        <v>42078</v>
      </c>
      <c r="U807" s="29">
        <v>-56.35</v>
      </c>
      <c r="V807" s="26">
        <v>12</v>
      </c>
      <c r="W807" s="29">
        <v>57.7</v>
      </c>
      <c r="X807" s="26">
        <v>90613</v>
      </c>
      <c r="Y807" s="35">
        <v>4.9000000000000004</v>
      </c>
      <c r="Z807" s="1" t="s">
        <v>3012</v>
      </c>
      <c r="AA807" s="36">
        <v>4.7808000000000002</v>
      </c>
      <c r="AB807" s="54">
        <v>35.774000000000001</v>
      </c>
      <c r="AC807" s="54">
        <v>1.8271666666666668</v>
      </c>
      <c r="AD807" s="36">
        <v>104.5692</v>
      </c>
    </row>
    <row r="808" spans="1:30" s="37" customFormat="1" ht="15.75" customHeight="1" x14ac:dyDescent="0.2">
      <c r="A808" s="26">
        <v>375</v>
      </c>
      <c r="B808" s="27" t="s">
        <v>1640</v>
      </c>
      <c r="C808" s="27" t="s">
        <v>3094</v>
      </c>
      <c r="D808" s="28">
        <v>0.02</v>
      </c>
      <c r="E808" s="29">
        <v>4.28</v>
      </c>
      <c r="F808" s="29">
        <v>5.17</v>
      </c>
      <c r="G808" s="30" t="s">
        <v>39</v>
      </c>
      <c r="H808" s="27" t="s">
        <v>3095</v>
      </c>
      <c r="I808" s="27" t="s">
        <v>49</v>
      </c>
      <c r="J808" s="27" t="s">
        <v>88</v>
      </c>
      <c r="K808" s="27" t="s">
        <v>73</v>
      </c>
      <c r="L808" s="31" t="s">
        <v>1254</v>
      </c>
      <c r="M808" s="32">
        <v>0.4</v>
      </c>
      <c r="N808" s="27" t="s">
        <v>33</v>
      </c>
      <c r="O808" s="27" t="s">
        <v>34</v>
      </c>
      <c r="P808" s="27" t="s">
        <v>400</v>
      </c>
      <c r="Q808" s="27" t="s">
        <v>1641</v>
      </c>
      <c r="R808" s="33">
        <v>37814</v>
      </c>
      <c r="S808" s="34">
        <v>42077</v>
      </c>
      <c r="T808" s="34">
        <v>42078</v>
      </c>
      <c r="U808" s="29">
        <v>196.8</v>
      </c>
      <c r="V808" s="26">
        <v>6</v>
      </c>
      <c r="W808" s="29">
        <v>27.47</v>
      </c>
      <c r="X808" s="26">
        <v>90917</v>
      </c>
      <c r="Y808" s="35">
        <v>62.08</v>
      </c>
      <c r="Z808" s="1" t="s">
        <v>3011</v>
      </c>
      <c r="AA808" s="36">
        <v>0.51360000000000006</v>
      </c>
      <c r="AB808" s="54">
        <v>16.481999999999999</v>
      </c>
      <c r="AC808" s="54">
        <v>1.8313333333333333</v>
      </c>
      <c r="AD808" s="36">
        <v>-175.0136</v>
      </c>
    </row>
    <row r="809" spans="1:30" s="37" customFormat="1" ht="15.75" customHeight="1" x14ac:dyDescent="0.2">
      <c r="A809" s="26">
        <v>83</v>
      </c>
      <c r="B809" s="27" t="s">
        <v>1646</v>
      </c>
      <c r="C809" s="27" t="s">
        <v>38</v>
      </c>
      <c r="D809" s="28">
        <v>0.04</v>
      </c>
      <c r="E809" s="29">
        <v>296.18</v>
      </c>
      <c r="F809" s="29">
        <v>54.12</v>
      </c>
      <c r="G809" s="30" t="s">
        <v>27</v>
      </c>
      <c r="H809" s="27" t="s">
        <v>94</v>
      </c>
      <c r="I809" s="27" t="s">
        <v>29</v>
      </c>
      <c r="J809" s="27" t="s">
        <v>30</v>
      </c>
      <c r="K809" s="27" t="s">
        <v>31</v>
      </c>
      <c r="L809" s="31" t="s">
        <v>1079</v>
      </c>
      <c r="M809" s="32">
        <v>0.76</v>
      </c>
      <c r="N809" s="27" t="s">
        <v>33</v>
      </c>
      <c r="O809" s="27" t="s">
        <v>111</v>
      </c>
      <c r="P809" s="27" t="s">
        <v>317</v>
      </c>
      <c r="Q809" s="27" t="s">
        <v>997</v>
      </c>
      <c r="R809" s="33">
        <v>44708</v>
      </c>
      <c r="S809" s="34">
        <v>42078</v>
      </c>
      <c r="T809" s="34">
        <v>42078</v>
      </c>
      <c r="U809" s="29">
        <v>-715.77820599999995</v>
      </c>
      <c r="V809" s="26">
        <v>6</v>
      </c>
      <c r="W809" s="29">
        <v>1821.89</v>
      </c>
      <c r="X809" s="26">
        <v>87365</v>
      </c>
      <c r="Y809" s="35">
        <v>13.7</v>
      </c>
      <c r="Z809" s="1" t="s">
        <v>3014</v>
      </c>
      <c r="AA809" s="36">
        <v>71.083200000000005</v>
      </c>
      <c r="AB809" s="54">
        <v>437.25360000000001</v>
      </c>
      <c r="AC809" s="54">
        <v>230.77273333333335</v>
      </c>
      <c r="AD809" s="36">
        <v>2412.4650059999999</v>
      </c>
    </row>
    <row r="810" spans="1:30" s="37" customFormat="1" ht="15.75" customHeight="1" x14ac:dyDescent="0.2">
      <c r="A810" s="26">
        <v>2356</v>
      </c>
      <c r="B810" s="27" t="s">
        <v>1659</v>
      </c>
      <c r="C810" s="27" t="s">
        <v>116</v>
      </c>
      <c r="D810" s="28">
        <v>0</v>
      </c>
      <c r="E810" s="29">
        <v>29.34</v>
      </c>
      <c r="F810" s="29">
        <v>7.87</v>
      </c>
      <c r="G810" s="30" t="s">
        <v>39</v>
      </c>
      <c r="H810" s="27" t="s">
        <v>40</v>
      </c>
      <c r="I810" s="27" t="s">
        <v>29</v>
      </c>
      <c r="J810" s="27" t="s">
        <v>126</v>
      </c>
      <c r="K810" s="27" t="s">
        <v>73</v>
      </c>
      <c r="L810" s="31" t="s">
        <v>1660</v>
      </c>
      <c r="M810" s="32">
        <v>0.54</v>
      </c>
      <c r="N810" s="27" t="s">
        <v>33</v>
      </c>
      <c r="O810" s="27" t="s">
        <v>60</v>
      </c>
      <c r="P810" s="27" t="s">
        <v>1060</v>
      </c>
      <c r="Q810" s="27" t="s">
        <v>1661</v>
      </c>
      <c r="R810" s="33">
        <v>82901</v>
      </c>
      <c r="S810" s="34">
        <v>42078</v>
      </c>
      <c r="T810" s="34">
        <v>42080</v>
      </c>
      <c r="U810" s="29">
        <v>385.37</v>
      </c>
      <c r="V810" s="26">
        <v>22</v>
      </c>
      <c r="W810" s="29">
        <v>668.38</v>
      </c>
      <c r="X810" s="26">
        <v>91305</v>
      </c>
      <c r="Y810" s="35">
        <v>296.14</v>
      </c>
      <c r="Z810" s="1" t="s">
        <v>3013</v>
      </c>
      <c r="AA810" s="36">
        <v>0</v>
      </c>
      <c r="AB810" s="54">
        <v>307.45479999999998</v>
      </c>
      <c r="AC810" s="54">
        <v>16.405690909090911</v>
      </c>
      <c r="AD810" s="36">
        <v>275.14</v>
      </c>
    </row>
    <row r="811" spans="1:30" s="37" customFormat="1" ht="15.75" customHeight="1" x14ac:dyDescent="0.2">
      <c r="A811" s="26">
        <v>1123</v>
      </c>
      <c r="B811" s="27" t="s">
        <v>1647</v>
      </c>
      <c r="C811" s="27" t="s">
        <v>38</v>
      </c>
      <c r="D811" s="28">
        <v>0.03</v>
      </c>
      <c r="E811" s="29">
        <v>7.3</v>
      </c>
      <c r="F811" s="29">
        <v>7.72</v>
      </c>
      <c r="G811" s="30" t="s">
        <v>39</v>
      </c>
      <c r="H811" s="27" t="s">
        <v>3095</v>
      </c>
      <c r="I811" s="27" t="s">
        <v>49</v>
      </c>
      <c r="J811" s="27" t="s">
        <v>72</v>
      </c>
      <c r="K811" s="27" t="s">
        <v>73</v>
      </c>
      <c r="L811" s="31" t="s">
        <v>1648</v>
      </c>
      <c r="M811" s="32">
        <v>0.38</v>
      </c>
      <c r="N811" s="27" t="s">
        <v>33</v>
      </c>
      <c r="O811" s="27" t="s">
        <v>60</v>
      </c>
      <c r="P811" s="27" t="s">
        <v>90</v>
      </c>
      <c r="Q811" s="27" t="s">
        <v>1649</v>
      </c>
      <c r="R811" s="33">
        <v>95661</v>
      </c>
      <c r="S811" s="34">
        <v>42078</v>
      </c>
      <c r="T811" s="34">
        <v>42081</v>
      </c>
      <c r="U811" s="29">
        <v>-127.05200000000001</v>
      </c>
      <c r="V811" s="26">
        <v>14</v>
      </c>
      <c r="W811" s="29">
        <v>103.61</v>
      </c>
      <c r="X811" s="26">
        <v>87015</v>
      </c>
      <c r="Y811" s="35">
        <v>7.27</v>
      </c>
      <c r="Z811" s="1" t="s">
        <v>3013</v>
      </c>
      <c r="AA811" s="36">
        <v>3.0659999999999998</v>
      </c>
      <c r="AB811" s="54">
        <v>64.238200000000006</v>
      </c>
      <c r="AC811" s="54">
        <v>2.8122714285714285</v>
      </c>
      <c r="AD811" s="36">
        <v>219.876</v>
      </c>
    </row>
    <row r="812" spans="1:30" s="37" customFormat="1" ht="15.75" customHeight="1" x14ac:dyDescent="0.2">
      <c r="A812" s="26">
        <v>724</v>
      </c>
      <c r="B812" s="27" t="s">
        <v>1653</v>
      </c>
      <c r="C812" s="27" t="s">
        <v>116</v>
      </c>
      <c r="D812" s="28">
        <v>0.09</v>
      </c>
      <c r="E812" s="29">
        <v>125.99</v>
      </c>
      <c r="F812" s="29">
        <v>8.99</v>
      </c>
      <c r="G812" s="30" t="s">
        <v>39</v>
      </c>
      <c r="H812" s="27" t="s">
        <v>40</v>
      </c>
      <c r="I812" s="27" t="s">
        <v>41</v>
      </c>
      <c r="J812" s="27" t="s">
        <v>135</v>
      </c>
      <c r="K812" s="27" t="s">
        <v>73</v>
      </c>
      <c r="L812" s="31" t="s">
        <v>1654</v>
      </c>
      <c r="M812" s="32">
        <v>0.55000000000000004</v>
      </c>
      <c r="N812" s="27" t="s">
        <v>33</v>
      </c>
      <c r="O812" s="27" t="s">
        <v>111</v>
      </c>
      <c r="P812" s="27" t="s">
        <v>248</v>
      </c>
      <c r="Q812" s="27" t="s">
        <v>1655</v>
      </c>
      <c r="R812" s="33">
        <v>6614</v>
      </c>
      <c r="S812" s="34">
        <v>42078</v>
      </c>
      <c r="T812" s="34">
        <v>42079</v>
      </c>
      <c r="U812" s="29">
        <v>-605.37400000000002</v>
      </c>
      <c r="V812" s="26">
        <v>1</v>
      </c>
      <c r="W812" s="29">
        <v>100.38</v>
      </c>
      <c r="X812" s="26">
        <v>90359</v>
      </c>
      <c r="Y812" s="35">
        <v>30.85</v>
      </c>
      <c r="Z812" s="1" t="s">
        <v>3014</v>
      </c>
      <c r="AA812" s="36">
        <v>11.339099999999998</v>
      </c>
      <c r="AB812" s="54">
        <v>45.170999999999992</v>
      </c>
      <c r="AC812" s="54">
        <v>55.209000000000003</v>
      </c>
      <c r="AD812" s="36">
        <v>685.42489999999998</v>
      </c>
    </row>
    <row r="813" spans="1:30" s="37" customFormat="1" ht="15.75" customHeight="1" x14ac:dyDescent="0.2">
      <c r="A813" s="26">
        <v>2426</v>
      </c>
      <c r="B813" s="27" t="s">
        <v>1650</v>
      </c>
      <c r="C813" s="27" t="s">
        <v>38</v>
      </c>
      <c r="D813" s="28">
        <v>0.08</v>
      </c>
      <c r="E813" s="29">
        <v>30.93</v>
      </c>
      <c r="F813" s="29">
        <v>3.92</v>
      </c>
      <c r="G813" s="30" t="s">
        <v>39</v>
      </c>
      <c r="H813" s="27" t="s">
        <v>3095</v>
      </c>
      <c r="I813" s="27" t="s">
        <v>29</v>
      </c>
      <c r="J813" s="27" t="s">
        <v>126</v>
      </c>
      <c r="K813" s="27" t="s">
        <v>43</v>
      </c>
      <c r="L813" s="31" t="s">
        <v>1651</v>
      </c>
      <c r="M813" s="32">
        <v>0.44</v>
      </c>
      <c r="N813" s="27" t="s">
        <v>33</v>
      </c>
      <c r="O813" s="27" t="s">
        <v>53</v>
      </c>
      <c r="P813" s="27" t="s">
        <v>187</v>
      </c>
      <c r="Q813" s="27" t="s">
        <v>1652</v>
      </c>
      <c r="R813" s="33">
        <v>75061</v>
      </c>
      <c r="S813" s="34">
        <v>42078</v>
      </c>
      <c r="T813" s="34">
        <v>42079</v>
      </c>
      <c r="U813" s="29">
        <v>63.059100000000001</v>
      </c>
      <c r="V813" s="26">
        <v>3</v>
      </c>
      <c r="W813" s="29">
        <v>91.39</v>
      </c>
      <c r="X813" s="26">
        <v>90859</v>
      </c>
      <c r="Y813" s="35">
        <v>125.89999999999999</v>
      </c>
      <c r="Z813" s="1" t="s">
        <v>3012</v>
      </c>
      <c r="AA813" s="36">
        <v>7.4232000000000005</v>
      </c>
      <c r="AB813" s="54">
        <v>51.178400000000003</v>
      </c>
      <c r="AC813" s="54">
        <v>13.403866666666667</v>
      </c>
      <c r="AD813" s="36">
        <v>16.987700000000004</v>
      </c>
    </row>
    <row r="814" spans="1:30" s="37" customFormat="1" ht="15.75" customHeight="1" x14ac:dyDescent="0.2">
      <c r="A814" s="26">
        <v>727</v>
      </c>
      <c r="B814" s="27" t="s">
        <v>1656</v>
      </c>
      <c r="C814" s="27" t="s">
        <v>116</v>
      </c>
      <c r="D814" s="28">
        <v>0.1</v>
      </c>
      <c r="E814" s="29">
        <v>17.98</v>
      </c>
      <c r="F814" s="29">
        <v>4</v>
      </c>
      <c r="G814" s="30" t="s">
        <v>39</v>
      </c>
      <c r="H814" s="27" t="s">
        <v>40</v>
      </c>
      <c r="I814" s="27" t="s">
        <v>41</v>
      </c>
      <c r="J814" s="27" t="s">
        <v>42</v>
      </c>
      <c r="K814" s="27" t="s">
        <v>73</v>
      </c>
      <c r="L814" s="31" t="s">
        <v>1657</v>
      </c>
      <c r="M814" s="32">
        <v>0.79</v>
      </c>
      <c r="N814" s="27" t="s">
        <v>33</v>
      </c>
      <c r="O814" s="27" t="s">
        <v>111</v>
      </c>
      <c r="P814" s="27" t="s">
        <v>331</v>
      </c>
      <c r="Q814" s="27" t="s">
        <v>1658</v>
      </c>
      <c r="R814" s="33">
        <v>4240</v>
      </c>
      <c r="S814" s="34">
        <v>42078</v>
      </c>
      <c r="T814" s="34">
        <v>42079</v>
      </c>
      <c r="U814" s="29">
        <v>-99.55</v>
      </c>
      <c r="V814" s="26">
        <v>4</v>
      </c>
      <c r="W814" s="29">
        <v>66.319999999999993</v>
      </c>
      <c r="X814" s="26">
        <v>90359</v>
      </c>
      <c r="Y814" s="35">
        <v>17.88</v>
      </c>
      <c r="Z814" s="1" t="s">
        <v>3014</v>
      </c>
      <c r="AA814" s="36">
        <v>7.1920000000000002</v>
      </c>
      <c r="AB814" s="54">
        <v>13.927199999999996</v>
      </c>
      <c r="AC814" s="54">
        <v>13.098199999999999</v>
      </c>
      <c r="AD814" s="36">
        <v>154.678</v>
      </c>
    </row>
    <row r="815" spans="1:30" s="37" customFormat="1" ht="15.75" customHeight="1" x14ac:dyDescent="0.2">
      <c r="A815" s="26">
        <v>1646</v>
      </c>
      <c r="B815" s="27" t="s">
        <v>1667</v>
      </c>
      <c r="C815" s="27" t="s">
        <v>3094</v>
      </c>
      <c r="D815" s="28">
        <v>0.06</v>
      </c>
      <c r="E815" s="29">
        <v>3.29</v>
      </c>
      <c r="F815" s="29">
        <v>1.35</v>
      </c>
      <c r="G815" s="30" t="s">
        <v>39</v>
      </c>
      <c r="H815" s="27" t="s">
        <v>3095</v>
      </c>
      <c r="I815" s="27" t="s">
        <v>49</v>
      </c>
      <c r="J815" s="27" t="s">
        <v>176</v>
      </c>
      <c r="K815" s="27" t="s">
        <v>51</v>
      </c>
      <c r="L815" s="31" t="s">
        <v>1668</v>
      </c>
      <c r="M815" s="32">
        <v>0.4</v>
      </c>
      <c r="N815" s="27" t="s">
        <v>33</v>
      </c>
      <c r="O815" s="27" t="s">
        <v>111</v>
      </c>
      <c r="P815" s="27" t="s">
        <v>112</v>
      </c>
      <c r="Q815" s="27" t="s">
        <v>1669</v>
      </c>
      <c r="R815" s="33">
        <v>11714</v>
      </c>
      <c r="S815" s="34">
        <v>42078</v>
      </c>
      <c r="T815" s="34">
        <v>42080</v>
      </c>
      <c r="U815" s="29">
        <v>8.5299999999999994</v>
      </c>
      <c r="V815" s="26">
        <v>11</v>
      </c>
      <c r="W815" s="29">
        <v>35.97</v>
      </c>
      <c r="X815" s="26">
        <v>90932</v>
      </c>
      <c r="Y815" s="35">
        <v>29.34</v>
      </c>
      <c r="Z815" s="1" t="s">
        <v>3014</v>
      </c>
      <c r="AA815" s="36">
        <v>2.1713999999999998</v>
      </c>
      <c r="AB815" s="54">
        <v>21.581999999999997</v>
      </c>
      <c r="AC815" s="54">
        <v>1.3080000000000001</v>
      </c>
      <c r="AD815" s="36">
        <v>23.918599999999998</v>
      </c>
    </row>
    <row r="816" spans="1:30" s="37" customFormat="1" ht="15.75" customHeight="1" x14ac:dyDescent="0.2">
      <c r="A816" s="26">
        <v>871</v>
      </c>
      <c r="B816" s="27" t="s">
        <v>1665</v>
      </c>
      <c r="C816" s="27" t="s">
        <v>3094</v>
      </c>
      <c r="D816" s="28">
        <v>0.03</v>
      </c>
      <c r="E816" s="29">
        <v>14.2</v>
      </c>
      <c r="F816" s="29">
        <v>5.3</v>
      </c>
      <c r="G816" s="30" t="s">
        <v>39</v>
      </c>
      <c r="H816" s="27" t="s">
        <v>71</v>
      </c>
      <c r="I816" s="27" t="s">
        <v>29</v>
      </c>
      <c r="J816" s="27" t="s">
        <v>126</v>
      </c>
      <c r="K816" s="27" t="s">
        <v>51</v>
      </c>
      <c r="L816" s="31" t="s">
        <v>288</v>
      </c>
      <c r="M816" s="32">
        <v>0.46</v>
      </c>
      <c r="N816" s="27" t="s">
        <v>33</v>
      </c>
      <c r="O816" s="27" t="s">
        <v>60</v>
      </c>
      <c r="P816" s="27" t="s">
        <v>296</v>
      </c>
      <c r="Q816" s="27" t="s">
        <v>1666</v>
      </c>
      <c r="R816" s="33">
        <v>89502</v>
      </c>
      <c r="S816" s="34">
        <v>42078</v>
      </c>
      <c r="T816" s="34">
        <v>42080</v>
      </c>
      <c r="U816" s="29">
        <v>21.555599999999998</v>
      </c>
      <c r="V816" s="26">
        <v>2</v>
      </c>
      <c r="W816" s="29">
        <v>31.24</v>
      </c>
      <c r="X816" s="26">
        <v>90577</v>
      </c>
      <c r="Y816" s="35">
        <v>1.75</v>
      </c>
      <c r="Z816" s="1" t="s">
        <v>3013</v>
      </c>
      <c r="AA816" s="36">
        <v>0.85199999999999998</v>
      </c>
      <c r="AB816" s="54">
        <v>16.869600000000002</v>
      </c>
      <c r="AC816" s="54">
        <v>7.1852</v>
      </c>
      <c r="AD816" s="36">
        <v>3.5323999999999991</v>
      </c>
    </row>
    <row r="817" spans="1:30" s="37" customFormat="1" ht="15.75" customHeight="1" x14ac:dyDescent="0.2">
      <c r="A817" s="26">
        <v>594</v>
      </c>
      <c r="B817" s="27" t="s">
        <v>1644</v>
      </c>
      <c r="C817" s="27" t="s">
        <v>26</v>
      </c>
      <c r="D817" s="28">
        <v>0.09</v>
      </c>
      <c r="E817" s="29">
        <v>13.79</v>
      </c>
      <c r="F817" s="29">
        <v>8.7799999999999994</v>
      </c>
      <c r="G817" s="30" t="s">
        <v>39</v>
      </c>
      <c r="H817" s="27" t="s">
        <v>40</v>
      </c>
      <c r="I817" s="27" t="s">
        <v>29</v>
      </c>
      <c r="J817" s="27" t="s">
        <v>126</v>
      </c>
      <c r="K817" s="27" t="s">
        <v>73</v>
      </c>
      <c r="L817" s="31" t="s">
        <v>1326</v>
      </c>
      <c r="M817" s="32">
        <v>0.43</v>
      </c>
      <c r="N817" s="27" t="s">
        <v>33</v>
      </c>
      <c r="O817" s="27" t="s">
        <v>53</v>
      </c>
      <c r="P817" s="27" t="s">
        <v>54</v>
      </c>
      <c r="Q817" s="27" t="s">
        <v>1645</v>
      </c>
      <c r="R817" s="33">
        <v>46016</v>
      </c>
      <c r="S817" s="34">
        <v>42078</v>
      </c>
      <c r="T817" s="34">
        <v>42080</v>
      </c>
      <c r="U817" s="29">
        <v>-22.12</v>
      </c>
      <c r="V817" s="26">
        <v>1</v>
      </c>
      <c r="W817" s="29">
        <v>17.440000000000001</v>
      </c>
      <c r="X817" s="26">
        <v>86309</v>
      </c>
      <c r="Y817" s="35">
        <v>14.17</v>
      </c>
      <c r="Z817" s="1" t="s">
        <v>3012</v>
      </c>
      <c r="AA817" s="36">
        <v>1.2410999999999999</v>
      </c>
      <c r="AB817" s="54">
        <v>9.9408000000000012</v>
      </c>
      <c r="AC817" s="54">
        <v>7.4992000000000001</v>
      </c>
      <c r="AD817" s="36">
        <v>29.538900000000005</v>
      </c>
    </row>
    <row r="818" spans="1:30" s="37" customFormat="1" ht="15.75" customHeight="1" x14ac:dyDescent="0.2">
      <c r="A818" s="26">
        <v>2372</v>
      </c>
      <c r="B818" s="27" t="s">
        <v>1662</v>
      </c>
      <c r="C818" s="27" t="s">
        <v>116</v>
      </c>
      <c r="D818" s="28">
        <v>0.01</v>
      </c>
      <c r="E818" s="29">
        <v>1.76</v>
      </c>
      <c r="F818" s="29">
        <v>0.7</v>
      </c>
      <c r="G818" s="30" t="s">
        <v>39</v>
      </c>
      <c r="H818" s="27" t="s">
        <v>94</v>
      </c>
      <c r="I818" s="27" t="s">
        <v>49</v>
      </c>
      <c r="J818" s="27" t="s">
        <v>50</v>
      </c>
      <c r="K818" s="27" t="s">
        <v>51</v>
      </c>
      <c r="L818" s="31" t="s">
        <v>1663</v>
      </c>
      <c r="M818" s="32">
        <v>0.56000000000000005</v>
      </c>
      <c r="N818" s="27" t="s">
        <v>33</v>
      </c>
      <c r="O818" s="27" t="s">
        <v>53</v>
      </c>
      <c r="P818" s="27" t="s">
        <v>84</v>
      </c>
      <c r="Q818" s="27" t="s">
        <v>1664</v>
      </c>
      <c r="R818" s="33">
        <v>55803</v>
      </c>
      <c r="S818" s="34">
        <v>42078</v>
      </c>
      <c r="T818" s="34">
        <v>42079</v>
      </c>
      <c r="U818" s="29">
        <v>-1.56</v>
      </c>
      <c r="V818" s="26">
        <v>4</v>
      </c>
      <c r="W818" s="29">
        <v>7.2</v>
      </c>
      <c r="X818" s="26">
        <v>90714</v>
      </c>
      <c r="Y818" s="35">
        <v>3.23</v>
      </c>
      <c r="Z818" s="1" t="s">
        <v>3012</v>
      </c>
      <c r="AA818" s="36">
        <v>7.0400000000000004E-2</v>
      </c>
      <c r="AB818" s="54">
        <v>3.1679999999999997</v>
      </c>
      <c r="AC818" s="54">
        <v>1.0080000000000002</v>
      </c>
      <c r="AD818" s="36">
        <v>7.9896000000000003</v>
      </c>
    </row>
    <row r="819" spans="1:30" s="37" customFormat="1" ht="15.75" customHeight="1" x14ac:dyDescent="0.2">
      <c r="A819" s="26">
        <v>1241</v>
      </c>
      <c r="B819" s="27" t="s">
        <v>1684</v>
      </c>
      <c r="C819" s="27" t="s">
        <v>3094</v>
      </c>
      <c r="D819" s="28">
        <v>0</v>
      </c>
      <c r="E819" s="29">
        <v>387.99</v>
      </c>
      <c r="F819" s="29">
        <v>19.989999999999998</v>
      </c>
      <c r="G819" s="30" t="s">
        <v>39</v>
      </c>
      <c r="H819" s="27" t="s">
        <v>94</v>
      </c>
      <c r="I819" s="27" t="s">
        <v>49</v>
      </c>
      <c r="J819" s="27" t="s">
        <v>72</v>
      </c>
      <c r="K819" s="27" t="s">
        <v>73</v>
      </c>
      <c r="L819" s="31" t="s">
        <v>1685</v>
      </c>
      <c r="M819" s="32">
        <v>0.38</v>
      </c>
      <c r="N819" s="27" t="s">
        <v>33</v>
      </c>
      <c r="O819" s="27" t="s">
        <v>34</v>
      </c>
      <c r="P819" s="27" t="s">
        <v>164</v>
      </c>
      <c r="Q819" s="27" t="s">
        <v>1204</v>
      </c>
      <c r="R819" s="33">
        <v>36830</v>
      </c>
      <c r="S819" s="34">
        <v>42079</v>
      </c>
      <c r="T819" s="34">
        <v>42080</v>
      </c>
      <c r="U819" s="29">
        <v>-70.14</v>
      </c>
      <c r="V819" s="26">
        <v>23</v>
      </c>
      <c r="W819" s="29">
        <v>9280.7199999999993</v>
      </c>
      <c r="X819" s="26">
        <v>90880</v>
      </c>
      <c r="Y819" s="35">
        <v>4.1900000000000004</v>
      </c>
      <c r="Z819" s="1" t="s">
        <v>3011</v>
      </c>
      <c r="AA819" s="36">
        <v>0</v>
      </c>
      <c r="AB819" s="54">
        <v>5754.0463999999993</v>
      </c>
      <c r="AC819" s="54">
        <v>153.3336347826087</v>
      </c>
      <c r="AD819" s="36">
        <v>9330.869999999999</v>
      </c>
    </row>
    <row r="820" spans="1:30" s="37" customFormat="1" ht="15.75" customHeight="1" x14ac:dyDescent="0.2">
      <c r="A820" s="26">
        <v>2157</v>
      </c>
      <c r="B820" s="27" t="s">
        <v>1681</v>
      </c>
      <c r="C820" s="27" t="s">
        <v>48</v>
      </c>
      <c r="D820" s="28">
        <v>0.05</v>
      </c>
      <c r="E820" s="29">
        <v>442.14</v>
      </c>
      <c r="F820" s="29">
        <v>14.7</v>
      </c>
      <c r="G820" s="30" t="s">
        <v>27</v>
      </c>
      <c r="H820" s="27" t="s">
        <v>71</v>
      </c>
      <c r="I820" s="27" t="s">
        <v>41</v>
      </c>
      <c r="J820" s="27" t="s">
        <v>57</v>
      </c>
      <c r="K820" s="27" t="s">
        <v>58</v>
      </c>
      <c r="L820" s="31" t="s">
        <v>1312</v>
      </c>
      <c r="M820" s="32">
        <v>0.56000000000000005</v>
      </c>
      <c r="N820" s="27" t="s">
        <v>33</v>
      </c>
      <c r="O820" s="27" t="s">
        <v>53</v>
      </c>
      <c r="P820" s="27" t="s">
        <v>289</v>
      </c>
      <c r="Q820" s="27" t="s">
        <v>1683</v>
      </c>
      <c r="R820" s="33">
        <v>48093</v>
      </c>
      <c r="S820" s="34">
        <v>42079</v>
      </c>
      <c r="T820" s="34">
        <v>42088</v>
      </c>
      <c r="U820" s="29">
        <v>2963.48</v>
      </c>
      <c r="V820" s="26">
        <v>14</v>
      </c>
      <c r="W820" s="29">
        <v>5880.46</v>
      </c>
      <c r="X820" s="26">
        <v>90385</v>
      </c>
      <c r="Y820" s="35">
        <v>15.65</v>
      </c>
      <c r="Z820" s="1" t="s">
        <v>3012</v>
      </c>
      <c r="AA820" s="36">
        <v>309.49799999999999</v>
      </c>
      <c r="AB820" s="54">
        <v>2587.4023999999995</v>
      </c>
      <c r="AC820" s="54">
        <v>235.21840000000003</v>
      </c>
      <c r="AD820" s="36">
        <v>2592.7820000000002</v>
      </c>
    </row>
    <row r="821" spans="1:30" s="37" customFormat="1" ht="15.75" customHeight="1" x14ac:dyDescent="0.2">
      <c r="A821" s="26">
        <v>145</v>
      </c>
      <c r="B821" s="27" t="s">
        <v>528</v>
      </c>
      <c r="C821" s="27" t="s">
        <v>48</v>
      </c>
      <c r="D821" s="28">
        <v>7.0000000000000007E-2</v>
      </c>
      <c r="E821" s="29">
        <v>154.13</v>
      </c>
      <c r="F821" s="29">
        <v>69</v>
      </c>
      <c r="G821" s="30" t="s">
        <v>87</v>
      </c>
      <c r="H821" s="27" t="s">
        <v>71</v>
      </c>
      <c r="I821" s="27" t="s">
        <v>29</v>
      </c>
      <c r="J821" s="27" t="s">
        <v>30</v>
      </c>
      <c r="K821" s="27" t="s">
        <v>65</v>
      </c>
      <c r="L821" s="31" t="s">
        <v>924</v>
      </c>
      <c r="M821" s="32">
        <v>0.68</v>
      </c>
      <c r="N821" s="27" t="s">
        <v>33</v>
      </c>
      <c r="O821" s="27" t="s">
        <v>111</v>
      </c>
      <c r="P821" s="27" t="s">
        <v>320</v>
      </c>
      <c r="Q821" s="27" t="s">
        <v>530</v>
      </c>
      <c r="R821" s="33">
        <v>15122</v>
      </c>
      <c r="S821" s="34">
        <v>42079</v>
      </c>
      <c r="T821" s="34">
        <v>42079</v>
      </c>
      <c r="U821" s="29">
        <v>-634.73410000000001</v>
      </c>
      <c r="V821" s="26">
        <v>3</v>
      </c>
      <c r="W821" s="29">
        <v>453.62</v>
      </c>
      <c r="X821" s="26">
        <v>91089</v>
      </c>
      <c r="Y821" s="35">
        <v>68.73</v>
      </c>
      <c r="Z821" s="1" t="s">
        <v>3014</v>
      </c>
      <c r="AA821" s="36">
        <v>32.3673</v>
      </c>
      <c r="AB821" s="54">
        <v>145.15839999999997</v>
      </c>
      <c r="AC821" s="54">
        <v>102.82053333333334</v>
      </c>
      <c r="AD821" s="36">
        <v>986.98680000000002</v>
      </c>
    </row>
    <row r="822" spans="1:30" s="37" customFormat="1" ht="15.75" customHeight="1" x14ac:dyDescent="0.2">
      <c r="A822" s="26">
        <v>2323</v>
      </c>
      <c r="B822" s="27" t="s">
        <v>1675</v>
      </c>
      <c r="C822" s="27" t="s">
        <v>38</v>
      </c>
      <c r="D822" s="28">
        <v>0.08</v>
      </c>
      <c r="E822" s="29">
        <v>68.81</v>
      </c>
      <c r="F822" s="29">
        <v>60</v>
      </c>
      <c r="G822" s="30" t="s">
        <v>27</v>
      </c>
      <c r="H822" s="27" t="s">
        <v>3095</v>
      </c>
      <c r="I822" s="27" t="s">
        <v>49</v>
      </c>
      <c r="J822" s="27" t="s">
        <v>95</v>
      </c>
      <c r="K822" s="27" t="s">
        <v>58</v>
      </c>
      <c r="L822" s="31" t="s">
        <v>1676</v>
      </c>
      <c r="M822" s="32">
        <v>0.41</v>
      </c>
      <c r="N822" s="27" t="s">
        <v>33</v>
      </c>
      <c r="O822" s="27" t="s">
        <v>60</v>
      </c>
      <c r="P822" s="27" t="s">
        <v>90</v>
      </c>
      <c r="Q822" s="27" t="s">
        <v>1214</v>
      </c>
      <c r="R822" s="33">
        <v>92236</v>
      </c>
      <c r="S822" s="34">
        <v>42079</v>
      </c>
      <c r="T822" s="34">
        <v>42080</v>
      </c>
      <c r="U822" s="29">
        <v>-550.42999999999995</v>
      </c>
      <c r="V822" s="26">
        <v>5</v>
      </c>
      <c r="W822" s="29">
        <v>337.86</v>
      </c>
      <c r="X822" s="26">
        <v>88721</v>
      </c>
      <c r="Y822" s="35">
        <v>21.34</v>
      </c>
      <c r="Z822" s="1" t="s">
        <v>3013</v>
      </c>
      <c r="AA822" s="36">
        <v>27.524000000000001</v>
      </c>
      <c r="AB822" s="54">
        <v>199.33740000000003</v>
      </c>
      <c r="AC822" s="54">
        <v>27.704519999999999</v>
      </c>
      <c r="AD822" s="36">
        <v>800.76599999999996</v>
      </c>
    </row>
    <row r="823" spans="1:30" s="37" customFormat="1" ht="15.75" customHeight="1" x14ac:dyDescent="0.2">
      <c r="A823" s="26">
        <v>1068</v>
      </c>
      <c r="B823" s="27" t="s">
        <v>1678</v>
      </c>
      <c r="C823" s="27" t="s">
        <v>48</v>
      </c>
      <c r="D823" s="28">
        <v>0.04</v>
      </c>
      <c r="E823" s="29">
        <v>22.84</v>
      </c>
      <c r="F823" s="29">
        <v>16.87</v>
      </c>
      <c r="G823" s="30" t="s">
        <v>39</v>
      </c>
      <c r="H823" s="27" t="s">
        <v>71</v>
      </c>
      <c r="I823" s="27" t="s">
        <v>49</v>
      </c>
      <c r="J823" s="27" t="s">
        <v>88</v>
      </c>
      <c r="K823" s="27" t="s">
        <v>73</v>
      </c>
      <c r="L823" s="31" t="s">
        <v>1679</v>
      </c>
      <c r="M823" s="32">
        <v>0.39</v>
      </c>
      <c r="N823" s="27" t="s">
        <v>33</v>
      </c>
      <c r="O823" s="27" t="s">
        <v>53</v>
      </c>
      <c r="P823" s="27" t="s">
        <v>103</v>
      </c>
      <c r="Q823" s="27" t="s">
        <v>1680</v>
      </c>
      <c r="R823" s="33">
        <v>60409</v>
      </c>
      <c r="S823" s="34">
        <v>42079</v>
      </c>
      <c r="T823" s="34">
        <v>42079</v>
      </c>
      <c r="U823" s="29">
        <v>-97.28</v>
      </c>
      <c r="V823" s="26">
        <v>12</v>
      </c>
      <c r="W823" s="29">
        <v>286.39999999999998</v>
      </c>
      <c r="X823" s="26">
        <v>87109</v>
      </c>
      <c r="Y823" s="35">
        <v>154.06</v>
      </c>
      <c r="Z823" s="1" t="s">
        <v>3012</v>
      </c>
      <c r="AA823" s="36">
        <v>10.963200000000001</v>
      </c>
      <c r="AB823" s="54">
        <v>174.70399999999998</v>
      </c>
      <c r="AC823" s="54">
        <v>9.3079999999999998</v>
      </c>
      <c r="AD823" s="36">
        <v>355.84679999999997</v>
      </c>
    </row>
    <row r="824" spans="1:30" s="37" customFormat="1" ht="15.75" customHeight="1" x14ac:dyDescent="0.2">
      <c r="A824" s="26">
        <v>2157</v>
      </c>
      <c r="B824" s="27" t="s">
        <v>1681</v>
      </c>
      <c r="C824" s="27" t="s">
        <v>48</v>
      </c>
      <c r="D824" s="28">
        <v>0.05</v>
      </c>
      <c r="E824" s="29">
        <v>55.5</v>
      </c>
      <c r="F824" s="29">
        <v>52.2</v>
      </c>
      <c r="G824" s="30" t="s">
        <v>39</v>
      </c>
      <c r="H824" s="27" t="s">
        <v>71</v>
      </c>
      <c r="I824" s="27" t="s">
        <v>29</v>
      </c>
      <c r="J824" s="27" t="s">
        <v>126</v>
      </c>
      <c r="K824" s="27" t="s">
        <v>144</v>
      </c>
      <c r="L824" s="31" t="s">
        <v>1682</v>
      </c>
      <c r="M824" s="32">
        <v>0.72</v>
      </c>
      <c r="N824" s="27" t="s">
        <v>33</v>
      </c>
      <c r="O824" s="27" t="s">
        <v>53</v>
      </c>
      <c r="P824" s="27" t="s">
        <v>289</v>
      </c>
      <c r="Q824" s="27" t="s">
        <v>1683</v>
      </c>
      <c r="R824" s="33">
        <v>48093</v>
      </c>
      <c r="S824" s="34">
        <v>42079</v>
      </c>
      <c r="T824" s="34">
        <v>42079</v>
      </c>
      <c r="U824" s="29">
        <v>-118.54</v>
      </c>
      <c r="V824" s="26">
        <v>4</v>
      </c>
      <c r="W824" s="29">
        <v>253.87</v>
      </c>
      <c r="X824" s="26">
        <v>90385</v>
      </c>
      <c r="Y824" s="35">
        <v>22.8</v>
      </c>
      <c r="Z824" s="1" t="s">
        <v>3012</v>
      </c>
      <c r="AA824" s="36">
        <v>11.100000000000001</v>
      </c>
      <c r="AB824" s="54">
        <v>71.083600000000004</v>
      </c>
      <c r="AC824" s="54">
        <v>45.696599999999997</v>
      </c>
      <c r="AD824" s="36">
        <v>309.11</v>
      </c>
    </row>
    <row r="825" spans="1:30" s="37" customFormat="1" ht="15.75" customHeight="1" x14ac:dyDescent="0.2">
      <c r="A825" s="26">
        <v>2323</v>
      </c>
      <c r="B825" s="27" t="s">
        <v>1675</v>
      </c>
      <c r="C825" s="27" t="s">
        <v>38</v>
      </c>
      <c r="D825" s="28">
        <v>0.04</v>
      </c>
      <c r="E825" s="29">
        <v>21.38</v>
      </c>
      <c r="F825" s="29">
        <v>8.99</v>
      </c>
      <c r="G825" s="30" t="s">
        <v>39</v>
      </c>
      <c r="H825" s="27" t="s">
        <v>3095</v>
      </c>
      <c r="I825" s="27" t="s">
        <v>49</v>
      </c>
      <c r="J825" s="27" t="s">
        <v>50</v>
      </c>
      <c r="K825" s="27" t="s">
        <v>43</v>
      </c>
      <c r="L825" s="31" t="s">
        <v>1677</v>
      </c>
      <c r="M825" s="32">
        <v>0.59</v>
      </c>
      <c r="N825" s="27" t="s">
        <v>33</v>
      </c>
      <c r="O825" s="27" t="s">
        <v>60</v>
      </c>
      <c r="P825" s="27" t="s">
        <v>90</v>
      </c>
      <c r="Q825" s="27" t="s">
        <v>1214</v>
      </c>
      <c r="R825" s="33">
        <v>92236</v>
      </c>
      <c r="S825" s="34">
        <v>42079</v>
      </c>
      <c r="T825" s="34">
        <v>42081</v>
      </c>
      <c r="U825" s="29">
        <v>-52.12</v>
      </c>
      <c r="V825" s="26">
        <v>4</v>
      </c>
      <c r="W825" s="29">
        <v>84.21</v>
      </c>
      <c r="X825" s="26">
        <v>88721</v>
      </c>
      <c r="Y825" s="35">
        <v>55.45</v>
      </c>
      <c r="Z825" s="1" t="s">
        <v>3013</v>
      </c>
      <c r="AA825" s="36">
        <v>3.4207999999999998</v>
      </c>
      <c r="AB825" s="54">
        <v>34.5261</v>
      </c>
      <c r="AC825" s="54">
        <v>12.420974999999999</v>
      </c>
      <c r="AD825" s="36">
        <v>123.91919999999999</v>
      </c>
    </row>
    <row r="826" spans="1:30" s="37" customFormat="1" ht="15.75" customHeight="1" x14ac:dyDescent="0.2">
      <c r="A826" s="26">
        <v>2272</v>
      </c>
      <c r="B826" s="27" t="s">
        <v>1673</v>
      </c>
      <c r="C826" s="27" t="s">
        <v>38</v>
      </c>
      <c r="D826" s="28">
        <v>0.08</v>
      </c>
      <c r="E826" s="29">
        <v>15.73</v>
      </c>
      <c r="F826" s="29">
        <v>7.42</v>
      </c>
      <c r="G826" s="30" t="s">
        <v>87</v>
      </c>
      <c r="H826" s="27" t="s">
        <v>94</v>
      </c>
      <c r="I826" s="27" t="s">
        <v>49</v>
      </c>
      <c r="J826" s="27" t="s">
        <v>568</v>
      </c>
      <c r="K826" s="27" t="s">
        <v>43</v>
      </c>
      <c r="L826" s="31" t="s">
        <v>955</v>
      </c>
      <c r="M826" s="32">
        <v>0.56000000000000005</v>
      </c>
      <c r="N826" s="27" t="s">
        <v>33</v>
      </c>
      <c r="O826" s="27" t="s">
        <v>53</v>
      </c>
      <c r="P826" s="27" t="s">
        <v>187</v>
      </c>
      <c r="Q826" s="27" t="s">
        <v>1674</v>
      </c>
      <c r="R826" s="33">
        <v>76543</v>
      </c>
      <c r="S826" s="34">
        <v>42079</v>
      </c>
      <c r="T826" s="34">
        <v>42081</v>
      </c>
      <c r="U826" s="29">
        <v>-37.6</v>
      </c>
      <c r="V826" s="26">
        <v>5</v>
      </c>
      <c r="W826" s="29">
        <v>78.08</v>
      </c>
      <c r="X826" s="26">
        <v>90110</v>
      </c>
      <c r="Y826" s="35">
        <v>442.09</v>
      </c>
      <c r="Z826" s="1" t="s">
        <v>3012</v>
      </c>
      <c r="AA826" s="36">
        <v>6.2919999999999998</v>
      </c>
      <c r="AB826" s="54">
        <v>34.355199999999996</v>
      </c>
      <c r="AC826" s="54">
        <v>8.7449600000000007</v>
      </c>
      <c r="AD826" s="36">
        <v>101.96799999999999</v>
      </c>
    </row>
    <row r="827" spans="1:30" s="37" customFormat="1" ht="15.75" customHeight="1" x14ac:dyDescent="0.2">
      <c r="A827" s="26">
        <v>853</v>
      </c>
      <c r="B827" s="27" t="s">
        <v>1670</v>
      </c>
      <c r="C827" s="27" t="s">
        <v>38</v>
      </c>
      <c r="D827" s="28">
        <v>0.05</v>
      </c>
      <c r="E827" s="29">
        <v>4.24</v>
      </c>
      <c r="F827" s="29">
        <v>5.41</v>
      </c>
      <c r="G827" s="30" t="s">
        <v>39</v>
      </c>
      <c r="H827" s="27" t="s">
        <v>3095</v>
      </c>
      <c r="I827" s="27" t="s">
        <v>49</v>
      </c>
      <c r="J827" s="27" t="s">
        <v>72</v>
      </c>
      <c r="K827" s="27" t="s">
        <v>73</v>
      </c>
      <c r="L827" s="31" t="s">
        <v>1671</v>
      </c>
      <c r="M827" s="32">
        <v>0.35</v>
      </c>
      <c r="N827" s="27" t="s">
        <v>33</v>
      </c>
      <c r="O827" s="27" t="s">
        <v>60</v>
      </c>
      <c r="P827" s="27" t="s">
        <v>90</v>
      </c>
      <c r="Q827" s="27" t="s">
        <v>1672</v>
      </c>
      <c r="R827" s="33">
        <v>92345</v>
      </c>
      <c r="S827" s="34">
        <v>42079</v>
      </c>
      <c r="T827" s="34">
        <v>42081</v>
      </c>
      <c r="U827" s="29">
        <v>-89.216999999999999</v>
      </c>
      <c r="V827" s="26">
        <v>12</v>
      </c>
      <c r="W827" s="29">
        <v>50.83</v>
      </c>
      <c r="X827" s="26">
        <v>88570</v>
      </c>
      <c r="Y827" s="35">
        <v>387.99</v>
      </c>
      <c r="Z827" s="1" t="s">
        <v>3013</v>
      </c>
      <c r="AA827" s="36">
        <v>2.5440000000000005</v>
      </c>
      <c r="AB827" s="54">
        <v>33.039499999999997</v>
      </c>
      <c r="AC827" s="54">
        <v>1.4825416666666664</v>
      </c>
      <c r="AD827" s="36">
        <v>132.09300000000002</v>
      </c>
    </row>
    <row r="828" spans="1:30" s="37" customFormat="1" ht="15.75" customHeight="1" x14ac:dyDescent="0.2">
      <c r="A828" s="26">
        <v>1711</v>
      </c>
      <c r="B828" s="27" t="s">
        <v>1686</v>
      </c>
      <c r="C828" s="27" t="s">
        <v>3094</v>
      </c>
      <c r="D828" s="28">
        <v>7.0000000000000007E-2</v>
      </c>
      <c r="E828" s="29">
        <v>7.59</v>
      </c>
      <c r="F828" s="29">
        <v>4</v>
      </c>
      <c r="G828" s="30" t="s">
        <v>39</v>
      </c>
      <c r="H828" s="27" t="s">
        <v>94</v>
      </c>
      <c r="I828" s="27" t="s">
        <v>29</v>
      </c>
      <c r="J828" s="27" t="s">
        <v>126</v>
      </c>
      <c r="K828" s="27" t="s">
        <v>51</v>
      </c>
      <c r="L828" s="31" t="s">
        <v>1687</v>
      </c>
      <c r="M828" s="32">
        <v>0.42</v>
      </c>
      <c r="N828" s="27" t="s">
        <v>33</v>
      </c>
      <c r="O828" s="27" t="s">
        <v>34</v>
      </c>
      <c r="P828" s="27" t="s">
        <v>75</v>
      </c>
      <c r="Q828" s="27" t="s">
        <v>1688</v>
      </c>
      <c r="R828" s="33">
        <v>30062</v>
      </c>
      <c r="S828" s="34">
        <v>42079</v>
      </c>
      <c r="T828" s="34">
        <v>42081</v>
      </c>
      <c r="U828" s="29">
        <v>-167.048</v>
      </c>
      <c r="V828" s="26">
        <v>3</v>
      </c>
      <c r="W828" s="29">
        <v>22.48</v>
      </c>
      <c r="X828" s="26">
        <v>87747</v>
      </c>
      <c r="Y828" s="35">
        <v>7.52</v>
      </c>
      <c r="Z828" s="1" t="s">
        <v>3011</v>
      </c>
      <c r="AA828" s="36">
        <v>1.5939000000000001</v>
      </c>
      <c r="AB828" s="54">
        <v>13.038400000000001</v>
      </c>
      <c r="AC828" s="54">
        <v>3.1471999999999998</v>
      </c>
      <c r="AD828" s="36">
        <v>183.9341</v>
      </c>
    </row>
    <row r="829" spans="1:30" s="37" customFormat="1" ht="15.75" customHeight="1" x14ac:dyDescent="0.2">
      <c r="A829" s="26">
        <v>2030</v>
      </c>
      <c r="B829" s="27" t="s">
        <v>1689</v>
      </c>
      <c r="C829" s="27" t="s">
        <v>26</v>
      </c>
      <c r="D829" s="28">
        <v>0</v>
      </c>
      <c r="E829" s="29">
        <v>195.99</v>
      </c>
      <c r="F829" s="29">
        <v>4.2</v>
      </c>
      <c r="G829" s="30" t="s">
        <v>39</v>
      </c>
      <c r="H829" s="27" t="s">
        <v>94</v>
      </c>
      <c r="I829" s="27" t="s">
        <v>41</v>
      </c>
      <c r="J829" s="27" t="s">
        <v>135</v>
      </c>
      <c r="K829" s="27" t="s">
        <v>73</v>
      </c>
      <c r="L829" s="31" t="s">
        <v>1691</v>
      </c>
      <c r="M829" s="32">
        <v>0.6</v>
      </c>
      <c r="N829" s="27" t="s">
        <v>33</v>
      </c>
      <c r="O829" s="27" t="s">
        <v>53</v>
      </c>
      <c r="P829" s="27" t="s">
        <v>187</v>
      </c>
      <c r="Q829" s="27" t="s">
        <v>1027</v>
      </c>
      <c r="R829" s="33">
        <v>75401</v>
      </c>
      <c r="S829" s="34">
        <v>42080</v>
      </c>
      <c r="T829" s="34">
        <v>42082</v>
      </c>
      <c r="U829" s="29">
        <v>1585.5029999999999</v>
      </c>
      <c r="V829" s="26">
        <v>16</v>
      </c>
      <c r="W829" s="29">
        <v>2692.12</v>
      </c>
      <c r="X829" s="26">
        <v>91059</v>
      </c>
      <c r="Y829" s="35">
        <v>120.92999999999999</v>
      </c>
      <c r="Z829" s="1" t="s">
        <v>3012</v>
      </c>
      <c r="AA829" s="36">
        <v>0</v>
      </c>
      <c r="AB829" s="54">
        <v>1076.848</v>
      </c>
      <c r="AC829" s="54">
        <v>100.9545</v>
      </c>
      <c r="AD829" s="36">
        <v>1102.4169999999999</v>
      </c>
    </row>
    <row r="830" spans="1:30" s="37" customFormat="1" ht="15.75" customHeight="1" x14ac:dyDescent="0.2">
      <c r="A830" s="26">
        <v>2030</v>
      </c>
      <c r="B830" s="27" t="s">
        <v>1689</v>
      </c>
      <c r="C830" s="27" t="s">
        <v>26</v>
      </c>
      <c r="D830" s="28">
        <v>0.04</v>
      </c>
      <c r="E830" s="29">
        <v>120.97</v>
      </c>
      <c r="F830" s="29">
        <v>7.11</v>
      </c>
      <c r="G830" s="30" t="s">
        <v>39</v>
      </c>
      <c r="H830" s="27" t="s">
        <v>94</v>
      </c>
      <c r="I830" s="27" t="s">
        <v>41</v>
      </c>
      <c r="J830" s="27" t="s">
        <v>57</v>
      </c>
      <c r="K830" s="27" t="s">
        <v>144</v>
      </c>
      <c r="L830" s="31" t="s">
        <v>1690</v>
      </c>
      <c r="M830" s="32">
        <v>0.36</v>
      </c>
      <c r="N830" s="27" t="s">
        <v>33</v>
      </c>
      <c r="O830" s="27" t="s">
        <v>53</v>
      </c>
      <c r="P830" s="27" t="s">
        <v>187</v>
      </c>
      <c r="Q830" s="27" t="s">
        <v>1027</v>
      </c>
      <c r="R830" s="33">
        <v>75401</v>
      </c>
      <c r="S830" s="34">
        <v>42080</v>
      </c>
      <c r="T830" s="34">
        <v>42080</v>
      </c>
      <c r="U830" s="29">
        <v>1320.5496000000001</v>
      </c>
      <c r="V830" s="26">
        <v>16</v>
      </c>
      <c r="W830" s="29">
        <v>1913.84</v>
      </c>
      <c r="X830" s="26">
        <v>91059</v>
      </c>
      <c r="Y830" s="35">
        <v>195.99</v>
      </c>
      <c r="Z830" s="1" t="s">
        <v>3012</v>
      </c>
      <c r="AA830" s="36">
        <v>77.4208</v>
      </c>
      <c r="AB830" s="54">
        <v>1224.8576</v>
      </c>
      <c r="AC830" s="54">
        <v>43.061399999999999</v>
      </c>
      <c r="AD830" s="36">
        <v>508.75959999999986</v>
      </c>
    </row>
    <row r="831" spans="1:30" s="37" customFormat="1" ht="15.75" customHeight="1" x14ac:dyDescent="0.2">
      <c r="A831" s="26">
        <v>2647</v>
      </c>
      <c r="B831" s="27" t="s">
        <v>1692</v>
      </c>
      <c r="C831" s="27" t="s">
        <v>48</v>
      </c>
      <c r="D831" s="28">
        <v>0.01</v>
      </c>
      <c r="E831" s="29">
        <v>39.979999999999997</v>
      </c>
      <c r="F831" s="29">
        <v>9.1999999999999993</v>
      </c>
      <c r="G831" s="30" t="s">
        <v>39</v>
      </c>
      <c r="H831" s="27" t="s">
        <v>94</v>
      </c>
      <c r="I831" s="27" t="s">
        <v>29</v>
      </c>
      <c r="J831" s="27" t="s">
        <v>126</v>
      </c>
      <c r="K831" s="27" t="s">
        <v>51</v>
      </c>
      <c r="L831" s="31" t="s">
        <v>1695</v>
      </c>
      <c r="M831" s="32">
        <v>0.65</v>
      </c>
      <c r="N831" s="27" t="s">
        <v>33</v>
      </c>
      <c r="O831" s="27" t="s">
        <v>60</v>
      </c>
      <c r="P831" s="27" t="s">
        <v>90</v>
      </c>
      <c r="Q831" s="27" t="s">
        <v>1694</v>
      </c>
      <c r="R831" s="33">
        <v>93309</v>
      </c>
      <c r="S831" s="34">
        <v>42080</v>
      </c>
      <c r="T831" s="34">
        <v>42082</v>
      </c>
      <c r="U831" s="29">
        <v>117.52079999999999</v>
      </c>
      <c r="V831" s="26">
        <v>4</v>
      </c>
      <c r="W831" s="29">
        <v>170.32</v>
      </c>
      <c r="X831" s="26">
        <v>91386</v>
      </c>
      <c r="Y831" s="35">
        <v>10.88</v>
      </c>
      <c r="Z831" s="1" t="s">
        <v>3013</v>
      </c>
      <c r="AA831" s="36">
        <v>1.5992</v>
      </c>
      <c r="AB831" s="54">
        <v>59.611999999999995</v>
      </c>
      <c r="AC831" s="54">
        <v>27.677</v>
      </c>
      <c r="AD831" s="36">
        <v>42</v>
      </c>
    </row>
    <row r="832" spans="1:30" s="37" customFormat="1" ht="15.75" customHeight="1" x14ac:dyDescent="0.2">
      <c r="A832" s="26">
        <v>3001</v>
      </c>
      <c r="B832" s="27" t="s">
        <v>1702</v>
      </c>
      <c r="C832" s="27" t="s">
        <v>3094</v>
      </c>
      <c r="D832" s="28">
        <v>0.03</v>
      </c>
      <c r="E832" s="29">
        <v>5.4</v>
      </c>
      <c r="F832" s="29">
        <v>7.78</v>
      </c>
      <c r="G832" s="30" t="s">
        <v>39</v>
      </c>
      <c r="H832" s="27" t="s">
        <v>40</v>
      </c>
      <c r="I832" s="27" t="s">
        <v>49</v>
      </c>
      <c r="J832" s="27" t="s">
        <v>72</v>
      </c>
      <c r="K832" s="27" t="s">
        <v>73</v>
      </c>
      <c r="L832" s="31" t="s">
        <v>1484</v>
      </c>
      <c r="M832" s="32">
        <v>0.37</v>
      </c>
      <c r="N832" s="27" t="s">
        <v>33</v>
      </c>
      <c r="O832" s="27" t="s">
        <v>53</v>
      </c>
      <c r="P832" s="27" t="s">
        <v>289</v>
      </c>
      <c r="Q832" s="27" t="s">
        <v>1536</v>
      </c>
      <c r="R832" s="33">
        <v>48060</v>
      </c>
      <c r="S832" s="34">
        <v>42080</v>
      </c>
      <c r="T832" s="34">
        <v>42082</v>
      </c>
      <c r="U832" s="29">
        <v>-237.54400000000001</v>
      </c>
      <c r="V832" s="26">
        <v>21</v>
      </c>
      <c r="W832" s="29">
        <v>117.87</v>
      </c>
      <c r="X832" s="26">
        <v>87043</v>
      </c>
      <c r="Y832" s="35">
        <v>39.97</v>
      </c>
      <c r="Z832" s="1" t="s">
        <v>3012</v>
      </c>
      <c r="AA832" s="36">
        <v>3.4020000000000001</v>
      </c>
      <c r="AB832" s="54">
        <v>74.258099999999999</v>
      </c>
      <c r="AC832" s="54">
        <v>2.0767571428571427</v>
      </c>
      <c r="AD832" s="36">
        <v>344.23200000000003</v>
      </c>
    </row>
    <row r="833" spans="1:30" s="37" customFormat="1" ht="15.75" customHeight="1" x14ac:dyDescent="0.2">
      <c r="A833" s="26">
        <v>339</v>
      </c>
      <c r="B833" s="27" t="s">
        <v>1696</v>
      </c>
      <c r="C833" s="27" t="s">
        <v>116</v>
      </c>
      <c r="D833" s="28">
        <v>7.0000000000000007E-2</v>
      </c>
      <c r="E833" s="29">
        <v>7.59</v>
      </c>
      <c r="F833" s="29">
        <v>4</v>
      </c>
      <c r="G833" s="30" t="s">
        <v>39</v>
      </c>
      <c r="H833" s="27" t="s">
        <v>94</v>
      </c>
      <c r="I833" s="27" t="s">
        <v>29</v>
      </c>
      <c r="J833" s="27" t="s">
        <v>126</v>
      </c>
      <c r="K833" s="27" t="s">
        <v>51</v>
      </c>
      <c r="L833" s="31" t="s">
        <v>1687</v>
      </c>
      <c r="M833" s="32">
        <v>0.42</v>
      </c>
      <c r="N833" s="27" t="s">
        <v>33</v>
      </c>
      <c r="O833" s="27" t="s">
        <v>111</v>
      </c>
      <c r="P833" s="27" t="s">
        <v>317</v>
      </c>
      <c r="Q833" s="27" t="s">
        <v>1483</v>
      </c>
      <c r="R833" s="33">
        <v>43229</v>
      </c>
      <c r="S833" s="34">
        <v>42080</v>
      </c>
      <c r="T833" s="34">
        <v>42082</v>
      </c>
      <c r="U833" s="29">
        <v>24.39</v>
      </c>
      <c r="V833" s="26">
        <v>15</v>
      </c>
      <c r="W833" s="29">
        <v>111.88</v>
      </c>
      <c r="X833" s="26">
        <v>90583</v>
      </c>
      <c r="Y833" s="35">
        <v>7.6899999999999995</v>
      </c>
      <c r="Z833" s="1" t="s">
        <v>3014</v>
      </c>
      <c r="AA833" s="36">
        <v>7.9695</v>
      </c>
      <c r="AB833" s="54">
        <v>64.8904</v>
      </c>
      <c r="AC833" s="54">
        <v>3.1326399999999999</v>
      </c>
      <c r="AD833" s="36">
        <v>75.520499999999998</v>
      </c>
    </row>
    <row r="834" spans="1:30" s="37" customFormat="1" ht="15.75" customHeight="1" x14ac:dyDescent="0.2">
      <c r="A834" s="26">
        <v>1808</v>
      </c>
      <c r="B834" s="27" t="s">
        <v>1697</v>
      </c>
      <c r="C834" s="27" t="s">
        <v>116</v>
      </c>
      <c r="D834" s="28">
        <v>0.01</v>
      </c>
      <c r="E834" s="29">
        <v>8.1199999999999992</v>
      </c>
      <c r="F834" s="29">
        <v>2.83</v>
      </c>
      <c r="G834" s="30" t="s">
        <v>87</v>
      </c>
      <c r="H834" s="27" t="s">
        <v>71</v>
      </c>
      <c r="I834" s="27" t="s">
        <v>41</v>
      </c>
      <c r="J834" s="27" t="s">
        <v>42</v>
      </c>
      <c r="K834" s="27" t="s">
        <v>43</v>
      </c>
      <c r="L834" s="31" t="s">
        <v>1698</v>
      </c>
      <c r="M834" s="32">
        <v>0.77</v>
      </c>
      <c r="N834" s="27" t="s">
        <v>33</v>
      </c>
      <c r="O834" s="27" t="s">
        <v>111</v>
      </c>
      <c r="P834" s="27" t="s">
        <v>903</v>
      </c>
      <c r="Q834" s="27" t="s">
        <v>1699</v>
      </c>
      <c r="R834" s="33">
        <v>26101</v>
      </c>
      <c r="S834" s="34">
        <v>42080</v>
      </c>
      <c r="T834" s="34">
        <v>42081</v>
      </c>
      <c r="U834" s="29">
        <v>-40.76</v>
      </c>
      <c r="V834" s="26">
        <v>10</v>
      </c>
      <c r="W834" s="29">
        <v>88.64</v>
      </c>
      <c r="X834" s="26">
        <v>89251</v>
      </c>
      <c r="Y834" s="35">
        <v>7.52</v>
      </c>
      <c r="Z834" s="1" t="s">
        <v>3014</v>
      </c>
      <c r="AA834" s="36">
        <v>0.81199999999999994</v>
      </c>
      <c r="AB834" s="54">
        <v>20.3872</v>
      </c>
      <c r="AC834" s="54">
        <v>6.8252800000000011</v>
      </c>
      <c r="AD834" s="36">
        <v>125.75800000000001</v>
      </c>
    </row>
    <row r="835" spans="1:30" s="37" customFormat="1" ht="15.75" customHeight="1" x14ac:dyDescent="0.2">
      <c r="A835" s="26">
        <v>1364</v>
      </c>
      <c r="B835" s="27" t="s">
        <v>1700</v>
      </c>
      <c r="C835" s="27" t="s">
        <v>3094</v>
      </c>
      <c r="D835" s="28">
        <v>0.1</v>
      </c>
      <c r="E835" s="29">
        <v>5.98</v>
      </c>
      <c r="F835" s="29">
        <v>5.35</v>
      </c>
      <c r="G835" s="30" t="s">
        <v>39</v>
      </c>
      <c r="H835" s="27" t="s">
        <v>71</v>
      </c>
      <c r="I835" s="27" t="s">
        <v>49</v>
      </c>
      <c r="J835" s="27" t="s">
        <v>88</v>
      </c>
      <c r="K835" s="27" t="s">
        <v>73</v>
      </c>
      <c r="L835" s="31" t="s">
        <v>809</v>
      </c>
      <c r="M835" s="32">
        <v>0.4</v>
      </c>
      <c r="N835" s="27" t="s">
        <v>33</v>
      </c>
      <c r="O835" s="27" t="s">
        <v>111</v>
      </c>
      <c r="P835" s="27" t="s">
        <v>418</v>
      </c>
      <c r="Q835" s="27" t="s">
        <v>1701</v>
      </c>
      <c r="R835" s="33">
        <v>20746</v>
      </c>
      <c r="S835" s="34">
        <v>42080</v>
      </c>
      <c r="T835" s="34">
        <v>42080</v>
      </c>
      <c r="U835" s="29">
        <v>-90.26</v>
      </c>
      <c r="V835" s="26">
        <v>10</v>
      </c>
      <c r="W835" s="29">
        <v>57.34</v>
      </c>
      <c r="X835" s="26">
        <v>89994</v>
      </c>
      <c r="Y835" s="35">
        <v>8.11</v>
      </c>
      <c r="Z835" s="1" t="s">
        <v>3014</v>
      </c>
      <c r="AA835" s="36">
        <v>5.98</v>
      </c>
      <c r="AB835" s="54">
        <v>34.404000000000003</v>
      </c>
      <c r="AC835" s="54">
        <v>2.2936000000000001</v>
      </c>
      <c r="AD835" s="36">
        <v>136.27000000000001</v>
      </c>
    </row>
    <row r="836" spans="1:30" s="37" customFormat="1" ht="15.75" customHeight="1" x14ac:dyDescent="0.2">
      <c r="A836" s="26">
        <v>2647</v>
      </c>
      <c r="B836" s="27" t="s">
        <v>1692</v>
      </c>
      <c r="C836" s="27" t="s">
        <v>48</v>
      </c>
      <c r="D836" s="28">
        <v>0.1</v>
      </c>
      <c r="E836" s="29">
        <v>10.98</v>
      </c>
      <c r="F836" s="29">
        <v>3.99</v>
      </c>
      <c r="G836" s="30" t="s">
        <v>39</v>
      </c>
      <c r="H836" s="27" t="s">
        <v>94</v>
      </c>
      <c r="I836" s="27" t="s">
        <v>49</v>
      </c>
      <c r="J836" s="27" t="s">
        <v>95</v>
      </c>
      <c r="K836" s="27" t="s">
        <v>73</v>
      </c>
      <c r="L836" s="31" t="s">
        <v>1693</v>
      </c>
      <c r="M836" s="32">
        <v>0.57999999999999996</v>
      </c>
      <c r="N836" s="27" t="s">
        <v>33</v>
      </c>
      <c r="O836" s="27" t="s">
        <v>60</v>
      </c>
      <c r="P836" s="27" t="s">
        <v>90</v>
      </c>
      <c r="Q836" s="27" t="s">
        <v>1694</v>
      </c>
      <c r="R836" s="33">
        <v>93309</v>
      </c>
      <c r="S836" s="34">
        <v>42080</v>
      </c>
      <c r="T836" s="34">
        <v>42087</v>
      </c>
      <c r="U836" s="29">
        <v>-21.03</v>
      </c>
      <c r="V836" s="26">
        <v>5</v>
      </c>
      <c r="W836" s="29">
        <v>52.21</v>
      </c>
      <c r="X836" s="26">
        <v>91386</v>
      </c>
      <c r="Y836" s="35">
        <v>5.8800000000000008</v>
      </c>
      <c r="Z836" s="1" t="s">
        <v>3013</v>
      </c>
      <c r="AA836" s="36">
        <v>5.49</v>
      </c>
      <c r="AB836" s="54">
        <v>21.928200000000004</v>
      </c>
      <c r="AC836" s="54">
        <v>6.0563599999999997</v>
      </c>
      <c r="AD836" s="36">
        <v>63.76</v>
      </c>
    </row>
    <row r="837" spans="1:30" s="37" customFormat="1" ht="15.75" customHeight="1" x14ac:dyDescent="0.2">
      <c r="A837" s="26">
        <v>339</v>
      </c>
      <c r="B837" s="27" t="s">
        <v>1696</v>
      </c>
      <c r="C837" s="27" t="s">
        <v>116</v>
      </c>
      <c r="D837" s="28">
        <v>0.08</v>
      </c>
      <c r="E837" s="29">
        <v>7.77</v>
      </c>
      <c r="F837" s="29">
        <v>9.23</v>
      </c>
      <c r="G837" s="30" t="s">
        <v>39</v>
      </c>
      <c r="H837" s="27" t="s">
        <v>94</v>
      </c>
      <c r="I837" s="27" t="s">
        <v>49</v>
      </c>
      <c r="J837" s="27" t="s">
        <v>95</v>
      </c>
      <c r="K837" s="27" t="s">
        <v>73</v>
      </c>
      <c r="L837" s="31" t="s">
        <v>477</v>
      </c>
      <c r="M837" s="32">
        <v>0.57999999999999996</v>
      </c>
      <c r="N837" s="27" t="s">
        <v>33</v>
      </c>
      <c r="O837" s="27" t="s">
        <v>111</v>
      </c>
      <c r="P837" s="27" t="s">
        <v>317</v>
      </c>
      <c r="Q837" s="27" t="s">
        <v>1483</v>
      </c>
      <c r="R837" s="33">
        <v>43229</v>
      </c>
      <c r="S837" s="34">
        <v>42080</v>
      </c>
      <c r="T837" s="34">
        <v>42081</v>
      </c>
      <c r="U837" s="29">
        <v>-83.65</v>
      </c>
      <c r="V837" s="26">
        <v>5</v>
      </c>
      <c r="W837" s="29">
        <v>40.299999999999997</v>
      </c>
      <c r="X837" s="26">
        <v>90583</v>
      </c>
      <c r="Y837" s="35">
        <v>5.37</v>
      </c>
      <c r="Z837" s="1" t="s">
        <v>3014</v>
      </c>
      <c r="AA837" s="36">
        <v>3.1079999999999997</v>
      </c>
      <c r="AB837" s="54">
        <v>16.926000000000002</v>
      </c>
      <c r="AC837" s="54">
        <v>4.6747999999999985</v>
      </c>
      <c r="AD837" s="36">
        <v>111.61199999999999</v>
      </c>
    </row>
    <row r="838" spans="1:30" s="37" customFormat="1" ht="15.75" customHeight="1" x14ac:dyDescent="0.2">
      <c r="A838" s="26">
        <v>2747</v>
      </c>
      <c r="B838" s="27" t="s">
        <v>1006</v>
      </c>
      <c r="C838" s="27" t="s">
        <v>116</v>
      </c>
      <c r="D838" s="28">
        <v>0.01</v>
      </c>
      <c r="E838" s="29">
        <v>220.98</v>
      </c>
      <c r="F838" s="29">
        <v>64.66</v>
      </c>
      <c r="G838" s="30" t="s">
        <v>27</v>
      </c>
      <c r="H838" s="27" t="s">
        <v>94</v>
      </c>
      <c r="I838" s="27" t="s">
        <v>29</v>
      </c>
      <c r="J838" s="27" t="s">
        <v>117</v>
      </c>
      <c r="K838" s="27" t="s">
        <v>31</v>
      </c>
      <c r="L838" s="31" t="s">
        <v>1717</v>
      </c>
      <c r="M838" s="32">
        <v>0.62</v>
      </c>
      <c r="N838" s="27" t="s">
        <v>33</v>
      </c>
      <c r="O838" s="27" t="s">
        <v>111</v>
      </c>
      <c r="P838" s="27" t="s">
        <v>112</v>
      </c>
      <c r="Q838" s="27" t="s">
        <v>113</v>
      </c>
      <c r="R838" s="33">
        <v>10115</v>
      </c>
      <c r="S838" s="34">
        <v>42081</v>
      </c>
      <c r="T838" s="34">
        <v>42082</v>
      </c>
      <c r="U838" s="29">
        <v>1049.03</v>
      </c>
      <c r="V838" s="26">
        <v>44</v>
      </c>
      <c r="W838" s="29">
        <v>10364.36</v>
      </c>
      <c r="X838" s="26">
        <v>23751</v>
      </c>
      <c r="Y838" s="35">
        <v>5.8800000000000008</v>
      </c>
      <c r="Z838" s="1" t="s">
        <v>3014</v>
      </c>
      <c r="AA838" s="36">
        <v>97.231200000000001</v>
      </c>
      <c r="AB838" s="54">
        <v>3938.4568000000004</v>
      </c>
      <c r="AC838" s="54">
        <v>146.04325454545454</v>
      </c>
      <c r="AD838" s="36">
        <v>9153.4387999999999</v>
      </c>
    </row>
    <row r="839" spans="1:30" s="37" customFormat="1" ht="15.75" customHeight="1" x14ac:dyDescent="0.2">
      <c r="A839" s="26">
        <v>2745</v>
      </c>
      <c r="B839" s="27" t="s">
        <v>1716</v>
      </c>
      <c r="C839" s="27" t="s">
        <v>116</v>
      </c>
      <c r="D839" s="28">
        <v>0.01</v>
      </c>
      <c r="E839" s="29">
        <v>220.98</v>
      </c>
      <c r="F839" s="29">
        <v>64.66</v>
      </c>
      <c r="G839" s="30" t="s">
        <v>27</v>
      </c>
      <c r="H839" s="27" t="s">
        <v>94</v>
      </c>
      <c r="I839" s="27" t="s">
        <v>29</v>
      </c>
      <c r="J839" s="27" t="s">
        <v>117</v>
      </c>
      <c r="K839" s="27" t="s">
        <v>31</v>
      </c>
      <c r="L839" s="31" t="s">
        <v>1717</v>
      </c>
      <c r="M839" s="32">
        <v>0.62</v>
      </c>
      <c r="N839" s="27" t="s">
        <v>33</v>
      </c>
      <c r="O839" s="27" t="s">
        <v>60</v>
      </c>
      <c r="P839" s="27" t="s">
        <v>588</v>
      </c>
      <c r="Q839" s="27" t="s">
        <v>1718</v>
      </c>
      <c r="R839" s="33">
        <v>85224</v>
      </c>
      <c r="S839" s="34">
        <v>42081</v>
      </c>
      <c r="T839" s="34">
        <v>42082</v>
      </c>
      <c r="U839" s="29">
        <v>1049.03</v>
      </c>
      <c r="V839" s="26">
        <v>11</v>
      </c>
      <c r="W839" s="29">
        <v>2591.09</v>
      </c>
      <c r="X839" s="26">
        <v>86184</v>
      </c>
      <c r="Y839" s="35">
        <v>20.979999999999997</v>
      </c>
      <c r="Z839" s="1" t="s">
        <v>3013</v>
      </c>
      <c r="AA839" s="36">
        <v>24.3078</v>
      </c>
      <c r="AB839" s="54">
        <v>984.6142000000001</v>
      </c>
      <c r="AC839" s="54">
        <v>146.04325454545454</v>
      </c>
      <c r="AD839" s="36">
        <v>1453.0922</v>
      </c>
    </row>
    <row r="840" spans="1:30" s="37" customFormat="1" ht="15.75" customHeight="1" x14ac:dyDescent="0.2">
      <c r="A840" s="26">
        <v>1197</v>
      </c>
      <c r="B840" s="27" t="s">
        <v>1708</v>
      </c>
      <c r="C840" s="27" t="s">
        <v>38</v>
      </c>
      <c r="D840" s="28">
        <v>0.08</v>
      </c>
      <c r="E840" s="29">
        <v>355.98</v>
      </c>
      <c r="F840" s="29">
        <v>58.92</v>
      </c>
      <c r="G840" s="30" t="s">
        <v>27</v>
      </c>
      <c r="H840" s="27" t="s">
        <v>3095</v>
      </c>
      <c r="I840" s="27" t="s">
        <v>29</v>
      </c>
      <c r="J840" s="27" t="s">
        <v>109</v>
      </c>
      <c r="K840" s="27" t="s">
        <v>58</v>
      </c>
      <c r="L840" s="31" t="s">
        <v>694</v>
      </c>
      <c r="M840" s="32">
        <v>0.64</v>
      </c>
      <c r="N840" s="27" t="s">
        <v>33</v>
      </c>
      <c r="O840" s="27" t="s">
        <v>111</v>
      </c>
      <c r="P840" s="27" t="s">
        <v>403</v>
      </c>
      <c r="Q840" s="27" t="s">
        <v>1709</v>
      </c>
      <c r="R840" s="33">
        <v>1776</v>
      </c>
      <c r="S840" s="34">
        <v>42081</v>
      </c>
      <c r="T840" s="34">
        <v>42083</v>
      </c>
      <c r="U840" s="29">
        <v>103.83</v>
      </c>
      <c r="V840" s="26">
        <v>4</v>
      </c>
      <c r="W840" s="29">
        <v>1350.94</v>
      </c>
      <c r="X840" s="26">
        <v>87583</v>
      </c>
      <c r="Y840" s="35">
        <v>355.90000000000003</v>
      </c>
      <c r="Z840" s="1" t="s">
        <v>3014</v>
      </c>
      <c r="AA840" s="36">
        <v>113.9136</v>
      </c>
      <c r="AB840" s="54">
        <v>486.33839999999998</v>
      </c>
      <c r="AC840" s="54">
        <v>216.15040000000002</v>
      </c>
      <c r="AD840" s="36">
        <v>1074.2764000000002</v>
      </c>
    </row>
    <row r="841" spans="1:30" s="37" customFormat="1" ht="15.75" customHeight="1" x14ac:dyDescent="0.2">
      <c r="A841" s="26">
        <v>2030</v>
      </c>
      <c r="B841" s="27" t="s">
        <v>1689</v>
      </c>
      <c r="C841" s="27" t="s">
        <v>116</v>
      </c>
      <c r="D841" s="28">
        <v>0.03</v>
      </c>
      <c r="E841" s="29">
        <v>55.98</v>
      </c>
      <c r="F841" s="29">
        <v>4.8600000000000003</v>
      </c>
      <c r="G841" s="30" t="s">
        <v>39</v>
      </c>
      <c r="H841" s="27" t="s">
        <v>94</v>
      </c>
      <c r="I841" s="27" t="s">
        <v>49</v>
      </c>
      <c r="J841" s="27" t="s">
        <v>88</v>
      </c>
      <c r="K841" s="27" t="s">
        <v>73</v>
      </c>
      <c r="L841" s="31" t="s">
        <v>1715</v>
      </c>
      <c r="M841" s="32">
        <v>0.36</v>
      </c>
      <c r="N841" s="27" t="s">
        <v>33</v>
      </c>
      <c r="O841" s="27" t="s">
        <v>53</v>
      </c>
      <c r="P841" s="27" t="s">
        <v>187</v>
      </c>
      <c r="Q841" s="27" t="s">
        <v>1027</v>
      </c>
      <c r="R841" s="33">
        <v>75401</v>
      </c>
      <c r="S841" s="34">
        <v>42081</v>
      </c>
      <c r="T841" s="34">
        <v>42083</v>
      </c>
      <c r="U841" s="29">
        <v>526.04219999999998</v>
      </c>
      <c r="V841" s="26">
        <v>13</v>
      </c>
      <c r="W841" s="29">
        <v>762.38</v>
      </c>
      <c r="X841" s="26">
        <v>91060</v>
      </c>
      <c r="Y841" s="35">
        <v>26.16</v>
      </c>
      <c r="Z841" s="1" t="s">
        <v>3012</v>
      </c>
      <c r="AA841" s="36">
        <v>21.832199999999997</v>
      </c>
      <c r="AB841" s="54">
        <v>487.92320000000001</v>
      </c>
      <c r="AC841" s="54">
        <v>21.112061538461539</v>
      </c>
      <c r="AD841" s="36">
        <v>209.64560000000006</v>
      </c>
    </row>
    <row r="842" spans="1:30" s="37" customFormat="1" ht="15.75" customHeight="1" x14ac:dyDescent="0.2">
      <c r="A842" s="26">
        <v>1015</v>
      </c>
      <c r="B842" s="27" t="s">
        <v>1711</v>
      </c>
      <c r="C842" s="27" t="s">
        <v>116</v>
      </c>
      <c r="D842" s="28">
        <v>0</v>
      </c>
      <c r="E842" s="29">
        <v>43.98</v>
      </c>
      <c r="F842" s="29">
        <v>8.99</v>
      </c>
      <c r="G842" s="30" t="s">
        <v>39</v>
      </c>
      <c r="H842" s="27" t="s">
        <v>71</v>
      </c>
      <c r="I842" s="27" t="s">
        <v>49</v>
      </c>
      <c r="J842" s="27" t="s">
        <v>50</v>
      </c>
      <c r="K842" s="27" t="s">
        <v>43</v>
      </c>
      <c r="L842" s="31" t="s">
        <v>822</v>
      </c>
      <c r="M842" s="32">
        <v>0.57999999999999996</v>
      </c>
      <c r="N842" s="27" t="s">
        <v>33</v>
      </c>
      <c r="O842" s="27" t="s">
        <v>34</v>
      </c>
      <c r="P842" s="27" t="s">
        <v>97</v>
      </c>
      <c r="Q842" s="27" t="s">
        <v>1712</v>
      </c>
      <c r="R842" s="33">
        <v>27502</v>
      </c>
      <c r="S842" s="34">
        <v>42081</v>
      </c>
      <c r="T842" s="34">
        <v>42081</v>
      </c>
      <c r="U842" s="29">
        <v>829.46699999999998</v>
      </c>
      <c r="V842" s="26">
        <v>14</v>
      </c>
      <c r="W842" s="29">
        <v>650.70000000000005</v>
      </c>
      <c r="X842" s="26">
        <v>88390</v>
      </c>
      <c r="Y842" s="35">
        <v>43.98</v>
      </c>
      <c r="Z842" s="1" t="s">
        <v>3011</v>
      </c>
      <c r="AA842" s="36">
        <v>0</v>
      </c>
      <c r="AB842" s="54">
        <v>273.29400000000004</v>
      </c>
      <c r="AC842" s="54">
        <v>26.957571428571431</v>
      </c>
      <c r="AD842" s="36">
        <v>-187.75699999999995</v>
      </c>
    </row>
    <row r="843" spans="1:30" s="37" customFormat="1" ht="15.75" customHeight="1" x14ac:dyDescent="0.2">
      <c r="A843" s="26">
        <v>1967</v>
      </c>
      <c r="B843" s="27" t="s">
        <v>1713</v>
      </c>
      <c r="C843" s="27" t="s">
        <v>116</v>
      </c>
      <c r="D843" s="28">
        <v>0.01</v>
      </c>
      <c r="E843" s="29">
        <v>78.650000000000006</v>
      </c>
      <c r="F843" s="29">
        <v>13.99</v>
      </c>
      <c r="G843" s="30" t="s">
        <v>87</v>
      </c>
      <c r="H843" s="27" t="s">
        <v>3095</v>
      </c>
      <c r="I843" s="27" t="s">
        <v>49</v>
      </c>
      <c r="J843" s="27" t="s">
        <v>95</v>
      </c>
      <c r="K843" s="27" t="s">
        <v>144</v>
      </c>
      <c r="L843" s="31" t="s">
        <v>1714</v>
      </c>
      <c r="M843" s="32">
        <v>0.52</v>
      </c>
      <c r="N843" s="27" t="s">
        <v>33</v>
      </c>
      <c r="O843" s="27" t="s">
        <v>53</v>
      </c>
      <c r="P843" s="27" t="s">
        <v>213</v>
      </c>
      <c r="Q843" s="27" t="s">
        <v>36</v>
      </c>
      <c r="R843" s="33">
        <v>52732</v>
      </c>
      <c r="S843" s="34">
        <v>42081</v>
      </c>
      <c r="T843" s="34">
        <v>42082</v>
      </c>
      <c r="U843" s="29">
        <v>442.36590000000001</v>
      </c>
      <c r="V843" s="26">
        <v>8</v>
      </c>
      <c r="W843" s="29">
        <v>641.11</v>
      </c>
      <c r="X843" s="26">
        <v>89456</v>
      </c>
      <c r="Y843" s="35">
        <v>78.64</v>
      </c>
      <c r="Z843" s="1" t="s">
        <v>3012</v>
      </c>
      <c r="AA843" s="36">
        <v>6.2920000000000007</v>
      </c>
      <c r="AB843" s="54">
        <v>307.7328</v>
      </c>
      <c r="AC843" s="54">
        <v>41.672150000000002</v>
      </c>
      <c r="AD843" s="36">
        <v>178.46210000000002</v>
      </c>
    </row>
    <row r="844" spans="1:30" s="37" customFormat="1" ht="15.75" customHeight="1" x14ac:dyDescent="0.2">
      <c r="A844" s="26">
        <v>1894</v>
      </c>
      <c r="B844" s="27" t="s">
        <v>1339</v>
      </c>
      <c r="C844" s="27" t="s">
        <v>38</v>
      </c>
      <c r="D844" s="28">
        <v>0.01</v>
      </c>
      <c r="E844" s="29">
        <v>26.17</v>
      </c>
      <c r="F844" s="29">
        <v>1.39</v>
      </c>
      <c r="G844" s="30" t="s">
        <v>39</v>
      </c>
      <c r="H844" s="27" t="s">
        <v>40</v>
      </c>
      <c r="I844" s="27" t="s">
        <v>49</v>
      </c>
      <c r="J844" s="27" t="s">
        <v>345</v>
      </c>
      <c r="K844" s="27" t="s">
        <v>73</v>
      </c>
      <c r="L844" s="31" t="s">
        <v>1710</v>
      </c>
      <c r="M844" s="32">
        <v>0.38</v>
      </c>
      <c r="N844" s="27" t="s">
        <v>33</v>
      </c>
      <c r="O844" s="27" t="s">
        <v>53</v>
      </c>
      <c r="P844" s="27" t="s">
        <v>357</v>
      </c>
      <c r="Q844" s="27" t="s">
        <v>1341</v>
      </c>
      <c r="R844" s="33">
        <v>54915</v>
      </c>
      <c r="S844" s="34">
        <v>42081</v>
      </c>
      <c r="T844" s="34">
        <v>42082</v>
      </c>
      <c r="U844" s="29">
        <v>237.04259999999999</v>
      </c>
      <c r="V844" s="26">
        <v>13</v>
      </c>
      <c r="W844" s="29">
        <v>343.54</v>
      </c>
      <c r="X844" s="26">
        <v>91263</v>
      </c>
      <c r="Y844" s="35">
        <v>55.949999999999996</v>
      </c>
      <c r="Z844" s="1" t="s">
        <v>3012</v>
      </c>
      <c r="AA844" s="36">
        <v>3.4021000000000008</v>
      </c>
      <c r="AB844" s="54">
        <v>212.9948</v>
      </c>
      <c r="AC844" s="54">
        <v>10.041938461538463</v>
      </c>
      <c r="AD844" s="36">
        <v>101.70530000000005</v>
      </c>
    </row>
    <row r="845" spans="1:30" s="37" customFormat="1" ht="15.75" customHeight="1" x14ac:dyDescent="0.2">
      <c r="A845" s="26">
        <v>3191</v>
      </c>
      <c r="B845" s="27" t="s">
        <v>1706</v>
      </c>
      <c r="C845" s="27" t="s">
        <v>26</v>
      </c>
      <c r="D845" s="28">
        <v>0.01</v>
      </c>
      <c r="E845" s="29">
        <v>20.99</v>
      </c>
      <c r="F845" s="29">
        <v>4.8099999999999996</v>
      </c>
      <c r="G845" s="30" t="s">
        <v>39</v>
      </c>
      <c r="H845" s="27" t="s">
        <v>94</v>
      </c>
      <c r="I845" s="27" t="s">
        <v>41</v>
      </c>
      <c r="J845" s="27" t="s">
        <v>135</v>
      </c>
      <c r="K845" s="27" t="s">
        <v>144</v>
      </c>
      <c r="L845" s="31" t="s">
        <v>1431</v>
      </c>
      <c r="M845" s="32">
        <v>0.57999999999999996</v>
      </c>
      <c r="N845" s="27" t="s">
        <v>33</v>
      </c>
      <c r="O845" s="27" t="s">
        <v>53</v>
      </c>
      <c r="P845" s="27" t="s">
        <v>357</v>
      </c>
      <c r="Q845" s="27" t="s">
        <v>1707</v>
      </c>
      <c r="R845" s="33">
        <v>54481</v>
      </c>
      <c r="S845" s="34">
        <v>42081</v>
      </c>
      <c r="T845" s="34">
        <v>42081</v>
      </c>
      <c r="U845" s="29">
        <v>-9.1080000000000005</v>
      </c>
      <c r="V845" s="26">
        <v>5</v>
      </c>
      <c r="W845" s="29">
        <v>93.81</v>
      </c>
      <c r="X845" s="26">
        <v>86447</v>
      </c>
      <c r="Y845" s="35">
        <v>220.97</v>
      </c>
      <c r="Z845" s="1" t="s">
        <v>3012</v>
      </c>
      <c r="AA845" s="36">
        <v>1.0494999999999999</v>
      </c>
      <c r="AB845" s="54">
        <v>39.400200000000005</v>
      </c>
      <c r="AC845" s="54">
        <v>10.881959999999999</v>
      </c>
      <c r="AD845" s="36">
        <v>97.058500000000009</v>
      </c>
    </row>
    <row r="846" spans="1:30" s="37" customFormat="1" ht="15.75" customHeight="1" x14ac:dyDescent="0.2">
      <c r="A846" s="26">
        <v>2127</v>
      </c>
      <c r="B846" s="27" t="s">
        <v>1703</v>
      </c>
      <c r="C846" s="27" t="s">
        <v>26</v>
      </c>
      <c r="D846" s="28">
        <v>0.1</v>
      </c>
      <c r="E846" s="29">
        <v>5.98</v>
      </c>
      <c r="F846" s="29">
        <v>5.14</v>
      </c>
      <c r="G846" s="30" t="s">
        <v>39</v>
      </c>
      <c r="H846" s="27" t="s">
        <v>71</v>
      </c>
      <c r="I846" s="27" t="s">
        <v>49</v>
      </c>
      <c r="J846" s="27" t="s">
        <v>88</v>
      </c>
      <c r="K846" s="27" t="s">
        <v>73</v>
      </c>
      <c r="L846" s="31" t="s">
        <v>1704</v>
      </c>
      <c r="M846" s="32">
        <v>0.36</v>
      </c>
      <c r="N846" s="27" t="s">
        <v>33</v>
      </c>
      <c r="O846" s="27" t="s">
        <v>53</v>
      </c>
      <c r="P846" s="27" t="s">
        <v>289</v>
      </c>
      <c r="Q846" s="27" t="s">
        <v>1705</v>
      </c>
      <c r="R846" s="33">
        <v>48310</v>
      </c>
      <c r="S846" s="34">
        <v>42081</v>
      </c>
      <c r="T846" s="34">
        <v>42083</v>
      </c>
      <c r="U846" s="29">
        <v>-49.53</v>
      </c>
      <c r="V846" s="26">
        <v>6</v>
      </c>
      <c r="W846" s="29">
        <v>33.950000000000003</v>
      </c>
      <c r="X846" s="26">
        <v>88418</v>
      </c>
      <c r="Y846" s="35">
        <v>220.97</v>
      </c>
      <c r="Z846" s="1" t="s">
        <v>3012</v>
      </c>
      <c r="AA846" s="36">
        <v>3.5880000000000005</v>
      </c>
      <c r="AB846" s="54">
        <v>21.728000000000002</v>
      </c>
      <c r="AC846" s="54">
        <v>2.0370000000000004</v>
      </c>
      <c r="AD846" s="36">
        <v>74.75200000000001</v>
      </c>
    </row>
    <row r="847" spans="1:30" s="37" customFormat="1" ht="15.75" customHeight="1" x14ac:dyDescent="0.2">
      <c r="A847" s="26">
        <v>485</v>
      </c>
      <c r="B847" s="27" t="s">
        <v>1719</v>
      </c>
      <c r="C847" s="27" t="s">
        <v>3094</v>
      </c>
      <c r="D847" s="28">
        <v>0.05</v>
      </c>
      <c r="E847" s="29">
        <v>2.88</v>
      </c>
      <c r="F847" s="29">
        <v>0.5</v>
      </c>
      <c r="G847" s="30" t="s">
        <v>39</v>
      </c>
      <c r="H847" s="27" t="s">
        <v>94</v>
      </c>
      <c r="I847" s="27" t="s">
        <v>49</v>
      </c>
      <c r="J847" s="27" t="s">
        <v>152</v>
      </c>
      <c r="K847" s="27" t="s">
        <v>73</v>
      </c>
      <c r="L847" s="31" t="s">
        <v>1720</v>
      </c>
      <c r="M847" s="32">
        <v>0.36</v>
      </c>
      <c r="N847" s="27" t="s">
        <v>33</v>
      </c>
      <c r="O847" s="27" t="s">
        <v>60</v>
      </c>
      <c r="P847" s="27" t="s">
        <v>90</v>
      </c>
      <c r="Q847" s="27" t="s">
        <v>1721</v>
      </c>
      <c r="R847" s="33">
        <v>93727</v>
      </c>
      <c r="S847" s="34">
        <v>42081</v>
      </c>
      <c r="T847" s="34">
        <v>42083</v>
      </c>
      <c r="U847" s="29">
        <v>6.0513000000000003</v>
      </c>
      <c r="V847" s="26">
        <v>3</v>
      </c>
      <c r="W847" s="29">
        <v>8.77</v>
      </c>
      <c r="X847" s="26">
        <v>91062</v>
      </c>
      <c r="Y847" s="35">
        <v>2.83</v>
      </c>
      <c r="Z847" s="1" t="s">
        <v>3013</v>
      </c>
      <c r="AA847" s="36">
        <v>0.43199999999999994</v>
      </c>
      <c r="AB847" s="54">
        <v>5.6128</v>
      </c>
      <c r="AC847" s="54">
        <v>1.0524</v>
      </c>
      <c r="AD847" s="36">
        <v>1.7866999999999997</v>
      </c>
    </row>
    <row r="848" spans="1:30" s="37" customFormat="1" ht="15.75" customHeight="1" x14ac:dyDescent="0.2">
      <c r="A848" s="26">
        <v>771</v>
      </c>
      <c r="B848" s="27" t="s">
        <v>1727</v>
      </c>
      <c r="C848" s="27" t="s">
        <v>26</v>
      </c>
      <c r="D848" s="28">
        <v>0</v>
      </c>
      <c r="E848" s="29">
        <v>299.99</v>
      </c>
      <c r="F848" s="29">
        <v>11.64</v>
      </c>
      <c r="G848" s="30" t="s">
        <v>39</v>
      </c>
      <c r="H848" s="27" t="s">
        <v>3095</v>
      </c>
      <c r="I848" s="27" t="s">
        <v>41</v>
      </c>
      <c r="J848" s="27" t="s">
        <v>64</v>
      </c>
      <c r="K848" s="27" t="s">
        <v>65</v>
      </c>
      <c r="L848" s="31" t="s">
        <v>1729</v>
      </c>
      <c r="M848" s="32">
        <v>0.5</v>
      </c>
      <c r="N848" s="27" t="s">
        <v>33</v>
      </c>
      <c r="O848" s="27" t="s">
        <v>60</v>
      </c>
      <c r="P848" s="27" t="s">
        <v>139</v>
      </c>
      <c r="Q848" s="27" t="s">
        <v>1728</v>
      </c>
      <c r="R848" s="33">
        <v>97068</v>
      </c>
      <c r="S848" s="34">
        <v>42082</v>
      </c>
      <c r="T848" s="34">
        <v>42084</v>
      </c>
      <c r="U848" s="29">
        <v>285.95</v>
      </c>
      <c r="V848" s="26">
        <v>5</v>
      </c>
      <c r="W848" s="29">
        <v>1619.95</v>
      </c>
      <c r="X848" s="26">
        <v>88667</v>
      </c>
      <c r="Y848" s="35">
        <v>5.28</v>
      </c>
      <c r="Z848" s="1" t="s">
        <v>3013</v>
      </c>
      <c r="AA848" s="36">
        <v>0</v>
      </c>
      <c r="AB848" s="54">
        <v>809.97500000000002</v>
      </c>
      <c r="AC848" s="54">
        <v>161.995</v>
      </c>
      <c r="AD848" s="36">
        <v>1322.3600000000001</v>
      </c>
    </row>
    <row r="849" spans="1:30" s="37" customFormat="1" ht="15.75" customHeight="1" x14ac:dyDescent="0.2">
      <c r="A849" s="26">
        <v>2882</v>
      </c>
      <c r="B849" s="27" t="s">
        <v>671</v>
      </c>
      <c r="C849" s="27" t="s">
        <v>38</v>
      </c>
      <c r="D849" s="28">
        <v>7.0000000000000007E-2</v>
      </c>
      <c r="E849" s="29">
        <v>28.99</v>
      </c>
      <c r="F849" s="29">
        <v>8.59</v>
      </c>
      <c r="G849" s="30" t="s">
        <v>39</v>
      </c>
      <c r="H849" s="27" t="s">
        <v>40</v>
      </c>
      <c r="I849" s="27" t="s">
        <v>41</v>
      </c>
      <c r="J849" s="27" t="s">
        <v>135</v>
      </c>
      <c r="K849" s="27" t="s">
        <v>144</v>
      </c>
      <c r="L849" s="31" t="s">
        <v>1029</v>
      </c>
      <c r="M849" s="32">
        <v>0.56000000000000005</v>
      </c>
      <c r="N849" s="27" t="s">
        <v>33</v>
      </c>
      <c r="O849" s="27" t="s">
        <v>34</v>
      </c>
      <c r="P849" s="27" t="s">
        <v>97</v>
      </c>
      <c r="Q849" s="27" t="s">
        <v>673</v>
      </c>
      <c r="R849" s="33">
        <v>28206</v>
      </c>
      <c r="S849" s="34">
        <v>42082</v>
      </c>
      <c r="T849" s="34">
        <v>42082</v>
      </c>
      <c r="U849" s="29">
        <v>-16.063739999999999</v>
      </c>
      <c r="V849" s="26">
        <v>39</v>
      </c>
      <c r="W849" s="29">
        <v>936.8</v>
      </c>
      <c r="X849" s="26">
        <v>16676</v>
      </c>
      <c r="Y849" s="35">
        <v>65.92</v>
      </c>
      <c r="Z849" s="1" t="s">
        <v>3011</v>
      </c>
      <c r="AA849" s="36">
        <v>79.142700000000005</v>
      </c>
      <c r="AB849" s="54">
        <v>412.19199999999995</v>
      </c>
      <c r="AC849" s="54">
        <v>13.451487179487181</v>
      </c>
      <c r="AD849" s="36">
        <v>865.13103999999998</v>
      </c>
    </row>
    <row r="850" spans="1:30" s="37" customFormat="1" ht="15.75" customHeight="1" x14ac:dyDescent="0.2">
      <c r="A850" s="26">
        <v>1854</v>
      </c>
      <c r="B850" s="27" t="s">
        <v>1747</v>
      </c>
      <c r="C850" s="27" t="s">
        <v>3094</v>
      </c>
      <c r="D850" s="28">
        <v>0.02</v>
      </c>
      <c r="E850" s="29">
        <v>30.73</v>
      </c>
      <c r="F850" s="29">
        <v>4</v>
      </c>
      <c r="G850" s="30" t="s">
        <v>39</v>
      </c>
      <c r="H850" s="27" t="s">
        <v>71</v>
      </c>
      <c r="I850" s="27" t="s">
        <v>41</v>
      </c>
      <c r="J850" s="27" t="s">
        <v>42</v>
      </c>
      <c r="K850" s="27" t="s">
        <v>73</v>
      </c>
      <c r="L850" s="31" t="s">
        <v>674</v>
      </c>
      <c r="M850" s="32">
        <v>0.75</v>
      </c>
      <c r="N850" s="27" t="s">
        <v>33</v>
      </c>
      <c r="O850" s="27" t="s">
        <v>111</v>
      </c>
      <c r="P850" s="27" t="s">
        <v>248</v>
      </c>
      <c r="Q850" s="27" t="s">
        <v>1748</v>
      </c>
      <c r="R850" s="33">
        <v>6478</v>
      </c>
      <c r="S850" s="34">
        <v>42082</v>
      </c>
      <c r="T850" s="34">
        <v>42085</v>
      </c>
      <c r="U850" s="29">
        <v>72.78</v>
      </c>
      <c r="V850" s="26">
        <v>16</v>
      </c>
      <c r="W850" s="29">
        <v>522.22</v>
      </c>
      <c r="X850" s="26">
        <v>86847</v>
      </c>
      <c r="Y850" s="35">
        <v>30.650000000000002</v>
      </c>
      <c r="Z850" s="1" t="s">
        <v>3014</v>
      </c>
      <c r="AA850" s="36">
        <v>9.8336000000000006</v>
      </c>
      <c r="AB850" s="54">
        <v>130.55500000000001</v>
      </c>
      <c r="AC850" s="54">
        <v>24.479062500000001</v>
      </c>
      <c r="AD850" s="36">
        <v>435.60640000000001</v>
      </c>
    </row>
    <row r="851" spans="1:30" s="37" customFormat="1" ht="15.75" customHeight="1" x14ac:dyDescent="0.2">
      <c r="A851" s="26">
        <v>770</v>
      </c>
      <c r="B851" s="27" t="s">
        <v>1726</v>
      </c>
      <c r="C851" s="27" t="s">
        <v>26</v>
      </c>
      <c r="D851" s="28">
        <v>0.08</v>
      </c>
      <c r="E851" s="29">
        <v>30.73</v>
      </c>
      <c r="F851" s="29">
        <v>4</v>
      </c>
      <c r="G851" s="30" t="s">
        <v>39</v>
      </c>
      <c r="H851" s="27" t="s">
        <v>3095</v>
      </c>
      <c r="I851" s="27" t="s">
        <v>41</v>
      </c>
      <c r="J851" s="27" t="s">
        <v>42</v>
      </c>
      <c r="K851" s="27" t="s">
        <v>73</v>
      </c>
      <c r="L851" s="31" t="s">
        <v>674</v>
      </c>
      <c r="M851" s="32">
        <v>0.75</v>
      </c>
      <c r="N851" s="27" t="s">
        <v>33</v>
      </c>
      <c r="O851" s="27" t="s">
        <v>60</v>
      </c>
      <c r="P851" s="27" t="s">
        <v>139</v>
      </c>
      <c r="Q851" s="27" t="s">
        <v>1114</v>
      </c>
      <c r="R851" s="33">
        <v>97062</v>
      </c>
      <c r="S851" s="34">
        <v>42082</v>
      </c>
      <c r="T851" s="34">
        <v>42082</v>
      </c>
      <c r="U851" s="29">
        <v>-45.07</v>
      </c>
      <c r="V851" s="26">
        <v>14</v>
      </c>
      <c r="W851" s="29">
        <v>429.33</v>
      </c>
      <c r="X851" s="26">
        <v>88667</v>
      </c>
      <c r="Y851" s="35">
        <v>14.51</v>
      </c>
      <c r="Z851" s="1" t="s">
        <v>3013</v>
      </c>
      <c r="AA851" s="36">
        <v>34.4176</v>
      </c>
      <c r="AB851" s="54">
        <v>107.3325</v>
      </c>
      <c r="AC851" s="54">
        <v>22.99982142857143</v>
      </c>
      <c r="AD851" s="36">
        <v>435.98239999999998</v>
      </c>
    </row>
    <row r="852" spans="1:30" s="37" customFormat="1" ht="15.75" customHeight="1" x14ac:dyDescent="0.2">
      <c r="A852" s="26">
        <v>2840</v>
      </c>
      <c r="B852" s="27" t="s">
        <v>1737</v>
      </c>
      <c r="C852" s="27" t="s">
        <v>38</v>
      </c>
      <c r="D852" s="28">
        <v>0</v>
      </c>
      <c r="E852" s="29">
        <v>21.98</v>
      </c>
      <c r="F852" s="29">
        <v>2.87</v>
      </c>
      <c r="G852" s="30" t="s">
        <v>39</v>
      </c>
      <c r="H852" s="27" t="s">
        <v>94</v>
      </c>
      <c r="I852" s="27" t="s">
        <v>49</v>
      </c>
      <c r="J852" s="27" t="s">
        <v>50</v>
      </c>
      <c r="K852" s="27" t="s">
        <v>43</v>
      </c>
      <c r="L852" s="31" t="s">
        <v>1738</v>
      </c>
      <c r="M852" s="32">
        <v>0.55000000000000004</v>
      </c>
      <c r="N852" s="27" t="s">
        <v>33</v>
      </c>
      <c r="O852" s="27" t="s">
        <v>34</v>
      </c>
      <c r="P852" s="27" t="s">
        <v>123</v>
      </c>
      <c r="Q852" s="27" t="s">
        <v>1739</v>
      </c>
      <c r="R852" s="33">
        <v>33161</v>
      </c>
      <c r="S852" s="34">
        <v>42082</v>
      </c>
      <c r="T852" s="34">
        <v>42083</v>
      </c>
      <c r="U852" s="29">
        <v>21.096</v>
      </c>
      <c r="V852" s="26">
        <v>16</v>
      </c>
      <c r="W852" s="29">
        <v>360.03</v>
      </c>
      <c r="X852" s="26">
        <v>87884</v>
      </c>
      <c r="Y852" s="35">
        <v>299.99</v>
      </c>
      <c r="Z852" s="1" t="s">
        <v>3011</v>
      </c>
      <c r="AA852" s="36">
        <v>0</v>
      </c>
      <c r="AB852" s="54">
        <v>162.01349999999996</v>
      </c>
      <c r="AC852" s="54">
        <v>12.37603125</v>
      </c>
      <c r="AD852" s="36">
        <v>336.06399999999996</v>
      </c>
    </row>
    <row r="853" spans="1:30" s="37" customFormat="1" ht="15.75" customHeight="1" x14ac:dyDescent="0.2">
      <c r="A853" s="26">
        <v>3222</v>
      </c>
      <c r="B853" s="27" t="s">
        <v>1742</v>
      </c>
      <c r="C853" s="27" t="s">
        <v>38</v>
      </c>
      <c r="D853" s="28">
        <v>0.04</v>
      </c>
      <c r="E853" s="29">
        <v>39.479999999999997</v>
      </c>
      <c r="F853" s="29">
        <v>1.99</v>
      </c>
      <c r="G853" s="30" t="s">
        <v>87</v>
      </c>
      <c r="H853" s="27" t="s">
        <v>94</v>
      </c>
      <c r="I853" s="27" t="s">
        <v>41</v>
      </c>
      <c r="J853" s="27" t="s">
        <v>42</v>
      </c>
      <c r="K853" s="27" t="s">
        <v>43</v>
      </c>
      <c r="L853" s="31" t="s">
        <v>1257</v>
      </c>
      <c r="M853" s="32">
        <v>0.54</v>
      </c>
      <c r="N853" s="27" t="s">
        <v>33</v>
      </c>
      <c r="O853" s="27" t="s">
        <v>34</v>
      </c>
      <c r="P853" s="27" t="s">
        <v>123</v>
      </c>
      <c r="Q853" s="27" t="s">
        <v>1743</v>
      </c>
      <c r="R853" s="33">
        <v>32303</v>
      </c>
      <c r="S853" s="34">
        <v>42082</v>
      </c>
      <c r="T853" s="34">
        <v>42082</v>
      </c>
      <c r="U853" s="29">
        <v>-1535.4864</v>
      </c>
      <c r="V853" s="26">
        <v>8</v>
      </c>
      <c r="W853" s="29">
        <v>332.16</v>
      </c>
      <c r="X853" s="26">
        <v>90814</v>
      </c>
      <c r="Y853" s="35">
        <v>24.82</v>
      </c>
      <c r="Z853" s="1" t="s">
        <v>3011</v>
      </c>
      <c r="AA853" s="36">
        <v>12.633599999999999</v>
      </c>
      <c r="AB853" s="54">
        <v>152.7936</v>
      </c>
      <c r="AC853" s="54">
        <v>22.420800000000003</v>
      </c>
      <c r="AD853" s="36">
        <v>1853.0228000000002</v>
      </c>
    </row>
    <row r="854" spans="1:30" s="37" customFormat="1" ht="15.75" customHeight="1" x14ac:dyDescent="0.2">
      <c r="A854" s="26">
        <v>383</v>
      </c>
      <c r="B854" s="27" t="s">
        <v>1722</v>
      </c>
      <c r="C854" s="27" t="s">
        <v>26</v>
      </c>
      <c r="D854" s="28">
        <v>7.0000000000000007E-2</v>
      </c>
      <c r="E854" s="29">
        <v>65.989999999999995</v>
      </c>
      <c r="F854" s="29">
        <v>5.26</v>
      </c>
      <c r="G854" s="30" t="s">
        <v>87</v>
      </c>
      <c r="H854" s="27" t="s">
        <v>94</v>
      </c>
      <c r="I854" s="27" t="s">
        <v>41</v>
      </c>
      <c r="J854" s="27" t="s">
        <v>135</v>
      </c>
      <c r="K854" s="27" t="s">
        <v>73</v>
      </c>
      <c r="L854" s="31" t="s">
        <v>1725</v>
      </c>
      <c r="M854" s="32">
        <v>0.56000000000000005</v>
      </c>
      <c r="N854" s="27" t="s">
        <v>33</v>
      </c>
      <c r="O854" s="27" t="s">
        <v>111</v>
      </c>
      <c r="P854" s="27" t="s">
        <v>320</v>
      </c>
      <c r="Q854" s="27" t="s">
        <v>1724</v>
      </c>
      <c r="R854" s="33">
        <v>19026</v>
      </c>
      <c r="S854" s="34">
        <v>42082</v>
      </c>
      <c r="T854" s="34">
        <v>42084</v>
      </c>
      <c r="U854" s="29">
        <v>107.08199999999999</v>
      </c>
      <c r="V854" s="26">
        <v>5</v>
      </c>
      <c r="W854" s="29">
        <v>279.83</v>
      </c>
      <c r="X854" s="26">
        <v>88928</v>
      </c>
      <c r="Y854" s="35">
        <v>12.28</v>
      </c>
      <c r="Z854" s="1" t="s">
        <v>3014</v>
      </c>
      <c r="AA854" s="36">
        <v>23.096499999999999</v>
      </c>
      <c r="AB854" s="54">
        <v>123.12519999999998</v>
      </c>
      <c r="AC854" s="54">
        <v>31.340959999999999</v>
      </c>
      <c r="AD854" s="36">
        <v>144.39149999999998</v>
      </c>
    </row>
    <row r="855" spans="1:30" s="37" customFormat="1" ht="15.75" customHeight="1" x14ac:dyDescent="0.2">
      <c r="A855" s="26">
        <v>2884</v>
      </c>
      <c r="B855" s="27" t="s">
        <v>1740</v>
      </c>
      <c r="C855" s="27" t="s">
        <v>38</v>
      </c>
      <c r="D855" s="28">
        <v>7.0000000000000007E-2</v>
      </c>
      <c r="E855" s="29">
        <v>28.99</v>
      </c>
      <c r="F855" s="29">
        <v>8.59</v>
      </c>
      <c r="G855" s="30" t="s">
        <v>39</v>
      </c>
      <c r="H855" s="27" t="s">
        <v>40</v>
      </c>
      <c r="I855" s="27" t="s">
        <v>41</v>
      </c>
      <c r="J855" s="27" t="s">
        <v>135</v>
      </c>
      <c r="K855" s="27" t="s">
        <v>144</v>
      </c>
      <c r="L855" s="31" t="s">
        <v>1029</v>
      </c>
      <c r="M855" s="32">
        <v>0.56000000000000005</v>
      </c>
      <c r="N855" s="27" t="s">
        <v>33</v>
      </c>
      <c r="O855" s="27" t="s">
        <v>111</v>
      </c>
      <c r="P855" s="27" t="s">
        <v>317</v>
      </c>
      <c r="Q855" s="27" t="s">
        <v>1741</v>
      </c>
      <c r="R855" s="33">
        <v>44039</v>
      </c>
      <c r="S855" s="34">
        <v>42082</v>
      </c>
      <c r="T855" s="34">
        <v>42082</v>
      </c>
      <c r="U855" s="29">
        <v>-12.077999999999999</v>
      </c>
      <c r="V855" s="26">
        <v>10</v>
      </c>
      <c r="W855" s="29">
        <v>240.21</v>
      </c>
      <c r="X855" s="26">
        <v>87631</v>
      </c>
      <c r="Y855" s="35">
        <v>40.94</v>
      </c>
      <c r="Z855" s="1" t="s">
        <v>3014</v>
      </c>
      <c r="AA855" s="36">
        <v>20.292999999999999</v>
      </c>
      <c r="AB855" s="54">
        <v>105.69239999999999</v>
      </c>
      <c r="AC855" s="54">
        <v>13.451760000000002</v>
      </c>
      <c r="AD855" s="36">
        <v>223.405</v>
      </c>
    </row>
    <row r="856" spans="1:30" s="37" customFormat="1" ht="15.75" customHeight="1" x14ac:dyDescent="0.2">
      <c r="A856" s="26">
        <v>2621</v>
      </c>
      <c r="B856" s="27" t="s">
        <v>1734</v>
      </c>
      <c r="C856" s="27" t="s">
        <v>38</v>
      </c>
      <c r="D856" s="28">
        <v>0.03</v>
      </c>
      <c r="E856" s="29">
        <v>40.97</v>
      </c>
      <c r="F856" s="29">
        <v>8.99</v>
      </c>
      <c r="G856" s="30" t="s">
        <v>87</v>
      </c>
      <c r="H856" s="27" t="s">
        <v>94</v>
      </c>
      <c r="I856" s="27" t="s">
        <v>49</v>
      </c>
      <c r="J856" s="27" t="s">
        <v>50</v>
      </c>
      <c r="K856" s="27" t="s">
        <v>43</v>
      </c>
      <c r="L856" s="31" t="s">
        <v>1735</v>
      </c>
      <c r="M856" s="32">
        <v>0.59</v>
      </c>
      <c r="N856" s="27" t="s">
        <v>33</v>
      </c>
      <c r="O856" s="27" t="s">
        <v>34</v>
      </c>
      <c r="P856" s="27" t="s">
        <v>400</v>
      </c>
      <c r="Q856" s="27" t="s">
        <v>1736</v>
      </c>
      <c r="R856" s="33">
        <v>37027</v>
      </c>
      <c r="S856" s="34">
        <v>42082</v>
      </c>
      <c r="T856" s="34">
        <v>42083</v>
      </c>
      <c r="U856" s="29">
        <v>-177.05799999999999</v>
      </c>
      <c r="V856" s="26">
        <v>5</v>
      </c>
      <c r="W856" s="29">
        <v>207.22</v>
      </c>
      <c r="X856" s="26">
        <v>88016</v>
      </c>
      <c r="Y856" s="35">
        <v>21.98</v>
      </c>
      <c r="Z856" s="1" t="s">
        <v>3011</v>
      </c>
      <c r="AA856" s="36">
        <v>6.1454999999999993</v>
      </c>
      <c r="AB856" s="54">
        <v>84.9602</v>
      </c>
      <c r="AC856" s="54">
        <v>24.45196</v>
      </c>
      <c r="AD856" s="36">
        <v>369.14249999999998</v>
      </c>
    </row>
    <row r="857" spans="1:30" s="37" customFormat="1" ht="15.75" customHeight="1" x14ac:dyDescent="0.2">
      <c r="A857" s="26">
        <v>3222</v>
      </c>
      <c r="B857" s="27" t="s">
        <v>1742</v>
      </c>
      <c r="C857" s="27" t="s">
        <v>38</v>
      </c>
      <c r="D857" s="28">
        <v>0</v>
      </c>
      <c r="E857" s="29">
        <v>8.1199999999999992</v>
      </c>
      <c r="F857" s="29">
        <v>2.83</v>
      </c>
      <c r="G857" s="30" t="s">
        <v>39</v>
      </c>
      <c r="H857" s="27" t="s">
        <v>94</v>
      </c>
      <c r="I857" s="27" t="s">
        <v>41</v>
      </c>
      <c r="J857" s="27" t="s">
        <v>42</v>
      </c>
      <c r="K857" s="27" t="s">
        <v>43</v>
      </c>
      <c r="L857" s="31" t="s">
        <v>1698</v>
      </c>
      <c r="M857" s="32">
        <v>0.77</v>
      </c>
      <c r="N857" s="27" t="s">
        <v>33</v>
      </c>
      <c r="O857" s="27" t="s">
        <v>34</v>
      </c>
      <c r="P857" s="27" t="s">
        <v>123</v>
      </c>
      <c r="Q857" s="27" t="s">
        <v>1743</v>
      </c>
      <c r="R857" s="33">
        <v>32303</v>
      </c>
      <c r="S857" s="34">
        <v>42082</v>
      </c>
      <c r="T857" s="34">
        <v>42083</v>
      </c>
      <c r="U857" s="29">
        <v>-159.32</v>
      </c>
      <c r="V857" s="26">
        <v>17</v>
      </c>
      <c r="W857" s="29">
        <v>147.62</v>
      </c>
      <c r="X857" s="26">
        <v>90814</v>
      </c>
      <c r="Y857" s="35">
        <v>28.919999999999998</v>
      </c>
      <c r="Z857" s="1" t="s">
        <v>3011</v>
      </c>
      <c r="AA857" s="36">
        <v>0</v>
      </c>
      <c r="AB857" s="54">
        <v>33.952599999999997</v>
      </c>
      <c r="AC857" s="54">
        <v>6.6863176470588241</v>
      </c>
      <c r="AD857" s="36">
        <v>304.11</v>
      </c>
    </row>
    <row r="858" spans="1:30" s="37" customFormat="1" ht="15.75" customHeight="1" x14ac:dyDescent="0.2">
      <c r="A858" s="26">
        <v>2502</v>
      </c>
      <c r="B858" s="27" t="s">
        <v>1730</v>
      </c>
      <c r="C858" s="27" t="s">
        <v>38</v>
      </c>
      <c r="D858" s="28">
        <v>0</v>
      </c>
      <c r="E858" s="29">
        <v>12.28</v>
      </c>
      <c r="F858" s="29">
        <v>6.35</v>
      </c>
      <c r="G858" s="30" t="s">
        <v>87</v>
      </c>
      <c r="H858" s="27" t="s">
        <v>71</v>
      </c>
      <c r="I858" s="27" t="s">
        <v>49</v>
      </c>
      <c r="J858" s="27" t="s">
        <v>88</v>
      </c>
      <c r="K858" s="27" t="s">
        <v>73</v>
      </c>
      <c r="L858" s="31" t="s">
        <v>1733</v>
      </c>
      <c r="M858" s="32">
        <v>0.38</v>
      </c>
      <c r="N858" s="27" t="s">
        <v>33</v>
      </c>
      <c r="O858" s="27" t="s">
        <v>53</v>
      </c>
      <c r="P858" s="27" t="s">
        <v>54</v>
      </c>
      <c r="Q858" s="27" t="s">
        <v>1732</v>
      </c>
      <c r="R858" s="33">
        <v>46321</v>
      </c>
      <c r="S858" s="34">
        <v>42082</v>
      </c>
      <c r="T858" s="34">
        <v>42083</v>
      </c>
      <c r="U858" s="29">
        <v>30.63</v>
      </c>
      <c r="V858" s="26">
        <v>7</v>
      </c>
      <c r="W858" s="29">
        <v>90.44</v>
      </c>
      <c r="X858" s="26">
        <v>91310</v>
      </c>
      <c r="Y858" s="35">
        <v>28.919999999999998</v>
      </c>
      <c r="Z858" s="1" t="s">
        <v>3012</v>
      </c>
      <c r="AA858" s="36">
        <v>0</v>
      </c>
      <c r="AB858" s="54">
        <v>56.072800000000001</v>
      </c>
      <c r="AC858" s="54">
        <v>4.9096000000000002</v>
      </c>
      <c r="AD858" s="36">
        <v>53.46</v>
      </c>
    </row>
    <row r="859" spans="1:30" s="37" customFormat="1" ht="15.75" customHeight="1" x14ac:dyDescent="0.2">
      <c r="A859" s="26">
        <v>2502</v>
      </c>
      <c r="B859" s="27" t="s">
        <v>1730</v>
      </c>
      <c r="C859" s="27" t="s">
        <v>38</v>
      </c>
      <c r="D859" s="28">
        <v>0.1</v>
      </c>
      <c r="E859" s="29">
        <v>24.92</v>
      </c>
      <c r="F859" s="29">
        <v>12.98</v>
      </c>
      <c r="G859" s="30" t="s">
        <v>39</v>
      </c>
      <c r="H859" s="27" t="s">
        <v>71</v>
      </c>
      <c r="I859" s="27" t="s">
        <v>49</v>
      </c>
      <c r="J859" s="27" t="s">
        <v>72</v>
      </c>
      <c r="K859" s="27" t="s">
        <v>73</v>
      </c>
      <c r="L859" s="31" t="s">
        <v>1731</v>
      </c>
      <c r="M859" s="32">
        <v>0.39</v>
      </c>
      <c r="N859" s="27" t="s">
        <v>33</v>
      </c>
      <c r="O859" s="27" t="s">
        <v>53</v>
      </c>
      <c r="P859" s="27" t="s">
        <v>54</v>
      </c>
      <c r="Q859" s="27" t="s">
        <v>1732</v>
      </c>
      <c r="R859" s="33">
        <v>46321</v>
      </c>
      <c r="S859" s="34">
        <v>42082</v>
      </c>
      <c r="T859" s="34">
        <v>42082</v>
      </c>
      <c r="U859" s="29">
        <v>-45.816000000000003</v>
      </c>
      <c r="V859" s="26">
        <v>3</v>
      </c>
      <c r="W859" s="29">
        <v>70.819999999999993</v>
      </c>
      <c r="X859" s="26">
        <v>91310</v>
      </c>
      <c r="Y859" s="35">
        <v>39.44</v>
      </c>
      <c r="Z859" s="1" t="s">
        <v>3012</v>
      </c>
      <c r="AA859" s="36">
        <v>7.4760000000000009</v>
      </c>
      <c r="AB859" s="54">
        <v>43.200199999999995</v>
      </c>
      <c r="AC859" s="54">
        <v>9.2065999999999999</v>
      </c>
      <c r="AD859" s="36">
        <v>96.179999999999993</v>
      </c>
    </row>
    <row r="860" spans="1:30" s="37" customFormat="1" ht="15.75" customHeight="1" x14ac:dyDescent="0.2">
      <c r="A860" s="26">
        <v>1852</v>
      </c>
      <c r="B860" s="27" t="s">
        <v>1744</v>
      </c>
      <c r="C860" s="27" t="s">
        <v>3094</v>
      </c>
      <c r="D860" s="28">
        <v>0.06</v>
      </c>
      <c r="E860" s="29">
        <v>6.48</v>
      </c>
      <c r="F860" s="29">
        <v>5.14</v>
      </c>
      <c r="G860" s="30" t="s">
        <v>87</v>
      </c>
      <c r="H860" s="27" t="s">
        <v>71</v>
      </c>
      <c r="I860" s="27" t="s">
        <v>49</v>
      </c>
      <c r="J860" s="27" t="s">
        <v>88</v>
      </c>
      <c r="K860" s="27" t="s">
        <v>73</v>
      </c>
      <c r="L860" s="31" t="s">
        <v>1745</v>
      </c>
      <c r="M860" s="32">
        <v>0.37</v>
      </c>
      <c r="N860" s="27" t="s">
        <v>33</v>
      </c>
      <c r="O860" s="27" t="s">
        <v>60</v>
      </c>
      <c r="P860" s="27" t="s">
        <v>90</v>
      </c>
      <c r="Q860" s="27" t="s">
        <v>1746</v>
      </c>
      <c r="R860" s="33">
        <v>92008</v>
      </c>
      <c r="S860" s="34">
        <v>42082</v>
      </c>
      <c r="T860" s="34">
        <v>42084</v>
      </c>
      <c r="U860" s="29">
        <v>-28.45</v>
      </c>
      <c r="V860" s="26">
        <v>10</v>
      </c>
      <c r="W860" s="29">
        <v>68.34</v>
      </c>
      <c r="X860" s="26">
        <v>86847</v>
      </c>
      <c r="Y860" s="35">
        <v>8.1199999999999992</v>
      </c>
      <c r="Z860" s="1" t="s">
        <v>3013</v>
      </c>
      <c r="AA860" s="36">
        <v>3.8880000000000003</v>
      </c>
      <c r="AB860" s="54">
        <v>43.054200000000002</v>
      </c>
      <c r="AC860" s="54">
        <v>2.5285800000000003</v>
      </c>
      <c r="AD860" s="36">
        <v>87.762</v>
      </c>
    </row>
    <row r="861" spans="1:30" s="37" customFormat="1" ht="15.75" customHeight="1" x14ac:dyDescent="0.2">
      <c r="A861" s="26">
        <v>771</v>
      </c>
      <c r="B861" s="27" t="s">
        <v>1727</v>
      </c>
      <c r="C861" s="27" t="s">
        <v>26</v>
      </c>
      <c r="D861" s="28">
        <v>0.05</v>
      </c>
      <c r="E861" s="29">
        <v>14.56</v>
      </c>
      <c r="F861" s="29">
        <v>3.5</v>
      </c>
      <c r="G861" s="30" t="s">
        <v>39</v>
      </c>
      <c r="H861" s="27" t="s">
        <v>3095</v>
      </c>
      <c r="I861" s="27" t="s">
        <v>49</v>
      </c>
      <c r="J861" s="27" t="s">
        <v>95</v>
      </c>
      <c r="K861" s="27" t="s">
        <v>73</v>
      </c>
      <c r="L861" s="31" t="s">
        <v>334</v>
      </c>
      <c r="M861" s="32">
        <v>0.57999999999999996</v>
      </c>
      <c r="N861" s="27" t="s">
        <v>33</v>
      </c>
      <c r="O861" s="27" t="s">
        <v>60</v>
      </c>
      <c r="P861" s="27" t="s">
        <v>139</v>
      </c>
      <c r="Q861" s="27" t="s">
        <v>1728</v>
      </c>
      <c r="R861" s="33">
        <v>97068</v>
      </c>
      <c r="S861" s="34">
        <v>42082</v>
      </c>
      <c r="T861" s="34">
        <v>42084</v>
      </c>
      <c r="U861" s="29">
        <v>-8.5299999999999994</v>
      </c>
      <c r="V861" s="26">
        <v>3</v>
      </c>
      <c r="W861" s="29">
        <v>44.66</v>
      </c>
      <c r="X861" s="26">
        <v>88667</v>
      </c>
      <c r="Y861" s="35">
        <v>6.4200000000000008</v>
      </c>
      <c r="Z861" s="1" t="s">
        <v>3013</v>
      </c>
      <c r="AA861" s="36">
        <v>2.1840000000000002</v>
      </c>
      <c r="AB861" s="54">
        <v>18.757200000000001</v>
      </c>
      <c r="AC861" s="54">
        <v>8.6342666666666652</v>
      </c>
      <c r="AD861" s="36">
        <v>47.505999999999993</v>
      </c>
    </row>
    <row r="862" spans="1:30" s="37" customFormat="1" ht="15.75" customHeight="1" x14ac:dyDescent="0.2">
      <c r="A862" s="26">
        <v>383</v>
      </c>
      <c r="B862" s="27" t="s">
        <v>1722</v>
      </c>
      <c r="C862" s="27" t="s">
        <v>26</v>
      </c>
      <c r="D862" s="28">
        <v>0.06</v>
      </c>
      <c r="E862" s="29">
        <v>5.34</v>
      </c>
      <c r="F862" s="29">
        <v>5.63</v>
      </c>
      <c r="G862" s="30" t="s">
        <v>39</v>
      </c>
      <c r="H862" s="27" t="s">
        <v>94</v>
      </c>
      <c r="I862" s="27" t="s">
        <v>49</v>
      </c>
      <c r="J862" s="27" t="s">
        <v>72</v>
      </c>
      <c r="K862" s="27" t="s">
        <v>73</v>
      </c>
      <c r="L862" s="31" t="s">
        <v>1723</v>
      </c>
      <c r="M862" s="32">
        <v>0.39</v>
      </c>
      <c r="N862" s="27" t="s">
        <v>33</v>
      </c>
      <c r="O862" s="27" t="s">
        <v>111</v>
      </c>
      <c r="P862" s="27" t="s">
        <v>320</v>
      </c>
      <c r="Q862" s="27" t="s">
        <v>1724</v>
      </c>
      <c r="R862" s="33">
        <v>19026</v>
      </c>
      <c r="S862" s="34">
        <v>42082</v>
      </c>
      <c r="T862" s="34">
        <v>42082</v>
      </c>
      <c r="U862" s="29">
        <v>-82.822999999999993</v>
      </c>
      <c r="V862" s="26">
        <v>7</v>
      </c>
      <c r="W862" s="29">
        <v>38.65</v>
      </c>
      <c r="X862" s="26">
        <v>88928</v>
      </c>
      <c r="Y862" s="35">
        <v>30.71</v>
      </c>
      <c r="Z862" s="1" t="s">
        <v>3014</v>
      </c>
      <c r="AA862" s="36">
        <v>2.2427999999999999</v>
      </c>
      <c r="AB862" s="54">
        <v>23.576499999999999</v>
      </c>
      <c r="AC862" s="54">
        <v>2.1533571428571427</v>
      </c>
      <c r="AD862" s="36">
        <v>113.6002</v>
      </c>
    </row>
    <row r="863" spans="1:30" s="37" customFormat="1" ht="15.75" customHeight="1" x14ac:dyDescent="0.2">
      <c r="A863" s="26">
        <v>2639</v>
      </c>
      <c r="B863" s="27" t="s">
        <v>1749</v>
      </c>
      <c r="C863" s="27" t="s">
        <v>3094</v>
      </c>
      <c r="D863" s="28">
        <v>0.05</v>
      </c>
      <c r="E863" s="29">
        <v>4.9800000000000004</v>
      </c>
      <c r="F863" s="29">
        <v>0.49</v>
      </c>
      <c r="G863" s="30" t="s">
        <v>39</v>
      </c>
      <c r="H863" s="27" t="s">
        <v>40</v>
      </c>
      <c r="I863" s="27" t="s">
        <v>49</v>
      </c>
      <c r="J863" s="27" t="s">
        <v>152</v>
      </c>
      <c r="K863" s="27" t="s">
        <v>73</v>
      </c>
      <c r="L863" s="31" t="s">
        <v>1103</v>
      </c>
      <c r="M863" s="32">
        <v>0.39</v>
      </c>
      <c r="N863" s="27" t="s">
        <v>33</v>
      </c>
      <c r="O863" s="27" t="s">
        <v>60</v>
      </c>
      <c r="P863" s="27" t="s">
        <v>640</v>
      </c>
      <c r="Q863" s="27" t="s">
        <v>195</v>
      </c>
      <c r="R863" s="33">
        <v>88201</v>
      </c>
      <c r="S863" s="34">
        <v>42082</v>
      </c>
      <c r="T863" s="34">
        <v>42082</v>
      </c>
      <c r="U863" s="29">
        <v>3.84</v>
      </c>
      <c r="V863" s="26">
        <v>3</v>
      </c>
      <c r="W863" s="29">
        <v>14.2</v>
      </c>
      <c r="X863" s="26">
        <v>90952</v>
      </c>
      <c r="Y863" s="35">
        <v>4.9300000000000006</v>
      </c>
      <c r="Z863" s="1" t="s">
        <v>3013</v>
      </c>
      <c r="AA863" s="36">
        <v>0.74700000000000011</v>
      </c>
      <c r="AB863" s="54">
        <v>8.661999999999999</v>
      </c>
      <c r="AC863" s="54">
        <v>1.8460000000000001</v>
      </c>
      <c r="AD863" s="36">
        <v>9.1229999999999993</v>
      </c>
    </row>
    <row r="864" spans="1:30" s="37" customFormat="1" ht="15.75" customHeight="1" x14ac:dyDescent="0.2">
      <c r="A864" s="26">
        <v>3106</v>
      </c>
      <c r="B864" s="27" t="s">
        <v>1752</v>
      </c>
      <c r="C864" s="27" t="s">
        <v>26</v>
      </c>
      <c r="D864" s="28">
        <v>0.04</v>
      </c>
      <c r="E864" s="29">
        <v>125.99</v>
      </c>
      <c r="F864" s="29">
        <v>4.2</v>
      </c>
      <c r="G864" s="30" t="s">
        <v>39</v>
      </c>
      <c r="H864" s="27" t="s">
        <v>71</v>
      </c>
      <c r="I864" s="27" t="s">
        <v>41</v>
      </c>
      <c r="J864" s="27" t="s">
        <v>135</v>
      </c>
      <c r="K864" s="27" t="s">
        <v>73</v>
      </c>
      <c r="L864" s="31" t="s">
        <v>1426</v>
      </c>
      <c r="M864" s="32">
        <v>0.59</v>
      </c>
      <c r="N864" s="27" t="s">
        <v>33</v>
      </c>
      <c r="O864" s="27" t="s">
        <v>53</v>
      </c>
      <c r="P864" s="27" t="s">
        <v>187</v>
      </c>
      <c r="Q864" s="27" t="s">
        <v>1753</v>
      </c>
      <c r="R864" s="33">
        <v>77041</v>
      </c>
      <c r="S864" s="34">
        <v>42083</v>
      </c>
      <c r="T864" s="34">
        <v>42085</v>
      </c>
      <c r="U864" s="29">
        <v>510.48899999999998</v>
      </c>
      <c r="V864" s="26">
        <v>47</v>
      </c>
      <c r="W864" s="29">
        <v>4976.92</v>
      </c>
      <c r="X864" s="26">
        <v>548</v>
      </c>
      <c r="Y864" s="35">
        <v>3.04</v>
      </c>
      <c r="Z864" s="1" t="s">
        <v>3012</v>
      </c>
      <c r="AA864" s="36">
        <v>236.8612</v>
      </c>
      <c r="AB864" s="54">
        <v>2040.5372000000002</v>
      </c>
      <c r="AC864" s="54">
        <v>62.47622978723404</v>
      </c>
      <c r="AD864" s="36">
        <v>4225.3698000000004</v>
      </c>
    </row>
    <row r="865" spans="1:30" s="37" customFormat="1" ht="15.75" customHeight="1" x14ac:dyDescent="0.2">
      <c r="A865" s="26">
        <v>640</v>
      </c>
      <c r="B865" s="27" t="s">
        <v>1185</v>
      </c>
      <c r="C865" s="27" t="s">
        <v>48</v>
      </c>
      <c r="D865" s="28">
        <v>0.06</v>
      </c>
      <c r="E865" s="29">
        <v>160.97999999999999</v>
      </c>
      <c r="F865" s="29">
        <v>35.020000000000003</v>
      </c>
      <c r="G865" s="30" t="s">
        <v>27</v>
      </c>
      <c r="H865" s="27" t="s">
        <v>40</v>
      </c>
      <c r="I865" s="27" t="s">
        <v>29</v>
      </c>
      <c r="J865" s="27" t="s">
        <v>117</v>
      </c>
      <c r="K865" s="27" t="s">
        <v>31</v>
      </c>
      <c r="L865" s="31" t="s">
        <v>1755</v>
      </c>
      <c r="M865" s="32">
        <v>0.72</v>
      </c>
      <c r="N865" s="27" t="s">
        <v>33</v>
      </c>
      <c r="O865" s="27" t="s">
        <v>60</v>
      </c>
      <c r="P865" s="27" t="s">
        <v>67</v>
      </c>
      <c r="Q865" s="27" t="s">
        <v>142</v>
      </c>
      <c r="R865" s="33">
        <v>98119</v>
      </c>
      <c r="S865" s="34">
        <v>42083</v>
      </c>
      <c r="T865" s="34">
        <v>42087</v>
      </c>
      <c r="U865" s="29">
        <v>-229.68</v>
      </c>
      <c r="V865" s="26">
        <v>30</v>
      </c>
      <c r="W865" s="29">
        <v>4620.05</v>
      </c>
      <c r="X865" s="26">
        <v>11077</v>
      </c>
      <c r="Y865" s="35">
        <v>6.4600000000000009</v>
      </c>
      <c r="Z865" s="1" t="s">
        <v>3013</v>
      </c>
      <c r="AA865" s="36">
        <v>289.76400000000001</v>
      </c>
      <c r="AB865" s="54">
        <v>1293.6140000000003</v>
      </c>
      <c r="AC865" s="54">
        <v>110.88119999999999</v>
      </c>
      <c r="AD865" s="36">
        <v>4524.9459999999999</v>
      </c>
    </row>
    <row r="866" spans="1:30" s="37" customFormat="1" ht="15.75" customHeight="1" x14ac:dyDescent="0.2">
      <c r="A866" s="26">
        <v>314</v>
      </c>
      <c r="B866" s="27" t="s">
        <v>1757</v>
      </c>
      <c r="C866" s="27" t="s">
        <v>116</v>
      </c>
      <c r="D866" s="28">
        <v>0.04</v>
      </c>
      <c r="E866" s="29">
        <v>1637.53</v>
      </c>
      <c r="F866" s="29">
        <v>24.49</v>
      </c>
      <c r="G866" s="30" t="s">
        <v>39</v>
      </c>
      <c r="H866" s="27" t="s">
        <v>94</v>
      </c>
      <c r="I866" s="27" t="s">
        <v>49</v>
      </c>
      <c r="J866" s="27" t="s">
        <v>568</v>
      </c>
      <c r="K866" s="27" t="s">
        <v>144</v>
      </c>
      <c r="L866" s="31" t="s">
        <v>1758</v>
      </c>
      <c r="M866" s="32">
        <v>0.81</v>
      </c>
      <c r="N866" s="27" t="s">
        <v>33</v>
      </c>
      <c r="O866" s="27" t="s">
        <v>53</v>
      </c>
      <c r="P866" s="27" t="s">
        <v>103</v>
      </c>
      <c r="Q866" s="27" t="s">
        <v>1759</v>
      </c>
      <c r="R866" s="33">
        <v>60130</v>
      </c>
      <c r="S866" s="34">
        <v>42083</v>
      </c>
      <c r="T866" s="34">
        <v>42085</v>
      </c>
      <c r="U866" s="29">
        <v>-1759.58</v>
      </c>
      <c r="V866" s="26">
        <v>2</v>
      </c>
      <c r="W866" s="29">
        <v>3206.94</v>
      </c>
      <c r="X866" s="26">
        <v>89166</v>
      </c>
      <c r="Y866" s="35">
        <v>125.94999999999999</v>
      </c>
      <c r="Z866" s="1" t="s">
        <v>3012</v>
      </c>
      <c r="AA866" s="36">
        <v>131.00239999999999</v>
      </c>
      <c r="AB866" s="54">
        <v>609.31859999999983</v>
      </c>
      <c r="AC866" s="54">
        <v>1298.8107</v>
      </c>
      <c r="AD866" s="36">
        <v>4811.0275999999994</v>
      </c>
    </row>
    <row r="867" spans="1:30" s="37" customFormat="1" ht="15.75" customHeight="1" x14ac:dyDescent="0.2">
      <c r="A867" s="26">
        <v>3105</v>
      </c>
      <c r="B867" s="27" t="s">
        <v>1750</v>
      </c>
      <c r="C867" s="27" t="s">
        <v>26</v>
      </c>
      <c r="D867" s="28">
        <v>0.04</v>
      </c>
      <c r="E867" s="29">
        <v>125.99</v>
      </c>
      <c r="F867" s="29">
        <v>4.2</v>
      </c>
      <c r="G867" s="30" t="s">
        <v>39</v>
      </c>
      <c r="H867" s="27" t="s">
        <v>71</v>
      </c>
      <c r="I867" s="27" t="s">
        <v>41</v>
      </c>
      <c r="J867" s="27" t="s">
        <v>135</v>
      </c>
      <c r="K867" s="27" t="s">
        <v>73</v>
      </c>
      <c r="L867" s="31" t="s">
        <v>1426</v>
      </c>
      <c r="M867" s="32">
        <v>0.59</v>
      </c>
      <c r="N867" s="27" t="s">
        <v>33</v>
      </c>
      <c r="O867" s="27" t="s">
        <v>34</v>
      </c>
      <c r="P867" s="27" t="s">
        <v>388</v>
      </c>
      <c r="Q867" s="27" t="s">
        <v>949</v>
      </c>
      <c r="R867" s="33">
        <v>42071</v>
      </c>
      <c r="S867" s="34">
        <v>42083</v>
      </c>
      <c r="T867" s="34">
        <v>42085</v>
      </c>
      <c r="U867" s="29">
        <v>-236.25</v>
      </c>
      <c r="V867" s="26">
        <v>12</v>
      </c>
      <c r="W867" s="29">
        <v>1270.7</v>
      </c>
      <c r="X867" s="26">
        <v>86327</v>
      </c>
      <c r="Y867" s="35">
        <v>3.04</v>
      </c>
      <c r="Z867" s="1" t="s">
        <v>3011</v>
      </c>
      <c r="AA867" s="36">
        <v>60.475200000000001</v>
      </c>
      <c r="AB867" s="54">
        <v>520.98700000000008</v>
      </c>
      <c r="AC867" s="54">
        <v>62.476083333333328</v>
      </c>
      <c r="AD867" s="36">
        <v>1442.2748000000001</v>
      </c>
    </row>
    <row r="868" spans="1:30" s="37" customFormat="1" ht="15.75" customHeight="1" x14ac:dyDescent="0.2">
      <c r="A868" s="26">
        <v>637</v>
      </c>
      <c r="B868" s="27" t="s">
        <v>1754</v>
      </c>
      <c r="C868" s="27" t="s">
        <v>48</v>
      </c>
      <c r="D868" s="28">
        <v>0.06</v>
      </c>
      <c r="E868" s="29">
        <v>160.97999999999999</v>
      </c>
      <c r="F868" s="29">
        <v>35.020000000000003</v>
      </c>
      <c r="G868" s="30" t="s">
        <v>27</v>
      </c>
      <c r="H868" s="27" t="s">
        <v>40</v>
      </c>
      <c r="I868" s="27" t="s">
        <v>29</v>
      </c>
      <c r="J868" s="27" t="s">
        <v>117</v>
      </c>
      <c r="K868" s="27" t="s">
        <v>31</v>
      </c>
      <c r="L868" s="31" t="s">
        <v>1755</v>
      </c>
      <c r="M868" s="32">
        <v>0.72</v>
      </c>
      <c r="N868" s="27" t="s">
        <v>33</v>
      </c>
      <c r="O868" s="27" t="s">
        <v>60</v>
      </c>
      <c r="P868" s="27" t="s">
        <v>90</v>
      </c>
      <c r="Q868" s="27" t="s">
        <v>1756</v>
      </c>
      <c r="R868" s="33">
        <v>95051</v>
      </c>
      <c r="S868" s="34">
        <v>42083</v>
      </c>
      <c r="T868" s="34">
        <v>42087</v>
      </c>
      <c r="U868" s="29">
        <v>-229.68</v>
      </c>
      <c r="V868" s="26">
        <v>8</v>
      </c>
      <c r="W868" s="29">
        <v>1232.01</v>
      </c>
      <c r="X868" s="26">
        <v>87953</v>
      </c>
      <c r="Y868" s="35">
        <v>6.4600000000000009</v>
      </c>
      <c r="Z868" s="1" t="s">
        <v>3013</v>
      </c>
      <c r="AA868" s="36">
        <v>77.270399999999995</v>
      </c>
      <c r="AB868" s="54">
        <v>344.96280000000002</v>
      </c>
      <c r="AC868" s="54">
        <v>110.8809</v>
      </c>
      <c r="AD868" s="36">
        <v>1349.3996</v>
      </c>
    </row>
    <row r="869" spans="1:30" s="37" customFormat="1" ht="15.75" customHeight="1" x14ac:dyDescent="0.2">
      <c r="A869" s="26">
        <v>3106</v>
      </c>
      <c r="B869" s="27" t="s">
        <v>1752</v>
      </c>
      <c r="C869" s="27" t="s">
        <v>26</v>
      </c>
      <c r="D869" s="28">
        <v>0.02</v>
      </c>
      <c r="E869" s="29">
        <v>6.48</v>
      </c>
      <c r="F869" s="29">
        <v>5.9</v>
      </c>
      <c r="G869" s="30" t="s">
        <v>39</v>
      </c>
      <c r="H869" s="27" t="s">
        <v>71</v>
      </c>
      <c r="I869" s="27" t="s">
        <v>49</v>
      </c>
      <c r="J869" s="27" t="s">
        <v>88</v>
      </c>
      <c r="K869" s="27" t="s">
        <v>73</v>
      </c>
      <c r="L869" s="31" t="s">
        <v>1751</v>
      </c>
      <c r="M869" s="32">
        <v>0.37</v>
      </c>
      <c r="N869" s="27" t="s">
        <v>33</v>
      </c>
      <c r="O869" s="27" t="s">
        <v>53</v>
      </c>
      <c r="P869" s="27" t="s">
        <v>187</v>
      </c>
      <c r="Q869" s="27" t="s">
        <v>1753</v>
      </c>
      <c r="R869" s="33">
        <v>77041</v>
      </c>
      <c r="S869" s="34">
        <v>42083</v>
      </c>
      <c r="T869" s="34">
        <v>42084</v>
      </c>
      <c r="U869" s="29">
        <v>-50.64</v>
      </c>
      <c r="V869" s="26">
        <v>53</v>
      </c>
      <c r="W869" s="29">
        <v>370.91</v>
      </c>
      <c r="X869" s="26">
        <v>548</v>
      </c>
      <c r="Y869" s="35">
        <v>125.94999999999999</v>
      </c>
      <c r="Z869" s="1" t="s">
        <v>3012</v>
      </c>
      <c r="AA869" s="36">
        <v>6.8688000000000011</v>
      </c>
      <c r="AB869" s="54">
        <v>233.67330000000001</v>
      </c>
      <c r="AC869" s="54">
        <v>2.5893716981132076</v>
      </c>
      <c r="AD869" s="36">
        <v>408.78120000000001</v>
      </c>
    </row>
    <row r="870" spans="1:30" s="37" customFormat="1" ht="15.75" customHeight="1" x14ac:dyDescent="0.2">
      <c r="A870" s="26">
        <v>1679</v>
      </c>
      <c r="B870" s="27" t="s">
        <v>1766</v>
      </c>
      <c r="C870" s="27" t="s">
        <v>116</v>
      </c>
      <c r="D870" s="28">
        <v>7.0000000000000007E-2</v>
      </c>
      <c r="E870" s="29">
        <v>13.73</v>
      </c>
      <c r="F870" s="29">
        <v>6.85</v>
      </c>
      <c r="G870" s="30" t="s">
        <v>39</v>
      </c>
      <c r="H870" s="27" t="s">
        <v>40</v>
      </c>
      <c r="I870" s="27" t="s">
        <v>29</v>
      </c>
      <c r="J870" s="27" t="s">
        <v>126</v>
      </c>
      <c r="K870" s="27" t="s">
        <v>51</v>
      </c>
      <c r="L870" s="31" t="s">
        <v>1767</v>
      </c>
      <c r="M870" s="32">
        <v>0.54</v>
      </c>
      <c r="N870" s="27" t="s">
        <v>33</v>
      </c>
      <c r="O870" s="27" t="s">
        <v>111</v>
      </c>
      <c r="P870" s="27" t="s">
        <v>317</v>
      </c>
      <c r="Q870" s="27" t="s">
        <v>1768</v>
      </c>
      <c r="R870" s="33">
        <v>45324</v>
      </c>
      <c r="S870" s="34">
        <v>42083</v>
      </c>
      <c r="T870" s="34">
        <v>42084</v>
      </c>
      <c r="U870" s="29">
        <v>-22.72</v>
      </c>
      <c r="V870" s="26">
        <v>21</v>
      </c>
      <c r="W870" s="29">
        <v>276.64</v>
      </c>
      <c r="X870" s="26">
        <v>86646</v>
      </c>
      <c r="Y870" s="35">
        <v>160.91999999999999</v>
      </c>
      <c r="Z870" s="1" t="s">
        <v>3014</v>
      </c>
      <c r="AA870" s="36">
        <v>20.183100000000003</v>
      </c>
      <c r="AB870" s="54">
        <v>127.25439999999999</v>
      </c>
      <c r="AC870" s="54">
        <v>7.1135999999999999</v>
      </c>
      <c r="AD870" s="36">
        <v>272.32689999999997</v>
      </c>
    </row>
    <row r="871" spans="1:30" s="37" customFormat="1" ht="15.75" customHeight="1" x14ac:dyDescent="0.2">
      <c r="A871" s="26">
        <v>3106</v>
      </c>
      <c r="B871" s="27" t="s">
        <v>1752</v>
      </c>
      <c r="C871" s="27" t="s">
        <v>26</v>
      </c>
      <c r="D871" s="28">
        <v>0.04</v>
      </c>
      <c r="E871" s="29">
        <v>3.08</v>
      </c>
      <c r="F871" s="29">
        <v>0.99</v>
      </c>
      <c r="G871" s="30" t="s">
        <v>39</v>
      </c>
      <c r="H871" s="27" t="s">
        <v>71</v>
      </c>
      <c r="I871" s="27" t="s">
        <v>49</v>
      </c>
      <c r="J871" s="27" t="s">
        <v>152</v>
      </c>
      <c r="K871" s="27" t="s">
        <v>73</v>
      </c>
      <c r="L871" s="31" t="s">
        <v>658</v>
      </c>
      <c r="M871" s="32">
        <v>0.37</v>
      </c>
      <c r="N871" s="27" t="s">
        <v>33</v>
      </c>
      <c r="O871" s="27" t="s">
        <v>53</v>
      </c>
      <c r="P871" s="27" t="s">
        <v>187</v>
      </c>
      <c r="Q871" s="27" t="s">
        <v>1753</v>
      </c>
      <c r="R871" s="33">
        <v>77041</v>
      </c>
      <c r="S871" s="34">
        <v>42083</v>
      </c>
      <c r="T871" s="34">
        <v>42084</v>
      </c>
      <c r="U871" s="29">
        <v>36.020000000000003</v>
      </c>
      <c r="V871" s="26">
        <v>75</v>
      </c>
      <c r="W871" s="29">
        <v>236.87</v>
      </c>
      <c r="X871" s="26">
        <v>548</v>
      </c>
      <c r="Y871" s="35">
        <v>160.91999999999999</v>
      </c>
      <c r="Z871" s="1" t="s">
        <v>3012</v>
      </c>
      <c r="AA871" s="36">
        <v>9.24</v>
      </c>
      <c r="AB871" s="54">
        <v>149.22810000000001</v>
      </c>
      <c r="AC871" s="54">
        <v>1.1685586666666665</v>
      </c>
      <c r="AD871" s="36">
        <v>190.62</v>
      </c>
    </row>
    <row r="872" spans="1:30" s="37" customFormat="1" ht="15.75" customHeight="1" x14ac:dyDescent="0.2">
      <c r="A872" s="26">
        <v>669</v>
      </c>
      <c r="B872" s="27" t="s">
        <v>1763</v>
      </c>
      <c r="C872" s="27" t="s">
        <v>116</v>
      </c>
      <c r="D872" s="28">
        <v>0.02</v>
      </c>
      <c r="E872" s="29">
        <v>48.91</v>
      </c>
      <c r="F872" s="29">
        <v>5.81</v>
      </c>
      <c r="G872" s="30" t="s">
        <v>39</v>
      </c>
      <c r="H872" s="27" t="s">
        <v>71</v>
      </c>
      <c r="I872" s="27" t="s">
        <v>49</v>
      </c>
      <c r="J872" s="27" t="s">
        <v>88</v>
      </c>
      <c r="K872" s="27" t="s">
        <v>73</v>
      </c>
      <c r="L872" s="31" t="s">
        <v>1765</v>
      </c>
      <c r="M872" s="32">
        <v>0.38</v>
      </c>
      <c r="N872" s="27" t="s">
        <v>33</v>
      </c>
      <c r="O872" s="27" t="s">
        <v>53</v>
      </c>
      <c r="P872" s="27" t="s">
        <v>213</v>
      </c>
      <c r="Q872" s="27" t="s">
        <v>1764</v>
      </c>
      <c r="R872" s="33">
        <v>52501</v>
      </c>
      <c r="S872" s="34">
        <v>42083</v>
      </c>
      <c r="T872" s="34">
        <v>42084</v>
      </c>
      <c r="U872" s="29">
        <v>32.86</v>
      </c>
      <c r="V872" s="26">
        <v>2</v>
      </c>
      <c r="W872" s="29">
        <v>101.06</v>
      </c>
      <c r="X872" s="26">
        <v>88475</v>
      </c>
      <c r="Y872" s="35">
        <v>1637.49</v>
      </c>
      <c r="Z872" s="1" t="s">
        <v>3012</v>
      </c>
      <c r="AA872" s="36">
        <v>1.9563999999999999</v>
      </c>
      <c r="AB872" s="54">
        <v>62.657200000000003</v>
      </c>
      <c r="AC872" s="54">
        <v>19.2014</v>
      </c>
      <c r="AD872" s="36">
        <v>60.433599999999998</v>
      </c>
    </row>
    <row r="873" spans="1:30" s="37" customFormat="1" ht="15.75" customHeight="1" x14ac:dyDescent="0.2">
      <c r="A873" s="26">
        <v>3361</v>
      </c>
      <c r="B873" s="27" t="s">
        <v>810</v>
      </c>
      <c r="C873" s="27" t="s">
        <v>3094</v>
      </c>
      <c r="D873" s="28">
        <v>0.06</v>
      </c>
      <c r="E873" s="29">
        <v>12.64</v>
      </c>
      <c r="F873" s="29">
        <v>4.9800000000000004</v>
      </c>
      <c r="G873" s="30" t="s">
        <v>39</v>
      </c>
      <c r="H873" s="27" t="s">
        <v>71</v>
      </c>
      <c r="I873" s="27" t="s">
        <v>29</v>
      </c>
      <c r="J873" s="27" t="s">
        <v>126</v>
      </c>
      <c r="K873" s="27" t="s">
        <v>43</v>
      </c>
      <c r="L873" s="31" t="s">
        <v>1773</v>
      </c>
      <c r="M873" s="32">
        <v>0.48</v>
      </c>
      <c r="N873" s="27" t="s">
        <v>33</v>
      </c>
      <c r="O873" s="27" t="s">
        <v>53</v>
      </c>
      <c r="P873" s="27" t="s">
        <v>357</v>
      </c>
      <c r="Q873" s="27" t="s">
        <v>812</v>
      </c>
      <c r="R873" s="33">
        <v>53095</v>
      </c>
      <c r="S873" s="34">
        <v>42083</v>
      </c>
      <c r="T873" s="34">
        <v>42085</v>
      </c>
      <c r="U873" s="29">
        <v>65.63</v>
      </c>
      <c r="V873" s="26">
        <v>8</v>
      </c>
      <c r="W873" s="29">
        <v>98.16</v>
      </c>
      <c r="X873" s="26">
        <v>91435</v>
      </c>
      <c r="Y873" s="35">
        <v>19.97</v>
      </c>
      <c r="Z873" s="1" t="s">
        <v>3012</v>
      </c>
      <c r="AA873" s="36">
        <v>6.0671999999999997</v>
      </c>
      <c r="AB873" s="54">
        <v>51.043199999999999</v>
      </c>
      <c r="AC873" s="54">
        <v>5.8895999999999997</v>
      </c>
      <c r="AD873" s="36">
        <v>21.482799999999997</v>
      </c>
    </row>
    <row r="874" spans="1:30" s="37" customFormat="1" ht="15.75" customHeight="1" x14ac:dyDescent="0.2">
      <c r="A874" s="26">
        <v>3105</v>
      </c>
      <c r="B874" s="27" t="s">
        <v>1750</v>
      </c>
      <c r="C874" s="27" t="s">
        <v>26</v>
      </c>
      <c r="D874" s="28">
        <v>0.02</v>
      </c>
      <c r="E874" s="29">
        <v>6.48</v>
      </c>
      <c r="F874" s="29">
        <v>5.9</v>
      </c>
      <c r="G874" s="30" t="s">
        <v>39</v>
      </c>
      <c r="H874" s="27" t="s">
        <v>71</v>
      </c>
      <c r="I874" s="27" t="s">
        <v>49</v>
      </c>
      <c r="J874" s="27" t="s">
        <v>88</v>
      </c>
      <c r="K874" s="27" t="s">
        <v>73</v>
      </c>
      <c r="L874" s="31" t="s">
        <v>1751</v>
      </c>
      <c r="M874" s="32">
        <v>0.37</v>
      </c>
      <c r="N874" s="27" t="s">
        <v>33</v>
      </c>
      <c r="O874" s="27" t="s">
        <v>34</v>
      </c>
      <c r="P874" s="27" t="s">
        <v>388</v>
      </c>
      <c r="Q874" s="27" t="s">
        <v>949</v>
      </c>
      <c r="R874" s="33">
        <v>42071</v>
      </c>
      <c r="S874" s="34">
        <v>42083</v>
      </c>
      <c r="T874" s="34">
        <v>42084</v>
      </c>
      <c r="U874" s="29">
        <v>4.3920000000000003</v>
      </c>
      <c r="V874" s="26">
        <v>13</v>
      </c>
      <c r="W874" s="29">
        <v>90.98</v>
      </c>
      <c r="X874" s="26">
        <v>86327</v>
      </c>
      <c r="Y874" s="35">
        <v>2.8000000000000003</v>
      </c>
      <c r="Z874" s="1" t="s">
        <v>3011</v>
      </c>
      <c r="AA874" s="36">
        <v>1.6848000000000003</v>
      </c>
      <c r="AB874" s="54">
        <v>57.317400000000006</v>
      </c>
      <c r="AC874" s="54">
        <v>2.5894307692307694</v>
      </c>
      <c r="AD874" s="36">
        <v>79.003200000000007</v>
      </c>
    </row>
    <row r="875" spans="1:30" s="37" customFormat="1" ht="15.75" customHeight="1" x14ac:dyDescent="0.2">
      <c r="A875" s="26">
        <v>3105</v>
      </c>
      <c r="B875" s="27" t="s">
        <v>1750</v>
      </c>
      <c r="C875" s="27" t="s">
        <v>26</v>
      </c>
      <c r="D875" s="28">
        <v>0.04</v>
      </c>
      <c r="E875" s="29">
        <v>3.08</v>
      </c>
      <c r="F875" s="29">
        <v>0.99</v>
      </c>
      <c r="G875" s="30" t="s">
        <v>39</v>
      </c>
      <c r="H875" s="27" t="s">
        <v>71</v>
      </c>
      <c r="I875" s="27" t="s">
        <v>49</v>
      </c>
      <c r="J875" s="27" t="s">
        <v>152</v>
      </c>
      <c r="K875" s="27" t="s">
        <v>73</v>
      </c>
      <c r="L875" s="31" t="s">
        <v>658</v>
      </c>
      <c r="M875" s="32">
        <v>0.37</v>
      </c>
      <c r="N875" s="27" t="s">
        <v>33</v>
      </c>
      <c r="O875" s="27" t="s">
        <v>34</v>
      </c>
      <c r="P875" s="27" t="s">
        <v>388</v>
      </c>
      <c r="Q875" s="27" t="s">
        <v>949</v>
      </c>
      <c r="R875" s="33">
        <v>42071</v>
      </c>
      <c r="S875" s="34">
        <v>42083</v>
      </c>
      <c r="T875" s="34">
        <v>42084</v>
      </c>
      <c r="U875" s="29">
        <v>13.8</v>
      </c>
      <c r="V875" s="26">
        <v>19</v>
      </c>
      <c r="W875" s="29">
        <v>60.01</v>
      </c>
      <c r="X875" s="26">
        <v>86327</v>
      </c>
      <c r="Y875" s="35">
        <v>48.889999999999993</v>
      </c>
      <c r="Z875" s="1" t="s">
        <v>3011</v>
      </c>
      <c r="AA875" s="36">
        <v>2.3408000000000002</v>
      </c>
      <c r="AB875" s="54">
        <v>37.8063</v>
      </c>
      <c r="AC875" s="54">
        <v>1.1686157894736842</v>
      </c>
      <c r="AD875" s="36">
        <v>42.879199999999997</v>
      </c>
    </row>
    <row r="876" spans="1:30" s="37" customFormat="1" ht="15.75" customHeight="1" x14ac:dyDescent="0.2">
      <c r="A876" s="26">
        <v>669</v>
      </c>
      <c r="B876" s="27" t="s">
        <v>1763</v>
      </c>
      <c r="C876" s="27" t="s">
        <v>116</v>
      </c>
      <c r="D876" s="28">
        <v>0.09</v>
      </c>
      <c r="E876" s="29">
        <v>2.89</v>
      </c>
      <c r="F876" s="29">
        <v>0.5</v>
      </c>
      <c r="G876" s="30" t="s">
        <v>39</v>
      </c>
      <c r="H876" s="27" t="s">
        <v>71</v>
      </c>
      <c r="I876" s="27" t="s">
        <v>49</v>
      </c>
      <c r="J876" s="27" t="s">
        <v>152</v>
      </c>
      <c r="K876" s="27" t="s">
        <v>73</v>
      </c>
      <c r="L876" s="31" t="s">
        <v>729</v>
      </c>
      <c r="M876" s="32">
        <v>0.38</v>
      </c>
      <c r="N876" s="27" t="s">
        <v>33</v>
      </c>
      <c r="O876" s="27" t="s">
        <v>53</v>
      </c>
      <c r="P876" s="27" t="s">
        <v>213</v>
      </c>
      <c r="Q876" s="27" t="s">
        <v>1764</v>
      </c>
      <c r="R876" s="33">
        <v>52501</v>
      </c>
      <c r="S876" s="34">
        <v>42083</v>
      </c>
      <c r="T876" s="34">
        <v>42085</v>
      </c>
      <c r="U876" s="29">
        <v>40.482300000000002</v>
      </c>
      <c r="V876" s="26">
        <v>22</v>
      </c>
      <c r="W876" s="29">
        <v>58.67</v>
      </c>
      <c r="X876" s="26">
        <v>88475</v>
      </c>
      <c r="Y876" s="35">
        <v>13.66</v>
      </c>
      <c r="Z876" s="1" t="s">
        <v>3012</v>
      </c>
      <c r="AA876" s="36">
        <v>5.7222</v>
      </c>
      <c r="AB876" s="54">
        <v>36.375399999999999</v>
      </c>
      <c r="AC876" s="54">
        <v>1.0133909090909092</v>
      </c>
      <c r="AD876" s="36">
        <v>11.965499999999999</v>
      </c>
    </row>
    <row r="877" spans="1:30" s="37" customFormat="1" ht="15.75" customHeight="1" x14ac:dyDescent="0.2">
      <c r="A877" s="26">
        <v>315</v>
      </c>
      <c r="B877" s="27" t="s">
        <v>1760</v>
      </c>
      <c r="C877" s="27" t="s">
        <v>116</v>
      </c>
      <c r="D877" s="28">
        <v>0.01</v>
      </c>
      <c r="E877" s="29">
        <v>19.98</v>
      </c>
      <c r="F877" s="29">
        <v>4</v>
      </c>
      <c r="G877" s="30" t="s">
        <v>39</v>
      </c>
      <c r="H877" s="27" t="s">
        <v>94</v>
      </c>
      <c r="I877" s="27" t="s">
        <v>41</v>
      </c>
      <c r="J877" s="27" t="s">
        <v>42</v>
      </c>
      <c r="K877" s="27" t="s">
        <v>73</v>
      </c>
      <c r="L877" s="31" t="s">
        <v>1761</v>
      </c>
      <c r="M877" s="32">
        <v>0.68</v>
      </c>
      <c r="N877" s="27" t="s">
        <v>33</v>
      </c>
      <c r="O877" s="27" t="s">
        <v>111</v>
      </c>
      <c r="P877" s="27" t="s">
        <v>403</v>
      </c>
      <c r="Q877" s="27" t="s">
        <v>1762</v>
      </c>
      <c r="R877" s="33">
        <v>1007</v>
      </c>
      <c r="S877" s="34">
        <v>42083</v>
      </c>
      <c r="T877" s="34">
        <v>42083</v>
      </c>
      <c r="U877" s="29">
        <v>-72.23</v>
      </c>
      <c r="V877" s="26">
        <v>2</v>
      </c>
      <c r="W877" s="29">
        <v>43.08</v>
      </c>
      <c r="X877" s="26">
        <v>89166</v>
      </c>
      <c r="Y877" s="35">
        <v>2.5499999999999998</v>
      </c>
      <c r="Z877" s="1" t="s">
        <v>3014</v>
      </c>
      <c r="AA877" s="36">
        <v>0.39960000000000001</v>
      </c>
      <c r="AB877" s="54">
        <v>13.785599999999997</v>
      </c>
      <c r="AC877" s="54">
        <v>14.6472</v>
      </c>
      <c r="AD877" s="36">
        <v>110.9104</v>
      </c>
    </row>
    <row r="878" spans="1:30" s="37" customFormat="1" ht="15.75" customHeight="1" x14ac:dyDescent="0.2">
      <c r="A878" s="26">
        <v>3360</v>
      </c>
      <c r="B878" s="27" t="s">
        <v>1771</v>
      </c>
      <c r="C878" s="27" t="s">
        <v>3094</v>
      </c>
      <c r="D878" s="28">
        <v>0.02</v>
      </c>
      <c r="E878" s="29">
        <v>9.11</v>
      </c>
      <c r="F878" s="29">
        <v>2.15</v>
      </c>
      <c r="G878" s="30" t="s">
        <v>39</v>
      </c>
      <c r="H878" s="27" t="s">
        <v>71</v>
      </c>
      <c r="I878" s="27" t="s">
        <v>49</v>
      </c>
      <c r="J878" s="27" t="s">
        <v>88</v>
      </c>
      <c r="K878" s="27" t="s">
        <v>51</v>
      </c>
      <c r="L878" s="31" t="s">
        <v>89</v>
      </c>
      <c r="M878" s="32">
        <v>0.4</v>
      </c>
      <c r="N878" s="27" t="s">
        <v>33</v>
      </c>
      <c r="O878" s="27" t="s">
        <v>53</v>
      </c>
      <c r="P878" s="27" t="s">
        <v>357</v>
      </c>
      <c r="Q878" s="27" t="s">
        <v>1772</v>
      </c>
      <c r="R878" s="33">
        <v>53214</v>
      </c>
      <c r="S878" s="34">
        <v>42083</v>
      </c>
      <c r="T878" s="34">
        <v>42085</v>
      </c>
      <c r="U878" s="29">
        <v>18.41</v>
      </c>
      <c r="V878" s="26">
        <v>3</v>
      </c>
      <c r="W878" s="29">
        <v>27.37</v>
      </c>
      <c r="X878" s="26">
        <v>91435</v>
      </c>
      <c r="Y878" s="35">
        <v>9.09</v>
      </c>
      <c r="Z878" s="1" t="s">
        <v>3012</v>
      </c>
      <c r="AA878" s="36">
        <v>0.54659999999999997</v>
      </c>
      <c r="AB878" s="54">
        <v>16.422000000000001</v>
      </c>
      <c r="AC878" s="54">
        <v>3.6493333333333333</v>
      </c>
      <c r="AD878" s="36">
        <v>6.2634000000000007</v>
      </c>
    </row>
    <row r="879" spans="1:30" s="37" customFormat="1" ht="15.75" customHeight="1" x14ac:dyDescent="0.2">
      <c r="A879" s="26">
        <v>2794</v>
      </c>
      <c r="B879" s="27" t="s">
        <v>1769</v>
      </c>
      <c r="C879" s="27" t="s">
        <v>116</v>
      </c>
      <c r="D879" s="28">
        <v>0.06</v>
      </c>
      <c r="E879" s="29">
        <v>2.61</v>
      </c>
      <c r="F879" s="29">
        <v>0.5</v>
      </c>
      <c r="G879" s="30" t="s">
        <v>39</v>
      </c>
      <c r="H879" s="27" t="s">
        <v>94</v>
      </c>
      <c r="I879" s="27" t="s">
        <v>49</v>
      </c>
      <c r="J879" s="27" t="s">
        <v>152</v>
      </c>
      <c r="K879" s="27" t="s">
        <v>73</v>
      </c>
      <c r="L879" s="31" t="s">
        <v>1569</v>
      </c>
      <c r="M879" s="32">
        <v>0.39</v>
      </c>
      <c r="N879" s="27" t="s">
        <v>33</v>
      </c>
      <c r="O879" s="27" t="s">
        <v>53</v>
      </c>
      <c r="P879" s="27" t="s">
        <v>213</v>
      </c>
      <c r="Q879" s="27" t="s">
        <v>1770</v>
      </c>
      <c r="R879" s="33">
        <v>50158</v>
      </c>
      <c r="S879" s="34">
        <v>42083</v>
      </c>
      <c r="T879" s="34">
        <v>42085</v>
      </c>
      <c r="U879" s="29">
        <v>3.5949</v>
      </c>
      <c r="V879" s="26">
        <v>2</v>
      </c>
      <c r="W879" s="29">
        <v>5.21</v>
      </c>
      <c r="X879" s="26">
        <v>87554</v>
      </c>
      <c r="Y879" s="35">
        <v>12.58</v>
      </c>
      <c r="Z879" s="1" t="s">
        <v>3012</v>
      </c>
      <c r="AA879" s="36">
        <v>0.31319999999999998</v>
      </c>
      <c r="AB879" s="54">
        <v>3.1780999999999997</v>
      </c>
      <c r="AC879" s="54">
        <v>1.0159500000000001</v>
      </c>
      <c r="AD879" s="36">
        <v>0.80189999999999984</v>
      </c>
    </row>
    <row r="880" spans="1:30" s="37" customFormat="1" ht="15.75" customHeight="1" x14ac:dyDescent="0.2">
      <c r="A880" s="26">
        <v>1185</v>
      </c>
      <c r="B880" s="27" t="s">
        <v>1782</v>
      </c>
      <c r="C880" s="27" t="s">
        <v>116</v>
      </c>
      <c r="D880" s="28">
        <v>0</v>
      </c>
      <c r="E880" s="29">
        <v>6783.02</v>
      </c>
      <c r="F880" s="29">
        <v>24.49</v>
      </c>
      <c r="G880" s="30" t="s">
        <v>39</v>
      </c>
      <c r="H880" s="27" t="s">
        <v>40</v>
      </c>
      <c r="I880" s="27" t="s">
        <v>41</v>
      </c>
      <c r="J880" s="27" t="s">
        <v>57</v>
      </c>
      <c r="K880" s="27" t="s">
        <v>65</v>
      </c>
      <c r="L880" s="31" t="s">
        <v>314</v>
      </c>
      <c r="M880" s="32">
        <v>0.39</v>
      </c>
      <c r="N880" s="27" t="s">
        <v>33</v>
      </c>
      <c r="O880" s="27" t="s">
        <v>34</v>
      </c>
      <c r="P880" s="27" t="s">
        <v>164</v>
      </c>
      <c r="Q880" s="27" t="s">
        <v>358</v>
      </c>
      <c r="R880" s="33">
        <v>35756</v>
      </c>
      <c r="S880" s="34">
        <v>42084</v>
      </c>
      <c r="T880" s="34">
        <v>42085</v>
      </c>
      <c r="U880" s="29">
        <v>4.1100000000000003</v>
      </c>
      <c r="V880" s="26">
        <v>3</v>
      </c>
      <c r="W880" s="29">
        <v>20552.55</v>
      </c>
      <c r="X880" s="26">
        <v>85938</v>
      </c>
      <c r="Y880" s="35">
        <v>6.3900000000000006</v>
      </c>
      <c r="Z880" s="1" t="s">
        <v>3011</v>
      </c>
      <c r="AA880" s="36">
        <v>0</v>
      </c>
      <c r="AB880" s="54">
        <v>12537.055499999999</v>
      </c>
      <c r="AC880" s="54">
        <v>2671.8314999999998</v>
      </c>
      <c r="AD880" s="36">
        <v>20523.95</v>
      </c>
    </row>
    <row r="881" spans="1:30" s="37" customFormat="1" ht="15.75" customHeight="1" x14ac:dyDescent="0.2">
      <c r="A881" s="26">
        <v>1471</v>
      </c>
      <c r="B881" s="27" t="s">
        <v>1777</v>
      </c>
      <c r="C881" s="27" t="s">
        <v>38</v>
      </c>
      <c r="D881" s="28">
        <v>0.03</v>
      </c>
      <c r="E881" s="29">
        <v>420.98</v>
      </c>
      <c r="F881" s="29">
        <v>19.989999999999998</v>
      </c>
      <c r="G881" s="30" t="s">
        <v>39</v>
      </c>
      <c r="H881" s="27" t="s">
        <v>71</v>
      </c>
      <c r="I881" s="27" t="s">
        <v>49</v>
      </c>
      <c r="J881" s="27" t="s">
        <v>72</v>
      </c>
      <c r="K881" s="27" t="s">
        <v>73</v>
      </c>
      <c r="L881" s="31" t="s">
        <v>867</v>
      </c>
      <c r="M881" s="32">
        <v>0.35</v>
      </c>
      <c r="N881" s="27" t="s">
        <v>33</v>
      </c>
      <c r="O881" s="27" t="s">
        <v>111</v>
      </c>
      <c r="P881" s="27" t="s">
        <v>317</v>
      </c>
      <c r="Q881" s="27" t="s">
        <v>1138</v>
      </c>
      <c r="R881" s="33">
        <v>43081</v>
      </c>
      <c r="S881" s="34">
        <v>42084</v>
      </c>
      <c r="T881" s="34">
        <v>42085</v>
      </c>
      <c r="U881" s="29">
        <v>3043.0311000000002</v>
      </c>
      <c r="V881" s="26">
        <v>10</v>
      </c>
      <c r="W881" s="29">
        <v>4410.1899999999996</v>
      </c>
      <c r="X881" s="26">
        <v>87077</v>
      </c>
      <c r="Y881" s="35">
        <v>420.95000000000005</v>
      </c>
      <c r="Z881" s="1" t="s">
        <v>3014</v>
      </c>
      <c r="AA881" s="36">
        <v>126.29400000000001</v>
      </c>
      <c r="AB881" s="54">
        <v>2866.6234999999997</v>
      </c>
      <c r="AC881" s="54">
        <v>154.35664999999997</v>
      </c>
      <c r="AD881" s="36">
        <v>1220.8748999999998</v>
      </c>
    </row>
    <row r="882" spans="1:30" s="37" customFormat="1" ht="15.75" customHeight="1" x14ac:dyDescent="0.2">
      <c r="A882" s="26">
        <v>3258</v>
      </c>
      <c r="B882" s="27" t="s">
        <v>1783</v>
      </c>
      <c r="C882" s="27" t="s">
        <v>3094</v>
      </c>
      <c r="D882" s="28">
        <v>0.02</v>
      </c>
      <c r="E882" s="29">
        <v>55.94</v>
      </c>
      <c r="F882" s="29">
        <v>6.55</v>
      </c>
      <c r="G882" s="30" t="s">
        <v>39</v>
      </c>
      <c r="H882" s="27" t="s">
        <v>40</v>
      </c>
      <c r="I882" s="27" t="s">
        <v>41</v>
      </c>
      <c r="J882" s="27" t="s">
        <v>42</v>
      </c>
      <c r="K882" s="27" t="s">
        <v>73</v>
      </c>
      <c r="L882" s="31" t="s">
        <v>1784</v>
      </c>
      <c r="M882" s="32">
        <v>0.68</v>
      </c>
      <c r="N882" s="27" t="s">
        <v>33</v>
      </c>
      <c r="O882" s="27" t="s">
        <v>60</v>
      </c>
      <c r="P882" s="27" t="s">
        <v>67</v>
      </c>
      <c r="Q882" s="27" t="s">
        <v>1785</v>
      </c>
      <c r="R882" s="33">
        <v>98037</v>
      </c>
      <c r="S882" s="34">
        <v>42084</v>
      </c>
      <c r="T882" s="34">
        <v>42086</v>
      </c>
      <c r="U882" s="29">
        <v>401.85</v>
      </c>
      <c r="V882" s="26">
        <v>11</v>
      </c>
      <c r="W882" s="29">
        <v>646.88</v>
      </c>
      <c r="X882" s="26">
        <v>88824</v>
      </c>
      <c r="Y882" s="35">
        <v>5.69</v>
      </c>
      <c r="Z882" s="1" t="s">
        <v>3013</v>
      </c>
      <c r="AA882" s="36">
        <v>12.306800000000001</v>
      </c>
      <c r="AB882" s="54">
        <v>207.00159999999997</v>
      </c>
      <c r="AC882" s="54">
        <v>39.988945454545458</v>
      </c>
      <c r="AD882" s="36">
        <v>226.17319999999995</v>
      </c>
    </row>
    <row r="883" spans="1:30" s="37" customFormat="1" ht="15.75" customHeight="1" x14ac:dyDescent="0.2">
      <c r="A883" s="26">
        <v>3275</v>
      </c>
      <c r="B883" s="27" t="s">
        <v>63</v>
      </c>
      <c r="C883" s="27" t="s">
        <v>48</v>
      </c>
      <c r="D883" s="28">
        <v>0.02</v>
      </c>
      <c r="E883" s="29">
        <v>13.48</v>
      </c>
      <c r="F883" s="29">
        <v>4.51</v>
      </c>
      <c r="G883" s="30" t="s">
        <v>39</v>
      </c>
      <c r="H883" s="27" t="s">
        <v>71</v>
      </c>
      <c r="I883" s="27" t="s">
        <v>49</v>
      </c>
      <c r="J883" s="27" t="s">
        <v>78</v>
      </c>
      <c r="K883" s="27" t="s">
        <v>73</v>
      </c>
      <c r="L883" s="31" t="s">
        <v>1781</v>
      </c>
      <c r="M883" s="32">
        <v>0.59</v>
      </c>
      <c r="N883" s="27" t="s">
        <v>33</v>
      </c>
      <c r="O883" s="27" t="s">
        <v>60</v>
      </c>
      <c r="P883" s="27" t="s">
        <v>67</v>
      </c>
      <c r="Q883" s="27" t="s">
        <v>68</v>
      </c>
      <c r="R883" s="33">
        <v>98273</v>
      </c>
      <c r="S883" s="34">
        <v>42084</v>
      </c>
      <c r="T883" s="34">
        <v>42086</v>
      </c>
      <c r="U883" s="29">
        <v>34.520000000000003</v>
      </c>
      <c r="V883" s="26">
        <v>9</v>
      </c>
      <c r="W883" s="29">
        <v>127.12</v>
      </c>
      <c r="X883" s="26">
        <v>86233</v>
      </c>
      <c r="Y883" s="35">
        <v>13.46</v>
      </c>
      <c r="Z883" s="1" t="s">
        <v>3013</v>
      </c>
      <c r="AA883" s="36">
        <v>2.4264000000000001</v>
      </c>
      <c r="AB883" s="54">
        <v>52.119200000000006</v>
      </c>
      <c r="AC883" s="54">
        <v>8.3334222222222216</v>
      </c>
      <c r="AD883" s="36">
        <v>85.663600000000002</v>
      </c>
    </row>
    <row r="884" spans="1:30" s="37" customFormat="1" ht="15.75" customHeight="1" x14ac:dyDescent="0.2">
      <c r="A884" s="26">
        <v>691</v>
      </c>
      <c r="B884" s="27" t="s">
        <v>1774</v>
      </c>
      <c r="C884" s="27" t="s">
        <v>38</v>
      </c>
      <c r="D884" s="28">
        <v>0.09</v>
      </c>
      <c r="E884" s="29">
        <v>6.48</v>
      </c>
      <c r="F884" s="29">
        <v>6.35</v>
      </c>
      <c r="G884" s="30" t="s">
        <v>39</v>
      </c>
      <c r="H884" s="27" t="s">
        <v>71</v>
      </c>
      <c r="I884" s="27" t="s">
        <v>49</v>
      </c>
      <c r="J884" s="27" t="s">
        <v>88</v>
      </c>
      <c r="K884" s="27" t="s">
        <v>73</v>
      </c>
      <c r="L884" s="31" t="s">
        <v>1775</v>
      </c>
      <c r="M884" s="32">
        <v>0.37</v>
      </c>
      <c r="N884" s="27" t="s">
        <v>33</v>
      </c>
      <c r="O884" s="27" t="s">
        <v>60</v>
      </c>
      <c r="P884" s="27" t="s">
        <v>67</v>
      </c>
      <c r="Q884" s="27" t="s">
        <v>1776</v>
      </c>
      <c r="R884" s="33">
        <v>98408</v>
      </c>
      <c r="S884" s="34">
        <v>42084</v>
      </c>
      <c r="T884" s="34">
        <v>42085</v>
      </c>
      <c r="U884" s="29">
        <v>-88.6</v>
      </c>
      <c r="V884" s="26">
        <v>8</v>
      </c>
      <c r="W884" s="29">
        <v>49.81</v>
      </c>
      <c r="X884" s="26">
        <v>89915</v>
      </c>
      <c r="Y884" s="35">
        <v>2.79</v>
      </c>
      <c r="Z884" s="1" t="s">
        <v>3013</v>
      </c>
      <c r="AA884" s="36">
        <v>4.6656000000000004</v>
      </c>
      <c r="AB884" s="54">
        <v>31.380300000000002</v>
      </c>
      <c r="AC884" s="54">
        <v>2.3037125000000001</v>
      </c>
      <c r="AD884" s="36">
        <v>127.3944</v>
      </c>
    </row>
    <row r="885" spans="1:30" s="37" customFormat="1" ht="15.75" customHeight="1" x14ac:dyDescent="0.2">
      <c r="A885" s="26">
        <v>2601</v>
      </c>
      <c r="B885" s="27" t="s">
        <v>1778</v>
      </c>
      <c r="C885" s="27" t="s">
        <v>48</v>
      </c>
      <c r="D885" s="28">
        <v>0.05</v>
      </c>
      <c r="E885" s="29">
        <v>5.74</v>
      </c>
      <c r="F885" s="29">
        <v>5.3</v>
      </c>
      <c r="G885" s="30" t="s">
        <v>39</v>
      </c>
      <c r="H885" s="27" t="s">
        <v>94</v>
      </c>
      <c r="I885" s="27" t="s">
        <v>49</v>
      </c>
      <c r="J885" s="27" t="s">
        <v>568</v>
      </c>
      <c r="K885" s="27" t="s">
        <v>43</v>
      </c>
      <c r="L885" s="31" t="s">
        <v>1779</v>
      </c>
      <c r="M885" s="32">
        <v>0.55000000000000004</v>
      </c>
      <c r="N885" s="27" t="s">
        <v>33</v>
      </c>
      <c r="O885" s="27" t="s">
        <v>111</v>
      </c>
      <c r="P885" s="27" t="s">
        <v>1356</v>
      </c>
      <c r="Q885" s="27" t="s">
        <v>1780</v>
      </c>
      <c r="R885" s="33">
        <v>3054</v>
      </c>
      <c r="S885" s="34">
        <v>42084</v>
      </c>
      <c r="T885" s="34">
        <v>42089</v>
      </c>
      <c r="U885" s="29">
        <v>-50.75</v>
      </c>
      <c r="V885" s="26">
        <v>7</v>
      </c>
      <c r="W885" s="29">
        <v>42.02</v>
      </c>
      <c r="X885" s="26">
        <v>87382</v>
      </c>
      <c r="Y885" s="35">
        <v>6783.02</v>
      </c>
      <c r="Z885" s="1" t="s">
        <v>3014</v>
      </c>
      <c r="AA885" s="36">
        <v>2.0090000000000003</v>
      </c>
      <c r="AB885" s="54">
        <v>18.908999999999999</v>
      </c>
      <c r="AC885" s="54">
        <v>3.301571428571429</v>
      </c>
      <c r="AD885" s="36">
        <v>85.461000000000013</v>
      </c>
    </row>
    <row r="886" spans="1:30" s="37" customFormat="1" ht="15.75" customHeight="1" x14ac:dyDescent="0.2">
      <c r="A886" s="26">
        <v>247</v>
      </c>
      <c r="B886" s="27" t="s">
        <v>1335</v>
      </c>
      <c r="C886" s="27" t="s">
        <v>116</v>
      </c>
      <c r="D886" s="28">
        <v>0.09</v>
      </c>
      <c r="E886" s="29">
        <v>2.88</v>
      </c>
      <c r="F886" s="29">
        <v>0.99</v>
      </c>
      <c r="G886" s="30" t="s">
        <v>39</v>
      </c>
      <c r="H886" s="27" t="s">
        <v>94</v>
      </c>
      <c r="I886" s="27" t="s">
        <v>49</v>
      </c>
      <c r="J886" s="27" t="s">
        <v>152</v>
      </c>
      <c r="K886" s="27" t="s">
        <v>73</v>
      </c>
      <c r="L886" s="31" t="s">
        <v>222</v>
      </c>
      <c r="M886" s="32">
        <v>0.36</v>
      </c>
      <c r="N886" s="27" t="s">
        <v>33</v>
      </c>
      <c r="O886" s="27" t="s">
        <v>34</v>
      </c>
      <c r="P886" s="27" t="s">
        <v>400</v>
      </c>
      <c r="Q886" s="27" t="s">
        <v>1336</v>
      </c>
      <c r="R886" s="33">
        <v>37804</v>
      </c>
      <c r="S886" s="34">
        <v>42084</v>
      </c>
      <c r="T886" s="34">
        <v>42086</v>
      </c>
      <c r="U886" s="29">
        <v>-145.08199999999999</v>
      </c>
      <c r="V886" s="26">
        <v>10</v>
      </c>
      <c r="W886" s="29">
        <v>28.73</v>
      </c>
      <c r="X886" s="26">
        <v>89140</v>
      </c>
      <c r="Y886" s="35">
        <v>55.919999999999995</v>
      </c>
      <c r="Z886" s="1" t="s">
        <v>3011</v>
      </c>
      <c r="AA886" s="36">
        <v>2.5919999999999996</v>
      </c>
      <c r="AB886" s="54">
        <v>18.3872</v>
      </c>
      <c r="AC886" s="54">
        <v>1.0342800000000001</v>
      </c>
      <c r="AD886" s="36">
        <v>170.22999999999996</v>
      </c>
    </row>
    <row r="887" spans="1:30" s="37" customFormat="1" ht="15.75" customHeight="1" x14ac:dyDescent="0.2">
      <c r="A887" s="26">
        <v>87</v>
      </c>
      <c r="B887" s="27" t="s">
        <v>1786</v>
      </c>
      <c r="C887" s="27" t="s">
        <v>38</v>
      </c>
      <c r="D887" s="28">
        <v>0.01</v>
      </c>
      <c r="E887" s="29">
        <v>296.18</v>
      </c>
      <c r="F887" s="29">
        <v>54.12</v>
      </c>
      <c r="G887" s="30" t="s">
        <v>27</v>
      </c>
      <c r="H887" s="27" t="s">
        <v>94</v>
      </c>
      <c r="I887" s="27" t="s">
        <v>29</v>
      </c>
      <c r="J887" s="27" t="s">
        <v>30</v>
      </c>
      <c r="K887" s="27" t="s">
        <v>31</v>
      </c>
      <c r="L887" s="31" t="s">
        <v>1079</v>
      </c>
      <c r="M887" s="32">
        <v>0.76</v>
      </c>
      <c r="N887" s="27" t="s">
        <v>33</v>
      </c>
      <c r="O887" s="27" t="s">
        <v>60</v>
      </c>
      <c r="P887" s="27" t="s">
        <v>90</v>
      </c>
      <c r="Q887" s="27" t="s">
        <v>1787</v>
      </c>
      <c r="R887" s="33">
        <v>95687</v>
      </c>
      <c r="S887" s="34">
        <v>42085</v>
      </c>
      <c r="T887" s="34">
        <v>42088</v>
      </c>
      <c r="U887" s="29">
        <v>173.48</v>
      </c>
      <c r="V887" s="26">
        <v>9</v>
      </c>
      <c r="W887" s="29">
        <v>2875.72</v>
      </c>
      <c r="X887" s="26">
        <v>90597</v>
      </c>
      <c r="Y887" s="35">
        <v>4.82</v>
      </c>
      <c r="Z887" s="1" t="s">
        <v>3013</v>
      </c>
      <c r="AA887" s="36">
        <v>26.656200000000002</v>
      </c>
      <c r="AB887" s="54">
        <v>690.17279999999994</v>
      </c>
      <c r="AC887" s="54">
        <v>242.83857777777777</v>
      </c>
      <c r="AD887" s="36">
        <v>2621.4638</v>
      </c>
    </row>
    <row r="888" spans="1:30" s="37" customFormat="1" ht="15.75" customHeight="1" x14ac:dyDescent="0.2">
      <c r="A888" s="26">
        <v>2561</v>
      </c>
      <c r="B888" s="27" t="s">
        <v>1798</v>
      </c>
      <c r="C888" s="27" t="s">
        <v>3094</v>
      </c>
      <c r="D888" s="28">
        <v>0.03</v>
      </c>
      <c r="E888" s="29">
        <v>160.97999999999999</v>
      </c>
      <c r="F888" s="29">
        <v>30</v>
      </c>
      <c r="G888" s="30" t="s">
        <v>27</v>
      </c>
      <c r="H888" s="27" t="s">
        <v>40</v>
      </c>
      <c r="I888" s="27" t="s">
        <v>29</v>
      </c>
      <c r="J888" s="27" t="s">
        <v>109</v>
      </c>
      <c r="K888" s="27" t="s">
        <v>58</v>
      </c>
      <c r="L888" s="31" t="s">
        <v>892</v>
      </c>
      <c r="M888" s="32">
        <v>0.62</v>
      </c>
      <c r="N888" s="27" t="s">
        <v>33</v>
      </c>
      <c r="O888" s="27" t="s">
        <v>111</v>
      </c>
      <c r="P888" s="27" t="s">
        <v>112</v>
      </c>
      <c r="Q888" s="27" t="s">
        <v>1799</v>
      </c>
      <c r="R888" s="33">
        <v>10562</v>
      </c>
      <c r="S888" s="34">
        <v>42085</v>
      </c>
      <c r="T888" s="34">
        <v>42088</v>
      </c>
      <c r="U888" s="29">
        <v>1261.4718</v>
      </c>
      <c r="V888" s="26">
        <v>11</v>
      </c>
      <c r="W888" s="29">
        <v>1828.22</v>
      </c>
      <c r="X888" s="26">
        <v>86465</v>
      </c>
      <c r="Y888" s="35">
        <v>296.17</v>
      </c>
      <c r="Z888" s="1" t="s">
        <v>3014</v>
      </c>
      <c r="AA888" s="36">
        <v>53.123399999999997</v>
      </c>
      <c r="AB888" s="54">
        <v>694.72360000000003</v>
      </c>
      <c r="AC888" s="54">
        <v>103.04512727272729</v>
      </c>
      <c r="AD888" s="36">
        <v>483.62480000000005</v>
      </c>
    </row>
    <row r="889" spans="1:30" s="37" customFormat="1" ht="15.75" customHeight="1" x14ac:dyDescent="0.2">
      <c r="A889" s="26">
        <v>950</v>
      </c>
      <c r="B889" s="27" t="s">
        <v>82</v>
      </c>
      <c r="C889" s="27" t="s">
        <v>48</v>
      </c>
      <c r="D889" s="28">
        <v>0.05</v>
      </c>
      <c r="E889" s="29">
        <v>1500.97</v>
      </c>
      <c r="F889" s="29">
        <v>29.7</v>
      </c>
      <c r="G889" s="30" t="s">
        <v>27</v>
      </c>
      <c r="H889" s="27" t="s">
        <v>40</v>
      </c>
      <c r="I889" s="27" t="s">
        <v>41</v>
      </c>
      <c r="J889" s="27" t="s">
        <v>57</v>
      </c>
      <c r="K889" s="27" t="s">
        <v>58</v>
      </c>
      <c r="L889" s="31" t="s">
        <v>1790</v>
      </c>
      <c r="M889" s="32">
        <v>0.56999999999999995</v>
      </c>
      <c r="N889" s="27" t="s">
        <v>33</v>
      </c>
      <c r="O889" s="27" t="s">
        <v>53</v>
      </c>
      <c r="P889" s="27" t="s">
        <v>84</v>
      </c>
      <c r="Q889" s="27" t="s">
        <v>85</v>
      </c>
      <c r="R889" s="33">
        <v>55372</v>
      </c>
      <c r="S889" s="34">
        <v>42085</v>
      </c>
      <c r="T889" s="34">
        <v>42085</v>
      </c>
      <c r="U889" s="29">
        <v>-2561.3235</v>
      </c>
      <c r="V889" s="26">
        <v>1</v>
      </c>
      <c r="W889" s="29">
        <v>1497.22</v>
      </c>
      <c r="X889" s="26">
        <v>89084</v>
      </c>
      <c r="Y889" s="35">
        <v>39.409999999999997</v>
      </c>
      <c r="Z889" s="1" t="s">
        <v>3012</v>
      </c>
      <c r="AA889" s="36">
        <v>75.048500000000004</v>
      </c>
      <c r="AB889" s="54">
        <v>643.80460000000005</v>
      </c>
      <c r="AC889" s="54">
        <v>853.41539999999998</v>
      </c>
      <c r="AD889" s="36">
        <v>3953.7950000000001</v>
      </c>
    </row>
    <row r="890" spans="1:30" s="37" customFormat="1" ht="15.75" customHeight="1" x14ac:dyDescent="0.2">
      <c r="A890" s="26">
        <v>959</v>
      </c>
      <c r="B890" s="27" t="s">
        <v>1796</v>
      </c>
      <c r="C890" s="27" t="s">
        <v>3094</v>
      </c>
      <c r="D890" s="28">
        <v>0.01</v>
      </c>
      <c r="E890" s="29">
        <v>145.44999999999999</v>
      </c>
      <c r="F890" s="29">
        <v>17.850000000000001</v>
      </c>
      <c r="G890" s="30" t="s">
        <v>27</v>
      </c>
      <c r="H890" s="27" t="s">
        <v>94</v>
      </c>
      <c r="I890" s="27" t="s">
        <v>41</v>
      </c>
      <c r="J890" s="27" t="s">
        <v>57</v>
      </c>
      <c r="K890" s="27" t="s">
        <v>58</v>
      </c>
      <c r="L890" s="31" t="s">
        <v>210</v>
      </c>
      <c r="M890" s="32">
        <v>0.56000000000000005</v>
      </c>
      <c r="N890" s="27" t="s">
        <v>33</v>
      </c>
      <c r="O890" s="27" t="s">
        <v>53</v>
      </c>
      <c r="P890" s="27" t="s">
        <v>187</v>
      </c>
      <c r="Q890" s="27" t="s">
        <v>197</v>
      </c>
      <c r="R890" s="33">
        <v>76028</v>
      </c>
      <c r="S890" s="34">
        <v>42085</v>
      </c>
      <c r="T890" s="34">
        <v>42086</v>
      </c>
      <c r="U890" s="29">
        <v>837.6807</v>
      </c>
      <c r="V890" s="26">
        <v>8</v>
      </c>
      <c r="W890" s="29">
        <v>1214.03</v>
      </c>
      <c r="X890" s="26">
        <v>91581</v>
      </c>
      <c r="Y890" s="35">
        <v>4.91</v>
      </c>
      <c r="Z890" s="1" t="s">
        <v>3012</v>
      </c>
      <c r="AA890" s="36">
        <v>11.635999999999999</v>
      </c>
      <c r="AB890" s="54">
        <v>534.17319999999995</v>
      </c>
      <c r="AC890" s="54">
        <v>84.982100000000003</v>
      </c>
      <c r="AD890" s="36">
        <v>346.86329999999998</v>
      </c>
    </row>
    <row r="891" spans="1:30" s="37" customFormat="1" ht="15.75" customHeight="1" x14ac:dyDescent="0.2">
      <c r="A891" s="26">
        <v>949</v>
      </c>
      <c r="B891" s="27" t="s">
        <v>99</v>
      </c>
      <c r="C891" s="27" t="s">
        <v>48</v>
      </c>
      <c r="D891" s="28">
        <v>0.02</v>
      </c>
      <c r="E891" s="29">
        <v>48.04</v>
      </c>
      <c r="F891" s="29">
        <v>5.09</v>
      </c>
      <c r="G891" s="30" t="s">
        <v>39</v>
      </c>
      <c r="H891" s="27" t="s">
        <v>40</v>
      </c>
      <c r="I891" s="27" t="s">
        <v>49</v>
      </c>
      <c r="J891" s="27" t="s">
        <v>88</v>
      </c>
      <c r="K891" s="27" t="s">
        <v>73</v>
      </c>
      <c r="L891" s="31" t="s">
        <v>462</v>
      </c>
      <c r="M891" s="32">
        <v>0.37</v>
      </c>
      <c r="N891" s="27" t="s">
        <v>33</v>
      </c>
      <c r="O891" s="27" t="s">
        <v>60</v>
      </c>
      <c r="P891" s="27" t="s">
        <v>90</v>
      </c>
      <c r="Q891" s="27" t="s">
        <v>100</v>
      </c>
      <c r="R891" s="33">
        <v>90049</v>
      </c>
      <c r="S891" s="34">
        <v>42085</v>
      </c>
      <c r="T891" s="34">
        <v>42089</v>
      </c>
      <c r="U891" s="29">
        <v>373.67</v>
      </c>
      <c r="V891" s="26">
        <v>18</v>
      </c>
      <c r="W891" s="29">
        <v>881.32</v>
      </c>
      <c r="X891" s="26">
        <v>8257</v>
      </c>
      <c r="Y891" s="35">
        <v>48.019999999999996</v>
      </c>
      <c r="Z891" s="1" t="s">
        <v>3013</v>
      </c>
      <c r="AA891" s="36">
        <v>17.2944</v>
      </c>
      <c r="AB891" s="54">
        <v>555.23160000000007</v>
      </c>
      <c r="AC891" s="54">
        <v>18.116022222222224</v>
      </c>
      <c r="AD891" s="36">
        <v>485.26560000000006</v>
      </c>
    </row>
    <row r="892" spans="1:30" s="37" customFormat="1" ht="15.75" customHeight="1" x14ac:dyDescent="0.2">
      <c r="A892" s="26">
        <v>1938</v>
      </c>
      <c r="B892" s="27" t="s">
        <v>1792</v>
      </c>
      <c r="C892" s="27" t="s">
        <v>116</v>
      </c>
      <c r="D892" s="28">
        <v>0.1</v>
      </c>
      <c r="E892" s="29">
        <v>152.47999999999999</v>
      </c>
      <c r="F892" s="29">
        <v>4</v>
      </c>
      <c r="G892" s="30" t="s">
        <v>87</v>
      </c>
      <c r="H892" s="27" t="s">
        <v>94</v>
      </c>
      <c r="I892" s="27" t="s">
        <v>41</v>
      </c>
      <c r="J892" s="27" t="s">
        <v>42</v>
      </c>
      <c r="K892" s="27" t="s">
        <v>73</v>
      </c>
      <c r="L892" s="31" t="s">
        <v>1793</v>
      </c>
      <c r="M892" s="32">
        <v>0.79</v>
      </c>
      <c r="N892" s="27" t="s">
        <v>33</v>
      </c>
      <c r="O892" s="27" t="s">
        <v>53</v>
      </c>
      <c r="P892" s="27" t="s">
        <v>537</v>
      </c>
      <c r="Q892" s="27" t="s">
        <v>1794</v>
      </c>
      <c r="R892" s="33">
        <v>66801</v>
      </c>
      <c r="S892" s="34">
        <v>42085</v>
      </c>
      <c r="T892" s="34">
        <v>42086</v>
      </c>
      <c r="U892" s="29">
        <v>-521.09</v>
      </c>
      <c r="V892" s="26">
        <v>4</v>
      </c>
      <c r="W892" s="29">
        <v>558.16999999999996</v>
      </c>
      <c r="X892" s="26">
        <v>88870</v>
      </c>
      <c r="Y892" s="35">
        <v>1500.92</v>
      </c>
      <c r="Z892" s="1" t="s">
        <v>3012</v>
      </c>
      <c r="AA892" s="36">
        <v>60.991999999999997</v>
      </c>
      <c r="AB892" s="54">
        <v>117.21569999999997</v>
      </c>
      <c r="AC892" s="54">
        <v>110.238575</v>
      </c>
      <c r="AD892" s="36">
        <v>1014.268</v>
      </c>
    </row>
    <row r="893" spans="1:30" s="37" customFormat="1" ht="15.75" customHeight="1" x14ac:dyDescent="0.2">
      <c r="A893" s="26">
        <v>950</v>
      </c>
      <c r="B893" s="27" t="s">
        <v>82</v>
      </c>
      <c r="C893" s="27" t="s">
        <v>48</v>
      </c>
      <c r="D893" s="28">
        <v>0.02</v>
      </c>
      <c r="E893" s="29">
        <v>48.04</v>
      </c>
      <c r="F893" s="29">
        <v>5.09</v>
      </c>
      <c r="G893" s="30" t="s">
        <v>39</v>
      </c>
      <c r="H893" s="27" t="s">
        <v>40</v>
      </c>
      <c r="I893" s="27" t="s">
        <v>49</v>
      </c>
      <c r="J893" s="27" t="s">
        <v>88</v>
      </c>
      <c r="K893" s="27" t="s">
        <v>73</v>
      </c>
      <c r="L893" s="31" t="s">
        <v>462</v>
      </c>
      <c r="M893" s="32">
        <v>0.37</v>
      </c>
      <c r="N893" s="27" t="s">
        <v>33</v>
      </c>
      <c r="O893" s="27" t="s">
        <v>53</v>
      </c>
      <c r="P893" s="27" t="s">
        <v>84</v>
      </c>
      <c r="Q893" s="27" t="s">
        <v>85</v>
      </c>
      <c r="R893" s="33">
        <v>55372</v>
      </c>
      <c r="S893" s="34">
        <v>42085</v>
      </c>
      <c r="T893" s="34">
        <v>42089</v>
      </c>
      <c r="U893" s="29">
        <v>168.91890000000001</v>
      </c>
      <c r="V893" s="26">
        <v>5</v>
      </c>
      <c r="W893" s="29">
        <v>244.81</v>
      </c>
      <c r="X893" s="26">
        <v>89084</v>
      </c>
      <c r="Y893" s="35">
        <v>48.019999999999996</v>
      </c>
      <c r="Z893" s="1" t="s">
        <v>3012</v>
      </c>
      <c r="AA893" s="36">
        <v>4.8040000000000003</v>
      </c>
      <c r="AB893" s="54">
        <v>154.2303</v>
      </c>
      <c r="AC893" s="54">
        <v>18.115940000000002</v>
      </c>
      <c r="AD893" s="36">
        <v>65.997099999999989</v>
      </c>
    </row>
    <row r="894" spans="1:30" s="37" customFormat="1" ht="15.75" customHeight="1" x14ac:dyDescent="0.2">
      <c r="A894" s="26">
        <v>2014</v>
      </c>
      <c r="B894" s="27" t="s">
        <v>1788</v>
      </c>
      <c r="C894" s="27" t="s">
        <v>38</v>
      </c>
      <c r="D894" s="28">
        <v>7.0000000000000007E-2</v>
      </c>
      <c r="E894" s="29">
        <v>39.479999999999997</v>
      </c>
      <c r="F894" s="29">
        <v>1.99</v>
      </c>
      <c r="G894" s="30" t="s">
        <v>39</v>
      </c>
      <c r="H894" s="27" t="s">
        <v>71</v>
      </c>
      <c r="I894" s="27" t="s">
        <v>41</v>
      </c>
      <c r="J894" s="27" t="s">
        <v>42</v>
      </c>
      <c r="K894" s="27" t="s">
        <v>43</v>
      </c>
      <c r="L894" s="31" t="s">
        <v>1257</v>
      </c>
      <c r="M894" s="32">
        <v>0.54</v>
      </c>
      <c r="N894" s="27" t="s">
        <v>33</v>
      </c>
      <c r="O894" s="27" t="s">
        <v>53</v>
      </c>
      <c r="P894" s="27" t="s">
        <v>213</v>
      </c>
      <c r="Q894" s="27" t="s">
        <v>1789</v>
      </c>
      <c r="R894" s="33">
        <v>51503</v>
      </c>
      <c r="S894" s="34">
        <v>42085</v>
      </c>
      <c r="T894" s="34">
        <v>42087</v>
      </c>
      <c r="U894" s="29">
        <v>88.72</v>
      </c>
      <c r="V894" s="26">
        <v>4</v>
      </c>
      <c r="W894" s="29">
        <v>151.27000000000001</v>
      </c>
      <c r="X894" s="26">
        <v>88367</v>
      </c>
      <c r="Y894" s="35">
        <v>4.25</v>
      </c>
      <c r="Z894" s="1" t="s">
        <v>3012</v>
      </c>
      <c r="AA894" s="36">
        <v>11.054399999999999</v>
      </c>
      <c r="AB894" s="54">
        <v>69.584199999999996</v>
      </c>
      <c r="AC894" s="54">
        <v>20.421450000000004</v>
      </c>
      <c r="AD894" s="36">
        <v>49.505600000000015</v>
      </c>
    </row>
    <row r="895" spans="1:30" s="37" customFormat="1" ht="15.75" customHeight="1" x14ac:dyDescent="0.2">
      <c r="A895" s="26">
        <v>1553</v>
      </c>
      <c r="B895" s="27" t="s">
        <v>1797</v>
      </c>
      <c r="C895" s="27" t="s">
        <v>3094</v>
      </c>
      <c r="D895" s="28">
        <v>0.03</v>
      </c>
      <c r="E895" s="29">
        <v>12.28</v>
      </c>
      <c r="F895" s="29">
        <v>6.35</v>
      </c>
      <c r="G895" s="30" t="s">
        <v>39</v>
      </c>
      <c r="H895" s="27" t="s">
        <v>3095</v>
      </c>
      <c r="I895" s="27" t="s">
        <v>49</v>
      </c>
      <c r="J895" s="27" t="s">
        <v>88</v>
      </c>
      <c r="K895" s="27" t="s">
        <v>73</v>
      </c>
      <c r="L895" s="31" t="s">
        <v>1733</v>
      </c>
      <c r="M895" s="32">
        <v>0.38</v>
      </c>
      <c r="N895" s="27" t="s">
        <v>33</v>
      </c>
      <c r="O895" s="27" t="s">
        <v>34</v>
      </c>
      <c r="P895" s="27" t="s">
        <v>35</v>
      </c>
      <c r="Q895" s="27" t="s">
        <v>1027</v>
      </c>
      <c r="R895" s="33">
        <v>38701</v>
      </c>
      <c r="S895" s="34">
        <v>42085</v>
      </c>
      <c r="T895" s="34">
        <v>42087</v>
      </c>
      <c r="U895" s="29">
        <v>68.676000000000002</v>
      </c>
      <c r="V895" s="26">
        <v>7</v>
      </c>
      <c r="W895" s="29">
        <v>87.53</v>
      </c>
      <c r="X895" s="26">
        <v>87484</v>
      </c>
      <c r="Y895" s="35">
        <v>152.38</v>
      </c>
      <c r="Z895" s="1" t="s">
        <v>3011</v>
      </c>
      <c r="AA895" s="36">
        <v>2.5787999999999998</v>
      </c>
      <c r="AB895" s="54">
        <v>54.268599999999999</v>
      </c>
      <c r="AC895" s="54">
        <v>4.7516285714285713</v>
      </c>
      <c r="AD895" s="36">
        <v>9.9252000000000038</v>
      </c>
    </row>
    <row r="896" spans="1:30" s="37" customFormat="1" ht="15.75" customHeight="1" x14ac:dyDescent="0.2">
      <c r="A896" s="26">
        <v>87</v>
      </c>
      <c r="B896" s="27" t="s">
        <v>1786</v>
      </c>
      <c r="C896" s="27" t="s">
        <v>38</v>
      </c>
      <c r="D896" s="28">
        <v>0.09</v>
      </c>
      <c r="E896" s="29">
        <v>4.91</v>
      </c>
      <c r="F896" s="29">
        <v>0.5</v>
      </c>
      <c r="G896" s="30" t="s">
        <v>39</v>
      </c>
      <c r="H896" s="27" t="s">
        <v>94</v>
      </c>
      <c r="I896" s="27" t="s">
        <v>49</v>
      </c>
      <c r="J896" s="27" t="s">
        <v>152</v>
      </c>
      <c r="K896" s="27" t="s">
        <v>73</v>
      </c>
      <c r="L896" s="31" t="s">
        <v>973</v>
      </c>
      <c r="M896" s="32">
        <v>0.36</v>
      </c>
      <c r="N896" s="27" t="s">
        <v>33</v>
      </c>
      <c r="O896" s="27" t="s">
        <v>60</v>
      </c>
      <c r="P896" s="27" t="s">
        <v>90</v>
      </c>
      <c r="Q896" s="27" t="s">
        <v>1787</v>
      </c>
      <c r="R896" s="33">
        <v>95687</v>
      </c>
      <c r="S896" s="34">
        <v>42085</v>
      </c>
      <c r="T896" s="34">
        <v>42086</v>
      </c>
      <c r="U896" s="29">
        <v>28.855799999999999</v>
      </c>
      <c r="V896" s="26">
        <v>9</v>
      </c>
      <c r="W896" s="29">
        <v>41.82</v>
      </c>
      <c r="X896" s="26">
        <v>90597</v>
      </c>
      <c r="Y896" s="35">
        <v>6.76</v>
      </c>
      <c r="Z896" s="1" t="s">
        <v>3013</v>
      </c>
      <c r="AA896" s="36">
        <v>3.9771000000000001</v>
      </c>
      <c r="AB896" s="54">
        <v>26.764800000000001</v>
      </c>
      <c r="AC896" s="54">
        <v>1.6727999999999998</v>
      </c>
      <c r="AD896" s="36">
        <v>8.4871000000000052</v>
      </c>
    </row>
    <row r="897" spans="1:30" s="37" customFormat="1" ht="15.75" customHeight="1" x14ac:dyDescent="0.2">
      <c r="A897" s="26">
        <v>2014</v>
      </c>
      <c r="B897" s="27" t="s">
        <v>1788</v>
      </c>
      <c r="C897" s="27" t="s">
        <v>38</v>
      </c>
      <c r="D897" s="28">
        <v>0</v>
      </c>
      <c r="E897" s="29">
        <v>4.91</v>
      </c>
      <c r="F897" s="29">
        <v>0.5</v>
      </c>
      <c r="G897" s="30" t="s">
        <v>39</v>
      </c>
      <c r="H897" s="27" t="s">
        <v>71</v>
      </c>
      <c r="I897" s="27" t="s">
        <v>49</v>
      </c>
      <c r="J897" s="27" t="s">
        <v>152</v>
      </c>
      <c r="K897" s="27" t="s">
        <v>73</v>
      </c>
      <c r="L897" s="31" t="s">
        <v>973</v>
      </c>
      <c r="M897" s="32">
        <v>0.36</v>
      </c>
      <c r="N897" s="27" t="s">
        <v>33</v>
      </c>
      <c r="O897" s="27" t="s">
        <v>53</v>
      </c>
      <c r="P897" s="27" t="s">
        <v>213</v>
      </c>
      <c r="Q897" s="27" t="s">
        <v>1789</v>
      </c>
      <c r="R897" s="33">
        <v>51503</v>
      </c>
      <c r="S897" s="34">
        <v>42085</v>
      </c>
      <c r="T897" s="34">
        <v>42087</v>
      </c>
      <c r="U897" s="29">
        <v>7.2519</v>
      </c>
      <c r="V897" s="26">
        <v>2</v>
      </c>
      <c r="W897" s="29">
        <v>10.51</v>
      </c>
      <c r="X897" s="26">
        <v>88367</v>
      </c>
      <c r="Y897" s="35">
        <v>145.44</v>
      </c>
      <c r="Z897" s="1" t="s">
        <v>3012</v>
      </c>
      <c r="AA897" s="36">
        <v>0</v>
      </c>
      <c r="AB897" s="54">
        <v>6.7263999999999999</v>
      </c>
      <c r="AC897" s="54">
        <v>1.8917999999999999</v>
      </c>
      <c r="AD897" s="36">
        <v>2.7580999999999998</v>
      </c>
    </row>
    <row r="898" spans="1:30" s="37" customFormat="1" ht="15.75" customHeight="1" x14ac:dyDescent="0.2">
      <c r="A898" s="26">
        <v>1940</v>
      </c>
      <c r="B898" s="27" t="s">
        <v>1795</v>
      </c>
      <c r="C898" s="27" t="s">
        <v>116</v>
      </c>
      <c r="D898" s="28">
        <v>0.08</v>
      </c>
      <c r="E898" s="29">
        <v>6.84</v>
      </c>
      <c r="F898" s="29">
        <v>8.3699999999999992</v>
      </c>
      <c r="G898" s="30" t="s">
        <v>39</v>
      </c>
      <c r="H898" s="27" t="s">
        <v>94</v>
      </c>
      <c r="I898" s="27" t="s">
        <v>49</v>
      </c>
      <c r="J898" s="27" t="s">
        <v>568</v>
      </c>
      <c r="K898" s="27" t="s">
        <v>43</v>
      </c>
      <c r="L898" s="31" t="s">
        <v>736</v>
      </c>
      <c r="M898" s="32">
        <v>0.57999999999999996</v>
      </c>
      <c r="N898" s="27" t="s">
        <v>33</v>
      </c>
      <c r="O898" s="27" t="s">
        <v>60</v>
      </c>
      <c r="P898" s="27" t="s">
        <v>146</v>
      </c>
      <c r="Q898" s="27" t="s">
        <v>147</v>
      </c>
      <c r="R898" s="33">
        <v>84020</v>
      </c>
      <c r="S898" s="34">
        <v>42085</v>
      </c>
      <c r="T898" s="34">
        <v>42087</v>
      </c>
      <c r="U898" s="29">
        <v>-29.49</v>
      </c>
      <c r="V898" s="26">
        <v>1</v>
      </c>
      <c r="W898" s="29">
        <v>8.39</v>
      </c>
      <c r="X898" s="26">
        <v>88870</v>
      </c>
      <c r="Y898" s="35">
        <v>12.25</v>
      </c>
      <c r="Z898" s="1" t="s">
        <v>3013</v>
      </c>
      <c r="AA898" s="36">
        <v>0.54720000000000002</v>
      </c>
      <c r="AB898" s="54">
        <v>3.5238000000000005</v>
      </c>
      <c r="AC898" s="54">
        <v>4.8662000000000001</v>
      </c>
      <c r="AD898" s="36">
        <v>28.962799999999998</v>
      </c>
    </row>
    <row r="899" spans="1:30" s="37" customFormat="1" ht="15.75" customHeight="1" x14ac:dyDescent="0.2">
      <c r="A899" s="26">
        <v>950</v>
      </c>
      <c r="B899" s="27" t="s">
        <v>82</v>
      </c>
      <c r="C899" s="27" t="s">
        <v>48</v>
      </c>
      <c r="D899" s="28">
        <v>0.03</v>
      </c>
      <c r="E899" s="29">
        <v>4.28</v>
      </c>
      <c r="F899" s="29">
        <v>1.6</v>
      </c>
      <c r="G899" s="30" t="s">
        <v>39</v>
      </c>
      <c r="H899" s="27" t="s">
        <v>40</v>
      </c>
      <c r="I899" s="27" t="s">
        <v>49</v>
      </c>
      <c r="J899" s="27" t="s">
        <v>50</v>
      </c>
      <c r="K899" s="27" t="s">
        <v>51</v>
      </c>
      <c r="L899" s="31" t="s">
        <v>1791</v>
      </c>
      <c r="M899" s="32">
        <v>0.57999999999999996</v>
      </c>
      <c r="N899" s="27" t="s">
        <v>33</v>
      </c>
      <c r="O899" s="27" t="s">
        <v>53</v>
      </c>
      <c r="P899" s="27" t="s">
        <v>84</v>
      </c>
      <c r="Q899" s="27" t="s">
        <v>85</v>
      </c>
      <c r="R899" s="33">
        <v>55372</v>
      </c>
      <c r="S899" s="34">
        <v>42085</v>
      </c>
      <c r="T899" s="34">
        <v>42092</v>
      </c>
      <c r="U899" s="29">
        <v>-6.2</v>
      </c>
      <c r="V899" s="26">
        <v>1</v>
      </c>
      <c r="W899" s="29">
        <v>4.55</v>
      </c>
      <c r="X899" s="26">
        <v>89084</v>
      </c>
      <c r="Y899" s="35">
        <v>160.94999999999999</v>
      </c>
      <c r="Z899" s="1" t="s">
        <v>3012</v>
      </c>
      <c r="AA899" s="36">
        <v>0.12840000000000001</v>
      </c>
      <c r="AB899" s="54">
        <v>1.911</v>
      </c>
      <c r="AC899" s="54">
        <v>2.6389999999999998</v>
      </c>
      <c r="AD899" s="36">
        <v>9.0215999999999994</v>
      </c>
    </row>
    <row r="900" spans="1:30" s="37" customFormat="1" ht="15.75" customHeight="1" x14ac:dyDescent="0.2">
      <c r="A900" s="26">
        <v>2618</v>
      </c>
      <c r="B900" s="27" t="s">
        <v>607</v>
      </c>
      <c r="C900" s="27" t="s">
        <v>26</v>
      </c>
      <c r="D900" s="28">
        <v>0.1</v>
      </c>
      <c r="E900" s="29">
        <v>20.27</v>
      </c>
      <c r="F900" s="29">
        <v>3.99</v>
      </c>
      <c r="G900" s="30" t="s">
        <v>39</v>
      </c>
      <c r="H900" s="27" t="s">
        <v>94</v>
      </c>
      <c r="I900" s="27" t="s">
        <v>49</v>
      </c>
      <c r="J900" s="27" t="s">
        <v>95</v>
      </c>
      <c r="K900" s="27" t="s">
        <v>73</v>
      </c>
      <c r="L900" s="31" t="s">
        <v>1800</v>
      </c>
      <c r="M900" s="32">
        <v>0.56999999999999995</v>
      </c>
      <c r="N900" s="27" t="s">
        <v>33</v>
      </c>
      <c r="O900" s="27" t="s">
        <v>111</v>
      </c>
      <c r="P900" s="27" t="s">
        <v>112</v>
      </c>
      <c r="Q900" s="27" t="s">
        <v>113</v>
      </c>
      <c r="R900" s="33">
        <v>10004</v>
      </c>
      <c r="S900" s="34">
        <v>42086</v>
      </c>
      <c r="T900" s="34">
        <v>42087</v>
      </c>
      <c r="U900" s="29">
        <v>84.05</v>
      </c>
      <c r="V900" s="26">
        <v>53</v>
      </c>
      <c r="W900" s="29">
        <v>1051.52</v>
      </c>
      <c r="X900" s="26">
        <v>53153</v>
      </c>
      <c r="Y900" s="35">
        <v>40.93</v>
      </c>
      <c r="Z900" s="1" t="s">
        <v>3014</v>
      </c>
      <c r="AA900" s="36">
        <v>107.43100000000001</v>
      </c>
      <c r="AB900" s="54">
        <v>452.15360000000004</v>
      </c>
      <c r="AC900" s="54">
        <v>11.3088</v>
      </c>
      <c r="AD900" s="36">
        <v>856.04899999999998</v>
      </c>
    </row>
    <row r="901" spans="1:30" s="37" customFormat="1" ht="15.75" customHeight="1" x14ac:dyDescent="0.2">
      <c r="A901" s="26">
        <v>2395</v>
      </c>
      <c r="B901" s="27" t="s">
        <v>1809</v>
      </c>
      <c r="C901" s="27" t="s">
        <v>3094</v>
      </c>
      <c r="D901" s="28">
        <v>0.04</v>
      </c>
      <c r="E901" s="29">
        <v>60.97</v>
      </c>
      <c r="F901" s="29">
        <v>4.5</v>
      </c>
      <c r="G901" s="30" t="s">
        <v>39</v>
      </c>
      <c r="H901" s="27" t="s">
        <v>94</v>
      </c>
      <c r="I901" s="27" t="s">
        <v>49</v>
      </c>
      <c r="J901" s="27" t="s">
        <v>95</v>
      </c>
      <c r="K901" s="27" t="s">
        <v>73</v>
      </c>
      <c r="L901" s="31" t="s">
        <v>96</v>
      </c>
      <c r="M901" s="32">
        <v>0.56000000000000005</v>
      </c>
      <c r="N901" s="27" t="s">
        <v>33</v>
      </c>
      <c r="O901" s="27" t="s">
        <v>34</v>
      </c>
      <c r="P901" s="27" t="s">
        <v>75</v>
      </c>
      <c r="Q901" s="27" t="s">
        <v>1810</v>
      </c>
      <c r="R901" s="33">
        <v>31401</v>
      </c>
      <c r="S901" s="34">
        <v>42086</v>
      </c>
      <c r="T901" s="34">
        <v>42087</v>
      </c>
      <c r="U901" s="29">
        <v>79.423199999999994</v>
      </c>
      <c r="V901" s="26">
        <v>15</v>
      </c>
      <c r="W901" s="29">
        <v>904.31</v>
      </c>
      <c r="X901" s="26">
        <v>86952</v>
      </c>
      <c r="Y901" s="35">
        <v>20.169999999999998</v>
      </c>
      <c r="Z901" s="1" t="s">
        <v>3011</v>
      </c>
      <c r="AA901" s="36">
        <v>36.582000000000001</v>
      </c>
      <c r="AB901" s="54">
        <v>397.89639999999991</v>
      </c>
      <c r="AC901" s="54">
        <v>33.760906666666671</v>
      </c>
      <c r="AD901" s="36">
        <v>783.80479999999989</v>
      </c>
    </row>
    <row r="902" spans="1:30" s="37" customFormat="1" ht="15.75" customHeight="1" x14ac:dyDescent="0.2">
      <c r="A902" s="26">
        <v>1976</v>
      </c>
      <c r="B902" s="27" t="s">
        <v>377</v>
      </c>
      <c r="C902" s="27" t="s">
        <v>26</v>
      </c>
      <c r="D902" s="28">
        <v>0.06</v>
      </c>
      <c r="E902" s="29">
        <v>40.99</v>
      </c>
      <c r="F902" s="29">
        <v>17.48</v>
      </c>
      <c r="G902" s="30" t="s">
        <v>39</v>
      </c>
      <c r="H902" s="27" t="s">
        <v>40</v>
      </c>
      <c r="I902" s="27" t="s">
        <v>49</v>
      </c>
      <c r="J902" s="27" t="s">
        <v>88</v>
      </c>
      <c r="K902" s="27" t="s">
        <v>73</v>
      </c>
      <c r="L902" s="31" t="s">
        <v>1398</v>
      </c>
      <c r="M902" s="32">
        <v>0.36</v>
      </c>
      <c r="N902" s="27" t="s">
        <v>33</v>
      </c>
      <c r="O902" s="27" t="s">
        <v>53</v>
      </c>
      <c r="P902" s="27" t="s">
        <v>289</v>
      </c>
      <c r="Q902" s="27" t="s">
        <v>379</v>
      </c>
      <c r="R902" s="33">
        <v>48823</v>
      </c>
      <c r="S902" s="34">
        <v>42086</v>
      </c>
      <c r="T902" s="34">
        <v>42088</v>
      </c>
      <c r="U902" s="29">
        <v>214.23</v>
      </c>
      <c r="V902" s="26">
        <v>14</v>
      </c>
      <c r="W902" s="29">
        <v>585.08000000000004</v>
      </c>
      <c r="X902" s="26">
        <v>89041</v>
      </c>
      <c r="Y902" s="35">
        <v>20.169999999999998</v>
      </c>
      <c r="Z902" s="1" t="s">
        <v>3012</v>
      </c>
      <c r="AA902" s="36">
        <v>34.431600000000003</v>
      </c>
      <c r="AB902" s="54">
        <v>374.45120000000003</v>
      </c>
      <c r="AC902" s="54">
        <v>15.044914285714286</v>
      </c>
      <c r="AD902" s="36">
        <v>318.93840000000006</v>
      </c>
    </row>
    <row r="903" spans="1:30" s="37" customFormat="1" ht="15.75" customHeight="1" x14ac:dyDescent="0.2">
      <c r="A903" s="26">
        <v>2618</v>
      </c>
      <c r="B903" s="27" t="s">
        <v>607</v>
      </c>
      <c r="C903" s="27" t="s">
        <v>38</v>
      </c>
      <c r="D903" s="28">
        <v>0.01</v>
      </c>
      <c r="E903" s="29">
        <v>14.98</v>
      </c>
      <c r="F903" s="29">
        <v>7.69</v>
      </c>
      <c r="G903" s="30" t="s">
        <v>39</v>
      </c>
      <c r="H903" s="27" t="s">
        <v>94</v>
      </c>
      <c r="I903" s="27" t="s">
        <v>49</v>
      </c>
      <c r="J903" s="27" t="s">
        <v>78</v>
      </c>
      <c r="K903" s="27" t="s">
        <v>73</v>
      </c>
      <c r="L903" s="31" t="s">
        <v>688</v>
      </c>
      <c r="M903" s="32">
        <v>0.56999999999999995</v>
      </c>
      <c r="N903" s="27" t="s">
        <v>33</v>
      </c>
      <c r="O903" s="27" t="s">
        <v>111</v>
      </c>
      <c r="P903" s="27" t="s">
        <v>112</v>
      </c>
      <c r="Q903" s="27" t="s">
        <v>113</v>
      </c>
      <c r="R903" s="33">
        <v>10004</v>
      </c>
      <c r="S903" s="34">
        <v>42086</v>
      </c>
      <c r="T903" s="34">
        <v>42088</v>
      </c>
      <c r="U903" s="29">
        <v>-48.97</v>
      </c>
      <c r="V903" s="26">
        <v>28</v>
      </c>
      <c r="W903" s="29">
        <v>435.39</v>
      </c>
      <c r="X903" s="26">
        <v>34017</v>
      </c>
      <c r="Y903" s="35">
        <v>4.79</v>
      </c>
      <c r="Z903" s="1" t="s">
        <v>3014</v>
      </c>
      <c r="AA903" s="36">
        <v>4.1944000000000008</v>
      </c>
      <c r="AB903" s="54">
        <v>187.21770000000001</v>
      </c>
      <c r="AC903" s="54">
        <v>8.8632964285714273</v>
      </c>
      <c r="AD903" s="36">
        <v>472.47559999999999</v>
      </c>
    </row>
    <row r="904" spans="1:30" s="37" customFormat="1" ht="15.75" customHeight="1" x14ac:dyDescent="0.2">
      <c r="A904" s="26">
        <v>2958</v>
      </c>
      <c r="B904" s="27" t="s">
        <v>1803</v>
      </c>
      <c r="C904" s="27" t="s">
        <v>48</v>
      </c>
      <c r="D904" s="28">
        <v>0.06</v>
      </c>
      <c r="E904" s="29">
        <v>20.99</v>
      </c>
      <c r="F904" s="29">
        <v>0.99</v>
      </c>
      <c r="G904" s="30" t="s">
        <v>39</v>
      </c>
      <c r="H904" s="27" t="s">
        <v>94</v>
      </c>
      <c r="I904" s="27" t="s">
        <v>41</v>
      </c>
      <c r="J904" s="27" t="s">
        <v>135</v>
      </c>
      <c r="K904" s="27" t="s">
        <v>51</v>
      </c>
      <c r="L904" s="31" t="s">
        <v>1804</v>
      </c>
      <c r="M904" s="32">
        <v>0.37</v>
      </c>
      <c r="N904" s="27" t="s">
        <v>33</v>
      </c>
      <c r="O904" s="27" t="s">
        <v>53</v>
      </c>
      <c r="P904" s="27" t="s">
        <v>357</v>
      </c>
      <c r="Q904" s="27" t="s">
        <v>1805</v>
      </c>
      <c r="R904" s="33">
        <v>54956</v>
      </c>
      <c r="S904" s="34">
        <v>42086</v>
      </c>
      <c r="T904" s="34">
        <v>42091</v>
      </c>
      <c r="U904" s="29">
        <v>224.9607</v>
      </c>
      <c r="V904" s="26">
        <v>18</v>
      </c>
      <c r="W904" s="29">
        <v>326.02999999999997</v>
      </c>
      <c r="X904" s="26">
        <v>90265</v>
      </c>
      <c r="Y904" s="35">
        <v>14.97</v>
      </c>
      <c r="Z904" s="1" t="s">
        <v>3012</v>
      </c>
      <c r="AA904" s="36">
        <v>22.669199999999996</v>
      </c>
      <c r="AB904" s="54">
        <v>205.3989</v>
      </c>
      <c r="AC904" s="54">
        <v>6.7017277777777773</v>
      </c>
      <c r="AD904" s="36">
        <v>77.410099999999971</v>
      </c>
    </row>
    <row r="905" spans="1:30" s="37" customFormat="1" ht="15.75" customHeight="1" x14ac:dyDescent="0.2">
      <c r="A905" s="26">
        <v>2620</v>
      </c>
      <c r="B905" s="27" t="s">
        <v>1801</v>
      </c>
      <c r="C905" s="27" t="s">
        <v>26</v>
      </c>
      <c r="D905" s="28">
        <v>0.1</v>
      </c>
      <c r="E905" s="29">
        <v>20.27</v>
      </c>
      <c r="F905" s="29">
        <v>3.99</v>
      </c>
      <c r="G905" s="30" t="s">
        <v>39</v>
      </c>
      <c r="H905" s="27" t="s">
        <v>94</v>
      </c>
      <c r="I905" s="27" t="s">
        <v>49</v>
      </c>
      <c r="J905" s="27" t="s">
        <v>95</v>
      </c>
      <c r="K905" s="27" t="s">
        <v>73</v>
      </c>
      <c r="L905" s="31" t="s">
        <v>1800</v>
      </c>
      <c r="M905" s="32">
        <v>0.56999999999999995</v>
      </c>
      <c r="N905" s="27" t="s">
        <v>33</v>
      </c>
      <c r="O905" s="27" t="s">
        <v>34</v>
      </c>
      <c r="P905" s="27" t="s">
        <v>400</v>
      </c>
      <c r="Q905" s="27" t="s">
        <v>1802</v>
      </c>
      <c r="R905" s="33">
        <v>38134</v>
      </c>
      <c r="S905" s="34">
        <v>42086</v>
      </c>
      <c r="T905" s="34">
        <v>42087</v>
      </c>
      <c r="U905" s="29">
        <v>381.61799999999999</v>
      </c>
      <c r="V905" s="26">
        <v>13</v>
      </c>
      <c r="W905" s="29">
        <v>257.92</v>
      </c>
      <c r="X905" s="26">
        <v>88017</v>
      </c>
      <c r="Y905" s="35">
        <v>4.79</v>
      </c>
      <c r="Z905" s="1" t="s">
        <v>3011</v>
      </c>
      <c r="AA905" s="36">
        <v>26.351000000000003</v>
      </c>
      <c r="AB905" s="54">
        <v>110.90560000000002</v>
      </c>
      <c r="AC905" s="54">
        <v>11.3088</v>
      </c>
      <c r="AD905" s="36">
        <v>-154.03899999999999</v>
      </c>
    </row>
    <row r="906" spans="1:30" s="37" customFormat="1" ht="15.75" customHeight="1" x14ac:dyDescent="0.2">
      <c r="A906" s="26">
        <v>1369</v>
      </c>
      <c r="B906" s="27" t="s">
        <v>1808</v>
      </c>
      <c r="C906" s="27" t="s">
        <v>116</v>
      </c>
      <c r="D906" s="28">
        <v>7.0000000000000007E-2</v>
      </c>
      <c r="E906" s="29">
        <v>9.7799999999999994</v>
      </c>
      <c r="F906" s="29">
        <v>5.76</v>
      </c>
      <c r="G906" s="30" t="s">
        <v>87</v>
      </c>
      <c r="H906" s="27" t="s">
        <v>40</v>
      </c>
      <c r="I906" s="27" t="s">
        <v>49</v>
      </c>
      <c r="J906" s="27" t="s">
        <v>345</v>
      </c>
      <c r="K906" s="27" t="s">
        <v>73</v>
      </c>
      <c r="L906" s="31" t="s">
        <v>1511</v>
      </c>
      <c r="M906" s="32">
        <v>0.35</v>
      </c>
      <c r="N906" s="27" t="s">
        <v>33</v>
      </c>
      <c r="O906" s="27" t="s">
        <v>53</v>
      </c>
      <c r="P906" s="27" t="s">
        <v>187</v>
      </c>
      <c r="Q906" s="27" t="s">
        <v>1454</v>
      </c>
      <c r="R906" s="33">
        <v>76063</v>
      </c>
      <c r="S906" s="34">
        <v>42086</v>
      </c>
      <c r="T906" s="34">
        <v>42088</v>
      </c>
      <c r="U906" s="29">
        <v>20.14</v>
      </c>
      <c r="V906" s="26">
        <v>11</v>
      </c>
      <c r="W906" s="29">
        <v>110.72</v>
      </c>
      <c r="X906" s="26">
        <v>90514</v>
      </c>
      <c r="Y906" s="35">
        <v>20.93</v>
      </c>
      <c r="Z906" s="1" t="s">
        <v>3012</v>
      </c>
      <c r="AA906" s="36">
        <v>7.5305999999999997</v>
      </c>
      <c r="AB906" s="54">
        <v>71.968000000000004</v>
      </c>
      <c r="AC906" s="54">
        <v>3.5229090909090903</v>
      </c>
      <c r="AD906" s="36">
        <v>77.289400000000001</v>
      </c>
    </row>
    <row r="907" spans="1:30" s="37" customFormat="1" ht="15.75" customHeight="1" x14ac:dyDescent="0.2">
      <c r="A907" s="26">
        <v>2618</v>
      </c>
      <c r="B907" s="27" t="s">
        <v>607</v>
      </c>
      <c r="C907" s="27" t="s">
        <v>38</v>
      </c>
      <c r="D907" s="28">
        <v>0.05</v>
      </c>
      <c r="E907" s="29">
        <v>4.84</v>
      </c>
      <c r="F907" s="29">
        <v>0.71</v>
      </c>
      <c r="G907" s="30" t="s">
        <v>87</v>
      </c>
      <c r="H907" s="27" t="s">
        <v>94</v>
      </c>
      <c r="I907" s="27" t="s">
        <v>49</v>
      </c>
      <c r="J907" s="27" t="s">
        <v>50</v>
      </c>
      <c r="K907" s="27" t="s">
        <v>51</v>
      </c>
      <c r="L907" s="31" t="s">
        <v>52</v>
      </c>
      <c r="M907" s="32">
        <v>0.52</v>
      </c>
      <c r="N907" s="27" t="s">
        <v>33</v>
      </c>
      <c r="O907" s="27" t="s">
        <v>111</v>
      </c>
      <c r="P907" s="27" t="s">
        <v>112</v>
      </c>
      <c r="Q907" s="27" t="s">
        <v>113</v>
      </c>
      <c r="R907" s="33">
        <v>10004</v>
      </c>
      <c r="S907" s="34">
        <v>42086</v>
      </c>
      <c r="T907" s="34">
        <v>42086</v>
      </c>
      <c r="U907" s="29">
        <v>29.17</v>
      </c>
      <c r="V907" s="26">
        <v>20</v>
      </c>
      <c r="W907" s="29">
        <v>103.39</v>
      </c>
      <c r="X907" s="26">
        <v>34017</v>
      </c>
      <c r="Y907" s="35">
        <v>4.46</v>
      </c>
      <c r="Z907" s="1" t="s">
        <v>3014</v>
      </c>
      <c r="AA907" s="36">
        <v>4.84</v>
      </c>
      <c r="AB907" s="54">
        <v>49.627200000000002</v>
      </c>
      <c r="AC907" s="54">
        <v>2.6881400000000002</v>
      </c>
      <c r="AD907" s="36">
        <v>68.67</v>
      </c>
    </row>
    <row r="908" spans="1:30" s="37" customFormat="1" ht="15.75" customHeight="1" x14ac:dyDescent="0.2">
      <c r="A908" s="26">
        <v>2619</v>
      </c>
      <c r="B908" s="27" t="s">
        <v>1070</v>
      </c>
      <c r="C908" s="27" t="s">
        <v>38</v>
      </c>
      <c r="D908" s="28">
        <v>0.05</v>
      </c>
      <c r="E908" s="29">
        <v>4.84</v>
      </c>
      <c r="F908" s="29">
        <v>0.71</v>
      </c>
      <c r="G908" s="30" t="s">
        <v>87</v>
      </c>
      <c r="H908" s="27" t="s">
        <v>94</v>
      </c>
      <c r="I908" s="27" t="s">
        <v>49</v>
      </c>
      <c r="J908" s="27" t="s">
        <v>50</v>
      </c>
      <c r="K908" s="27" t="s">
        <v>51</v>
      </c>
      <c r="L908" s="31" t="s">
        <v>52</v>
      </c>
      <c r="M908" s="32">
        <v>0.52</v>
      </c>
      <c r="N908" s="27" t="s">
        <v>33</v>
      </c>
      <c r="O908" s="27" t="s">
        <v>53</v>
      </c>
      <c r="P908" s="27" t="s">
        <v>1071</v>
      </c>
      <c r="Q908" s="27" t="s">
        <v>1072</v>
      </c>
      <c r="R908" s="33">
        <v>57103</v>
      </c>
      <c r="S908" s="34">
        <v>42086</v>
      </c>
      <c r="T908" s="34">
        <v>42086</v>
      </c>
      <c r="U908" s="29">
        <v>17.836500000000001</v>
      </c>
      <c r="V908" s="26">
        <v>5</v>
      </c>
      <c r="W908" s="29">
        <v>25.85</v>
      </c>
      <c r="X908" s="26">
        <v>88014</v>
      </c>
      <c r="Y908" s="35">
        <v>9.7099999999999991</v>
      </c>
      <c r="Z908" s="1" t="s">
        <v>3012</v>
      </c>
      <c r="AA908" s="36">
        <v>1.21</v>
      </c>
      <c r="AB908" s="54">
        <v>12.407999999999999</v>
      </c>
      <c r="AC908" s="54">
        <v>2.6884000000000001</v>
      </c>
      <c r="AD908" s="36">
        <v>6.0934999999999988</v>
      </c>
    </row>
    <row r="909" spans="1:30" s="37" customFormat="1" ht="15.75" customHeight="1" x14ac:dyDescent="0.2">
      <c r="A909" s="26">
        <v>1368</v>
      </c>
      <c r="B909" s="27" t="s">
        <v>1806</v>
      </c>
      <c r="C909" s="27" t="s">
        <v>116</v>
      </c>
      <c r="D909" s="28">
        <v>0.09</v>
      </c>
      <c r="E909" s="29">
        <v>4.55</v>
      </c>
      <c r="F909" s="29">
        <v>1.49</v>
      </c>
      <c r="G909" s="30" t="s">
        <v>39</v>
      </c>
      <c r="H909" s="27" t="s">
        <v>40</v>
      </c>
      <c r="I909" s="27" t="s">
        <v>49</v>
      </c>
      <c r="J909" s="27" t="s">
        <v>72</v>
      </c>
      <c r="K909" s="27" t="s">
        <v>73</v>
      </c>
      <c r="L909" s="31" t="s">
        <v>1503</v>
      </c>
      <c r="M909" s="32">
        <v>0.35</v>
      </c>
      <c r="N909" s="27" t="s">
        <v>33</v>
      </c>
      <c r="O909" s="27" t="s">
        <v>53</v>
      </c>
      <c r="P909" s="27" t="s">
        <v>187</v>
      </c>
      <c r="Q909" s="27" t="s">
        <v>1807</v>
      </c>
      <c r="R909" s="33">
        <v>75901</v>
      </c>
      <c r="S909" s="34">
        <v>42086</v>
      </c>
      <c r="T909" s="34">
        <v>42088</v>
      </c>
      <c r="U909" s="29">
        <v>16.898</v>
      </c>
      <c r="V909" s="26">
        <v>6</v>
      </c>
      <c r="W909" s="29">
        <v>25.45</v>
      </c>
      <c r="X909" s="26">
        <v>90514</v>
      </c>
      <c r="Y909" s="35">
        <v>60.93</v>
      </c>
      <c r="Z909" s="1" t="s">
        <v>3012</v>
      </c>
      <c r="AA909" s="36">
        <v>2.4569999999999999</v>
      </c>
      <c r="AB909" s="54">
        <v>16.5425</v>
      </c>
      <c r="AC909" s="54">
        <v>1.4845833333333331</v>
      </c>
      <c r="AD909" s="36">
        <v>4.6050000000000004</v>
      </c>
    </row>
    <row r="910" spans="1:30" s="37" customFormat="1" ht="15.75" customHeight="1" x14ac:dyDescent="0.2">
      <c r="A910" s="26">
        <v>3381</v>
      </c>
      <c r="B910" s="27" t="s">
        <v>1811</v>
      </c>
      <c r="C910" s="27" t="s">
        <v>3094</v>
      </c>
      <c r="D910" s="28">
        <v>0.05</v>
      </c>
      <c r="E910" s="29">
        <v>11.97</v>
      </c>
      <c r="F910" s="29">
        <v>5.81</v>
      </c>
      <c r="G910" s="30" t="s">
        <v>39</v>
      </c>
      <c r="H910" s="27" t="s">
        <v>94</v>
      </c>
      <c r="I910" s="27" t="s">
        <v>49</v>
      </c>
      <c r="J910" s="27" t="s">
        <v>50</v>
      </c>
      <c r="K910" s="27" t="s">
        <v>43</v>
      </c>
      <c r="L910" s="31" t="s">
        <v>1812</v>
      </c>
      <c r="M910" s="32">
        <v>0.6</v>
      </c>
      <c r="N910" s="27" t="s">
        <v>33</v>
      </c>
      <c r="O910" s="27" t="s">
        <v>34</v>
      </c>
      <c r="P910" s="27" t="s">
        <v>75</v>
      </c>
      <c r="Q910" s="27" t="s">
        <v>1813</v>
      </c>
      <c r="R910" s="33">
        <v>31204</v>
      </c>
      <c r="S910" s="34">
        <v>42086</v>
      </c>
      <c r="T910" s="34">
        <v>42088</v>
      </c>
      <c r="U910" s="29">
        <v>349.05930000000001</v>
      </c>
      <c r="V910" s="26">
        <v>2</v>
      </c>
      <c r="W910" s="29">
        <v>25.31</v>
      </c>
      <c r="X910" s="26">
        <v>88836</v>
      </c>
      <c r="Y910" s="35">
        <v>11.92</v>
      </c>
      <c r="Z910" s="1" t="s">
        <v>3011</v>
      </c>
      <c r="AA910" s="36">
        <v>1.1970000000000001</v>
      </c>
      <c r="AB910" s="54">
        <v>10.124000000000001</v>
      </c>
      <c r="AC910" s="54">
        <v>7.5929999999999991</v>
      </c>
      <c r="AD910" s="36">
        <v>-330.75630000000001</v>
      </c>
    </row>
    <row r="911" spans="1:30" s="37" customFormat="1" ht="15.75" customHeight="1" x14ac:dyDescent="0.2">
      <c r="A911" s="26">
        <v>1060</v>
      </c>
      <c r="B911" s="27" t="s">
        <v>1825</v>
      </c>
      <c r="C911" s="27" t="s">
        <v>116</v>
      </c>
      <c r="D911" s="28">
        <v>0.09</v>
      </c>
      <c r="E911" s="29">
        <v>138.75</v>
      </c>
      <c r="F911" s="29">
        <v>52.42</v>
      </c>
      <c r="G911" s="30" t="s">
        <v>27</v>
      </c>
      <c r="H911" s="27" t="s">
        <v>3095</v>
      </c>
      <c r="I911" s="27" t="s">
        <v>29</v>
      </c>
      <c r="J911" s="27" t="s">
        <v>30</v>
      </c>
      <c r="K911" s="27" t="s">
        <v>31</v>
      </c>
      <c r="L911" s="31" t="s">
        <v>1826</v>
      </c>
      <c r="M911" s="32">
        <v>0.74</v>
      </c>
      <c r="N911" s="27" t="s">
        <v>33</v>
      </c>
      <c r="O911" s="27" t="s">
        <v>34</v>
      </c>
      <c r="P911" s="27" t="s">
        <v>75</v>
      </c>
      <c r="Q911" s="27" t="s">
        <v>361</v>
      </c>
      <c r="R911" s="33">
        <v>30318</v>
      </c>
      <c r="S911" s="34">
        <v>42087</v>
      </c>
      <c r="T911" s="34">
        <v>42088</v>
      </c>
      <c r="U911" s="29">
        <v>-445.97177625</v>
      </c>
      <c r="V911" s="26">
        <v>23</v>
      </c>
      <c r="W911" s="29">
        <v>2527.79</v>
      </c>
      <c r="X911" s="26">
        <v>58628</v>
      </c>
      <c r="Y911" s="35">
        <v>17.920000000000002</v>
      </c>
      <c r="Z911" s="1" t="s">
        <v>3011</v>
      </c>
      <c r="AA911" s="36">
        <v>287.21249999999998</v>
      </c>
      <c r="AB911" s="54">
        <v>657.22540000000004</v>
      </c>
      <c r="AC911" s="54">
        <v>81.328895652173912</v>
      </c>
      <c r="AD911" s="36">
        <v>2634.1292762499997</v>
      </c>
    </row>
    <row r="912" spans="1:30" s="37" customFormat="1" ht="15.75" customHeight="1" x14ac:dyDescent="0.2">
      <c r="A912" s="26">
        <v>2308</v>
      </c>
      <c r="B912" s="27" t="s">
        <v>1823</v>
      </c>
      <c r="C912" s="27" t="s">
        <v>48</v>
      </c>
      <c r="D912" s="28">
        <v>0.03</v>
      </c>
      <c r="E912" s="29">
        <v>193.17</v>
      </c>
      <c r="F912" s="29">
        <v>19.989999999999998</v>
      </c>
      <c r="G912" s="30" t="s">
        <v>39</v>
      </c>
      <c r="H912" s="27" t="s">
        <v>3095</v>
      </c>
      <c r="I912" s="27" t="s">
        <v>49</v>
      </c>
      <c r="J912" s="27" t="s">
        <v>78</v>
      </c>
      <c r="K912" s="27" t="s">
        <v>73</v>
      </c>
      <c r="L912" s="31" t="s">
        <v>1582</v>
      </c>
      <c r="M912" s="32">
        <v>0.71</v>
      </c>
      <c r="N912" s="27" t="s">
        <v>33</v>
      </c>
      <c r="O912" s="27" t="s">
        <v>34</v>
      </c>
      <c r="P912" s="27" t="s">
        <v>123</v>
      </c>
      <c r="Q912" s="27" t="s">
        <v>1824</v>
      </c>
      <c r="R912" s="33">
        <v>33971</v>
      </c>
      <c r="S912" s="34">
        <v>42087</v>
      </c>
      <c r="T912" s="34">
        <v>42091</v>
      </c>
      <c r="U912" s="29">
        <v>-348.75400000000002</v>
      </c>
      <c r="V912" s="26">
        <v>8</v>
      </c>
      <c r="W912" s="29">
        <v>1548.97</v>
      </c>
      <c r="X912" s="26">
        <v>90557</v>
      </c>
      <c r="Y912" s="35">
        <v>6.54</v>
      </c>
      <c r="Z912" s="1" t="s">
        <v>3011</v>
      </c>
      <c r="AA912" s="36">
        <v>46.360799999999998</v>
      </c>
      <c r="AB912" s="54">
        <v>449.20130000000006</v>
      </c>
      <c r="AC912" s="54">
        <v>137.47108749999998</v>
      </c>
      <c r="AD912" s="36">
        <v>1831.3732</v>
      </c>
    </row>
    <row r="913" spans="1:30" s="37" customFormat="1" ht="15.75" customHeight="1" x14ac:dyDescent="0.2">
      <c r="A913" s="26">
        <v>2256</v>
      </c>
      <c r="B913" s="27" t="s">
        <v>93</v>
      </c>
      <c r="C913" s="27" t="s">
        <v>116</v>
      </c>
      <c r="D913" s="28">
        <v>7.0000000000000007E-2</v>
      </c>
      <c r="E913" s="29">
        <v>70.98</v>
      </c>
      <c r="F913" s="29">
        <v>30</v>
      </c>
      <c r="G913" s="30" t="s">
        <v>27</v>
      </c>
      <c r="H913" s="27" t="s">
        <v>94</v>
      </c>
      <c r="I913" s="27" t="s">
        <v>29</v>
      </c>
      <c r="J913" s="27" t="s">
        <v>109</v>
      </c>
      <c r="K913" s="27" t="s">
        <v>58</v>
      </c>
      <c r="L913" s="31" t="s">
        <v>1830</v>
      </c>
      <c r="M913" s="32">
        <v>0.73</v>
      </c>
      <c r="N913" s="27" t="s">
        <v>33</v>
      </c>
      <c r="O913" s="27" t="s">
        <v>34</v>
      </c>
      <c r="P913" s="27" t="s">
        <v>97</v>
      </c>
      <c r="Q913" s="27" t="s">
        <v>98</v>
      </c>
      <c r="R913" s="33">
        <v>28560</v>
      </c>
      <c r="S913" s="34">
        <v>42087</v>
      </c>
      <c r="T913" s="34">
        <v>42089</v>
      </c>
      <c r="U913" s="29">
        <v>-222.95</v>
      </c>
      <c r="V913" s="26">
        <v>20</v>
      </c>
      <c r="W913" s="29">
        <v>1373.47</v>
      </c>
      <c r="X913" s="26">
        <v>87964</v>
      </c>
      <c r="Y913" s="35">
        <v>90.43</v>
      </c>
      <c r="Z913" s="1" t="s">
        <v>3011</v>
      </c>
      <c r="AA913" s="36">
        <v>99.372000000000014</v>
      </c>
      <c r="AB913" s="54">
        <v>370.83690000000001</v>
      </c>
      <c r="AC913" s="54">
        <v>50.131655000000002</v>
      </c>
      <c r="AD913" s="36">
        <v>1467.048</v>
      </c>
    </row>
    <row r="914" spans="1:30" s="37" customFormat="1" ht="15.75" customHeight="1" x14ac:dyDescent="0.2">
      <c r="A914" s="26">
        <v>1062</v>
      </c>
      <c r="B914" s="27" t="s">
        <v>1827</v>
      </c>
      <c r="C914" s="27" t="s">
        <v>116</v>
      </c>
      <c r="D914" s="28">
        <v>0.09</v>
      </c>
      <c r="E914" s="29">
        <v>138.75</v>
      </c>
      <c r="F914" s="29">
        <v>52.42</v>
      </c>
      <c r="G914" s="30" t="s">
        <v>27</v>
      </c>
      <c r="H914" s="27" t="s">
        <v>3095</v>
      </c>
      <c r="I914" s="27" t="s">
        <v>29</v>
      </c>
      <c r="J914" s="27" t="s">
        <v>30</v>
      </c>
      <c r="K914" s="27" t="s">
        <v>31</v>
      </c>
      <c r="L914" s="31" t="s">
        <v>1826</v>
      </c>
      <c r="M914" s="32">
        <v>0.74</v>
      </c>
      <c r="N914" s="27" t="s">
        <v>33</v>
      </c>
      <c r="O914" s="27" t="s">
        <v>111</v>
      </c>
      <c r="P914" s="27" t="s">
        <v>112</v>
      </c>
      <c r="Q914" s="27" t="s">
        <v>1828</v>
      </c>
      <c r="R914" s="33">
        <v>11727</v>
      </c>
      <c r="S914" s="34">
        <v>42087</v>
      </c>
      <c r="T914" s="34">
        <v>42088</v>
      </c>
      <c r="U914" s="29">
        <v>-335.31712499999998</v>
      </c>
      <c r="V914" s="26">
        <v>6</v>
      </c>
      <c r="W914" s="29">
        <v>659.42</v>
      </c>
      <c r="X914" s="26">
        <v>91354</v>
      </c>
      <c r="Y914" s="35">
        <v>48.91</v>
      </c>
      <c r="Z914" s="1" t="s">
        <v>3014</v>
      </c>
      <c r="AA914" s="36">
        <v>74.924999999999997</v>
      </c>
      <c r="AB914" s="54">
        <v>171.44919999999999</v>
      </c>
      <c r="AC914" s="54">
        <v>81.328466666666657</v>
      </c>
      <c r="AD914" s="36">
        <v>867.39212499999985</v>
      </c>
    </row>
    <row r="915" spans="1:30" s="37" customFormat="1" ht="15.75" customHeight="1" x14ac:dyDescent="0.2">
      <c r="A915" s="26">
        <v>1689</v>
      </c>
      <c r="B915" s="27" t="s">
        <v>1820</v>
      </c>
      <c r="C915" s="27" t="s">
        <v>38</v>
      </c>
      <c r="D915" s="28">
        <v>0</v>
      </c>
      <c r="E915" s="29">
        <v>48.91</v>
      </c>
      <c r="F915" s="29">
        <v>35</v>
      </c>
      <c r="G915" s="30" t="s">
        <v>39</v>
      </c>
      <c r="H915" s="27" t="s">
        <v>94</v>
      </c>
      <c r="I915" s="27" t="s">
        <v>49</v>
      </c>
      <c r="J915" s="27" t="s">
        <v>78</v>
      </c>
      <c r="K915" s="27" t="s">
        <v>65</v>
      </c>
      <c r="L915" s="31" t="s">
        <v>1821</v>
      </c>
      <c r="M915" s="32">
        <v>0.83</v>
      </c>
      <c r="N915" s="27" t="s">
        <v>33</v>
      </c>
      <c r="O915" s="27" t="s">
        <v>53</v>
      </c>
      <c r="P915" s="27" t="s">
        <v>54</v>
      </c>
      <c r="Q915" s="27" t="s">
        <v>1822</v>
      </c>
      <c r="R915" s="33">
        <v>46322</v>
      </c>
      <c r="S915" s="34">
        <v>42087</v>
      </c>
      <c r="T915" s="34">
        <v>42088</v>
      </c>
      <c r="U915" s="29">
        <v>-628.38</v>
      </c>
      <c r="V915" s="26">
        <v>10</v>
      </c>
      <c r="W915" s="29">
        <v>514.79</v>
      </c>
      <c r="X915" s="26">
        <v>91077</v>
      </c>
      <c r="Y915" s="35">
        <v>9.4</v>
      </c>
      <c r="Z915" s="1" t="s">
        <v>3012</v>
      </c>
      <c r="AA915" s="36">
        <v>0</v>
      </c>
      <c r="AB915" s="54">
        <v>87.51430000000002</v>
      </c>
      <c r="AC915" s="54">
        <v>42.72757</v>
      </c>
      <c r="AD915" s="36">
        <v>1108.17</v>
      </c>
    </row>
    <row r="916" spans="1:30" s="37" customFormat="1" ht="15.75" customHeight="1" x14ac:dyDescent="0.2">
      <c r="A916" s="26">
        <v>3310</v>
      </c>
      <c r="B916" s="27" t="s">
        <v>1818</v>
      </c>
      <c r="C916" s="27" t="s">
        <v>26</v>
      </c>
      <c r="D916" s="28">
        <v>0.05</v>
      </c>
      <c r="E916" s="29">
        <v>90.48</v>
      </c>
      <c r="F916" s="29">
        <v>19.989999999999998</v>
      </c>
      <c r="G916" s="30" t="s">
        <v>39</v>
      </c>
      <c r="H916" s="27" t="s">
        <v>3095</v>
      </c>
      <c r="I916" s="27" t="s">
        <v>49</v>
      </c>
      <c r="J916" s="27" t="s">
        <v>345</v>
      </c>
      <c r="K916" s="27" t="s">
        <v>73</v>
      </c>
      <c r="L916" s="31" t="s">
        <v>502</v>
      </c>
      <c r="M916" s="32">
        <v>0.4</v>
      </c>
      <c r="N916" s="27" t="s">
        <v>33</v>
      </c>
      <c r="O916" s="27" t="s">
        <v>111</v>
      </c>
      <c r="P916" s="27" t="s">
        <v>403</v>
      </c>
      <c r="Q916" s="27" t="s">
        <v>1819</v>
      </c>
      <c r="R916" s="33">
        <v>2563</v>
      </c>
      <c r="S916" s="34">
        <v>42087</v>
      </c>
      <c r="T916" s="34">
        <v>42088</v>
      </c>
      <c r="U916" s="29">
        <v>255.1482</v>
      </c>
      <c r="V916" s="26">
        <v>4</v>
      </c>
      <c r="W916" s="29">
        <v>369.78</v>
      </c>
      <c r="X916" s="26">
        <v>90460</v>
      </c>
      <c r="Y916" s="35">
        <v>193.14</v>
      </c>
      <c r="Z916" s="1" t="s">
        <v>3014</v>
      </c>
      <c r="AA916" s="36">
        <v>18.096</v>
      </c>
      <c r="AB916" s="54">
        <v>221.86799999999997</v>
      </c>
      <c r="AC916" s="54">
        <v>36.978000000000002</v>
      </c>
      <c r="AD916" s="36">
        <v>76.545799999999986</v>
      </c>
    </row>
    <row r="917" spans="1:30" s="37" customFormat="1" ht="15.75" customHeight="1" x14ac:dyDescent="0.2">
      <c r="A917" s="26">
        <v>2430</v>
      </c>
      <c r="B917" s="27" t="s">
        <v>1837</v>
      </c>
      <c r="C917" s="27" t="s">
        <v>3094</v>
      </c>
      <c r="D917" s="28">
        <v>0.1</v>
      </c>
      <c r="E917" s="29">
        <v>14.28</v>
      </c>
      <c r="F917" s="29">
        <v>2.99</v>
      </c>
      <c r="G917" s="30" t="s">
        <v>39</v>
      </c>
      <c r="H917" s="27" t="s">
        <v>71</v>
      </c>
      <c r="I917" s="27" t="s">
        <v>49</v>
      </c>
      <c r="J917" s="27" t="s">
        <v>72</v>
      </c>
      <c r="K917" s="27" t="s">
        <v>73</v>
      </c>
      <c r="L917" s="31" t="s">
        <v>685</v>
      </c>
      <c r="M917" s="32">
        <v>0.39</v>
      </c>
      <c r="N917" s="27" t="s">
        <v>33</v>
      </c>
      <c r="O917" s="27" t="s">
        <v>53</v>
      </c>
      <c r="P917" s="27" t="s">
        <v>187</v>
      </c>
      <c r="Q917" s="27" t="s">
        <v>1838</v>
      </c>
      <c r="R917" s="33">
        <v>76541</v>
      </c>
      <c r="S917" s="34">
        <v>42087</v>
      </c>
      <c r="T917" s="34">
        <v>42088</v>
      </c>
      <c r="U917" s="29">
        <v>104.9145</v>
      </c>
      <c r="V917" s="26">
        <v>11</v>
      </c>
      <c r="W917" s="29">
        <v>152.05000000000001</v>
      </c>
      <c r="X917" s="26">
        <v>91108</v>
      </c>
      <c r="Y917" s="35">
        <v>138.66</v>
      </c>
      <c r="Z917" s="1" t="s">
        <v>3012</v>
      </c>
      <c r="AA917" s="36">
        <v>15.707999999999998</v>
      </c>
      <c r="AB917" s="54">
        <v>92.750500000000002</v>
      </c>
      <c r="AC917" s="54">
        <v>5.3908636363636369</v>
      </c>
      <c r="AD917" s="36">
        <v>28.437500000000014</v>
      </c>
    </row>
    <row r="918" spans="1:30" s="37" customFormat="1" ht="15.75" customHeight="1" x14ac:dyDescent="0.2">
      <c r="A918" s="26">
        <v>2330</v>
      </c>
      <c r="B918" s="27" t="s">
        <v>1831</v>
      </c>
      <c r="C918" s="27" t="s">
        <v>116</v>
      </c>
      <c r="D918" s="28">
        <v>0.06</v>
      </c>
      <c r="E918" s="29">
        <v>28.53</v>
      </c>
      <c r="F918" s="29">
        <v>1.49</v>
      </c>
      <c r="G918" s="30" t="s">
        <v>39</v>
      </c>
      <c r="H918" s="27" t="s">
        <v>71</v>
      </c>
      <c r="I918" s="27" t="s">
        <v>49</v>
      </c>
      <c r="J918" s="27" t="s">
        <v>72</v>
      </c>
      <c r="K918" s="27" t="s">
        <v>73</v>
      </c>
      <c r="L918" s="31" t="s">
        <v>1832</v>
      </c>
      <c r="M918" s="32">
        <v>0.38</v>
      </c>
      <c r="N918" s="27" t="s">
        <v>33</v>
      </c>
      <c r="O918" s="27" t="s">
        <v>53</v>
      </c>
      <c r="P918" s="27" t="s">
        <v>213</v>
      </c>
      <c r="Q918" s="27" t="s">
        <v>1833</v>
      </c>
      <c r="R918" s="33">
        <v>52302</v>
      </c>
      <c r="S918" s="34">
        <v>42087</v>
      </c>
      <c r="T918" s="34">
        <v>42090</v>
      </c>
      <c r="U918" s="29">
        <v>74.638499999999993</v>
      </c>
      <c r="V918" s="26">
        <v>5</v>
      </c>
      <c r="W918" s="29">
        <v>134.09</v>
      </c>
      <c r="X918" s="26">
        <v>90964</v>
      </c>
      <c r="Y918" s="35">
        <v>138.66</v>
      </c>
      <c r="Z918" s="1" t="s">
        <v>3012</v>
      </c>
      <c r="AA918" s="36">
        <v>8.5589999999999993</v>
      </c>
      <c r="AB918" s="54">
        <v>83.135800000000003</v>
      </c>
      <c r="AC918" s="54">
        <v>10.190840000000001</v>
      </c>
      <c r="AD918" s="36">
        <v>49.402500000000018</v>
      </c>
    </row>
    <row r="919" spans="1:30" s="37" customFormat="1" ht="15.75" customHeight="1" x14ac:dyDescent="0.2">
      <c r="A919" s="26">
        <v>618</v>
      </c>
      <c r="B919" s="27" t="s">
        <v>1814</v>
      </c>
      <c r="C919" s="27" t="s">
        <v>26</v>
      </c>
      <c r="D919" s="28">
        <v>0.06</v>
      </c>
      <c r="E919" s="29">
        <v>17.98</v>
      </c>
      <c r="F919" s="29">
        <v>4</v>
      </c>
      <c r="G919" s="30" t="s">
        <v>39</v>
      </c>
      <c r="H919" s="27" t="s">
        <v>40</v>
      </c>
      <c r="I919" s="27" t="s">
        <v>41</v>
      </c>
      <c r="J919" s="27" t="s">
        <v>42</v>
      </c>
      <c r="K919" s="27" t="s">
        <v>73</v>
      </c>
      <c r="L919" s="31" t="s">
        <v>1657</v>
      </c>
      <c r="M919" s="32">
        <v>0.79</v>
      </c>
      <c r="N919" s="27" t="s">
        <v>33</v>
      </c>
      <c r="O919" s="27" t="s">
        <v>60</v>
      </c>
      <c r="P919" s="27" t="s">
        <v>61</v>
      </c>
      <c r="Q919" s="27" t="s">
        <v>1815</v>
      </c>
      <c r="R919" s="33">
        <v>81007</v>
      </c>
      <c r="S919" s="34">
        <v>42087</v>
      </c>
      <c r="T919" s="34">
        <v>42088</v>
      </c>
      <c r="U919" s="29">
        <v>-78.13</v>
      </c>
      <c r="V919" s="26">
        <v>4</v>
      </c>
      <c r="W919" s="29">
        <v>70.06</v>
      </c>
      <c r="X919" s="26">
        <v>88197</v>
      </c>
      <c r="Y919" s="35">
        <v>3.89</v>
      </c>
      <c r="Z919" s="1" t="s">
        <v>3013</v>
      </c>
      <c r="AA919" s="36">
        <v>4.3151999999999999</v>
      </c>
      <c r="AB919" s="54">
        <v>14.712599999999998</v>
      </c>
      <c r="AC919" s="54">
        <v>13.836850000000002</v>
      </c>
      <c r="AD919" s="36">
        <v>139.87479999999999</v>
      </c>
    </row>
    <row r="920" spans="1:30" s="37" customFormat="1" ht="15.75" customHeight="1" x14ac:dyDescent="0.2">
      <c r="A920" s="26">
        <v>3143</v>
      </c>
      <c r="B920" s="27" t="s">
        <v>1834</v>
      </c>
      <c r="C920" s="27" t="s">
        <v>116</v>
      </c>
      <c r="D920" s="28">
        <v>0.02</v>
      </c>
      <c r="E920" s="29">
        <v>15.42</v>
      </c>
      <c r="F920" s="29">
        <v>5.41</v>
      </c>
      <c r="G920" s="30" t="s">
        <v>39</v>
      </c>
      <c r="H920" s="27" t="s">
        <v>40</v>
      </c>
      <c r="I920" s="27" t="s">
        <v>49</v>
      </c>
      <c r="J920" s="27" t="s">
        <v>78</v>
      </c>
      <c r="K920" s="27" t="s">
        <v>73</v>
      </c>
      <c r="L920" s="31" t="s">
        <v>1835</v>
      </c>
      <c r="M920" s="32">
        <v>0.59</v>
      </c>
      <c r="N920" s="27" t="s">
        <v>33</v>
      </c>
      <c r="O920" s="27" t="s">
        <v>53</v>
      </c>
      <c r="P920" s="27" t="s">
        <v>187</v>
      </c>
      <c r="Q920" s="27" t="s">
        <v>1836</v>
      </c>
      <c r="R920" s="33">
        <v>78660</v>
      </c>
      <c r="S920" s="34">
        <v>42087</v>
      </c>
      <c r="T920" s="34">
        <v>42088</v>
      </c>
      <c r="U920" s="29">
        <v>-16.37</v>
      </c>
      <c r="V920" s="26">
        <v>2</v>
      </c>
      <c r="W920" s="29">
        <v>33.840000000000003</v>
      </c>
      <c r="X920" s="26">
        <v>86368</v>
      </c>
      <c r="Y920" s="35">
        <v>70.910000000000011</v>
      </c>
      <c r="Z920" s="1" t="s">
        <v>3012</v>
      </c>
      <c r="AA920" s="36">
        <v>0.61680000000000001</v>
      </c>
      <c r="AB920" s="54">
        <v>13.874400000000003</v>
      </c>
      <c r="AC920" s="54">
        <v>9.982800000000001</v>
      </c>
      <c r="AD920" s="36">
        <v>44.183200000000006</v>
      </c>
    </row>
    <row r="921" spans="1:30" s="37" customFormat="1" ht="15.75" customHeight="1" x14ac:dyDescent="0.2">
      <c r="A921" s="26">
        <v>3309</v>
      </c>
      <c r="B921" s="27" t="s">
        <v>1816</v>
      </c>
      <c r="C921" s="27" t="s">
        <v>26</v>
      </c>
      <c r="D921" s="28">
        <v>0.1</v>
      </c>
      <c r="E921" s="29">
        <v>6.64</v>
      </c>
      <c r="F921" s="29">
        <v>54.95</v>
      </c>
      <c r="G921" s="30" t="s">
        <v>39</v>
      </c>
      <c r="H921" s="27" t="s">
        <v>3095</v>
      </c>
      <c r="I921" s="27" t="s">
        <v>29</v>
      </c>
      <c r="J921" s="27" t="s">
        <v>126</v>
      </c>
      <c r="K921" s="27" t="s">
        <v>43</v>
      </c>
      <c r="L921" s="31" t="s">
        <v>268</v>
      </c>
      <c r="M921" s="32">
        <v>0.37</v>
      </c>
      <c r="N921" s="27" t="s">
        <v>33</v>
      </c>
      <c r="O921" s="27" t="s">
        <v>111</v>
      </c>
      <c r="P921" s="27" t="s">
        <v>403</v>
      </c>
      <c r="Q921" s="27" t="s">
        <v>1817</v>
      </c>
      <c r="R921" s="33">
        <v>1760</v>
      </c>
      <c r="S921" s="34">
        <v>42087</v>
      </c>
      <c r="T921" s="34">
        <v>42089</v>
      </c>
      <c r="U921" s="29">
        <v>-25</v>
      </c>
      <c r="V921" s="26">
        <v>4</v>
      </c>
      <c r="W921" s="29">
        <v>25.31</v>
      </c>
      <c r="X921" s="26">
        <v>90460</v>
      </c>
      <c r="Y921" s="35">
        <v>28.470000000000002</v>
      </c>
      <c r="Z921" s="1" t="s">
        <v>3014</v>
      </c>
      <c r="AA921" s="36">
        <v>2.6560000000000001</v>
      </c>
      <c r="AB921" s="54">
        <v>15.9453</v>
      </c>
      <c r="AC921" s="54">
        <v>2.3411749999999998</v>
      </c>
      <c r="AD921" s="36">
        <v>-7.2960000000000029</v>
      </c>
    </row>
    <row r="922" spans="1:30" s="37" customFormat="1" ht="15.75" customHeight="1" x14ac:dyDescent="0.2">
      <c r="A922" s="26">
        <v>2308</v>
      </c>
      <c r="B922" s="27" t="s">
        <v>1823</v>
      </c>
      <c r="C922" s="27" t="s">
        <v>48</v>
      </c>
      <c r="D922" s="28">
        <v>0.08</v>
      </c>
      <c r="E922" s="29">
        <v>9.48</v>
      </c>
      <c r="F922" s="29">
        <v>7.29</v>
      </c>
      <c r="G922" s="30" t="s">
        <v>39</v>
      </c>
      <c r="H922" s="27" t="s">
        <v>3095</v>
      </c>
      <c r="I922" s="27" t="s">
        <v>29</v>
      </c>
      <c r="J922" s="27" t="s">
        <v>126</v>
      </c>
      <c r="K922" s="27" t="s">
        <v>43</v>
      </c>
      <c r="L922" s="31" t="s">
        <v>504</v>
      </c>
      <c r="M922" s="32">
        <v>0.45</v>
      </c>
      <c r="N922" s="27" t="s">
        <v>33</v>
      </c>
      <c r="O922" s="27" t="s">
        <v>34</v>
      </c>
      <c r="P922" s="27" t="s">
        <v>123</v>
      </c>
      <c r="Q922" s="27" t="s">
        <v>1824</v>
      </c>
      <c r="R922" s="33">
        <v>33971</v>
      </c>
      <c r="S922" s="34">
        <v>42087</v>
      </c>
      <c r="T922" s="34">
        <v>42089</v>
      </c>
      <c r="U922" s="29">
        <v>-50.4</v>
      </c>
      <c r="V922" s="26">
        <v>2</v>
      </c>
      <c r="W922" s="29">
        <v>20.22</v>
      </c>
      <c r="X922" s="26">
        <v>90557</v>
      </c>
      <c r="Y922" s="35">
        <v>15.4</v>
      </c>
      <c r="Z922" s="1" t="s">
        <v>3011</v>
      </c>
      <c r="AA922" s="36">
        <v>1.5168000000000001</v>
      </c>
      <c r="AB922" s="54">
        <v>11.121</v>
      </c>
      <c r="AC922" s="54">
        <v>4.5495000000000001</v>
      </c>
      <c r="AD922" s="36">
        <v>61.813199999999995</v>
      </c>
    </row>
    <row r="923" spans="1:30" s="37" customFormat="1" ht="15.75" customHeight="1" x14ac:dyDescent="0.2">
      <c r="A923" s="26">
        <v>1254</v>
      </c>
      <c r="B923" s="27" t="s">
        <v>1590</v>
      </c>
      <c r="C923" s="27" t="s">
        <v>116</v>
      </c>
      <c r="D923" s="28">
        <v>0.06</v>
      </c>
      <c r="E923" s="29">
        <v>3.95</v>
      </c>
      <c r="F923" s="29">
        <v>2</v>
      </c>
      <c r="G923" s="30" t="s">
        <v>39</v>
      </c>
      <c r="H923" s="27" t="s">
        <v>71</v>
      </c>
      <c r="I923" s="27" t="s">
        <v>49</v>
      </c>
      <c r="J923" s="27" t="s">
        <v>176</v>
      </c>
      <c r="K923" s="27" t="s">
        <v>51</v>
      </c>
      <c r="L923" s="31" t="s">
        <v>1829</v>
      </c>
      <c r="M923" s="32">
        <v>0.53</v>
      </c>
      <c r="N923" s="27" t="s">
        <v>33</v>
      </c>
      <c r="O923" s="27" t="s">
        <v>53</v>
      </c>
      <c r="P923" s="27" t="s">
        <v>187</v>
      </c>
      <c r="Q923" s="27" t="s">
        <v>1591</v>
      </c>
      <c r="R923" s="33">
        <v>77530</v>
      </c>
      <c r="S923" s="34">
        <v>42087</v>
      </c>
      <c r="T923" s="34">
        <v>42088</v>
      </c>
      <c r="U923" s="29">
        <v>-9.68</v>
      </c>
      <c r="V923" s="26">
        <v>5</v>
      </c>
      <c r="W923" s="29">
        <v>19.66</v>
      </c>
      <c r="X923" s="26">
        <v>89984</v>
      </c>
      <c r="Y923" s="35">
        <v>14.18</v>
      </c>
      <c r="Z923" s="1" t="s">
        <v>3012</v>
      </c>
      <c r="AA923" s="36">
        <v>1.1850000000000001</v>
      </c>
      <c r="AB923" s="54">
        <v>9.2401999999999997</v>
      </c>
      <c r="AC923" s="54">
        <v>2.0839600000000003</v>
      </c>
      <c r="AD923" s="36">
        <v>26.155000000000001</v>
      </c>
    </row>
    <row r="924" spans="1:30" s="37" customFormat="1" ht="15.75" customHeight="1" x14ac:dyDescent="0.2">
      <c r="A924" s="26">
        <v>693</v>
      </c>
      <c r="B924" s="27" t="s">
        <v>1549</v>
      </c>
      <c r="C924" s="27" t="s">
        <v>48</v>
      </c>
      <c r="D924" s="28">
        <v>0.02</v>
      </c>
      <c r="E924" s="29">
        <v>500.98</v>
      </c>
      <c r="F924" s="29">
        <v>41.44</v>
      </c>
      <c r="G924" s="30" t="s">
        <v>27</v>
      </c>
      <c r="H924" s="27" t="s">
        <v>3095</v>
      </c>
      <c r="I924" s="27" t="s">
        <v>29</v>
      </c>
      <c r="J924" s="27" t="s">
        <v>117</v>
      </c>
      <c r="K924" s="27" t="s">
        <v>31</v>
      </c>
      <c r="L924" s="31" t="s">
        <v>1851</v>
      </c>
      <c r="M924" s="32">
        <v>0.66</v>
      </c>
      <c r="N924" s="27" t="s">
        <v>33</v>
      </c>
      <c r="O924" s="27" t="s">
        <v>60</v>
      </c>
      <c r="P924" s="27" t="s">
        <v>61</v>
      </c>
      <c r="Q924" s="27" t="s">
        <v>1550</v>
      </c>
      <c r="R924" s="33">
        <v>80229</v>
      </c>
      <c r="S924" s="34">
        <v>42088</v>
      </c>
      <c r="T924" s="34">
        <v>42088</v>
      </c>
      <c r="U924" s="29">
        <v>2568.4629</v>
      </c>
      <c r="V924" s="26">
        <v>7</v>
      </c>
      <c r="W924" s="29">
        <v>3722.41</v>
      </c>
      <c r="X924" s="26">
        <v>87811</v>
      </c>
      <c r="Y924" s="35">
        <v>5.6099999999999994</v>
      </c>
      <c r="Z924" s="1" t="s">
        <v>3013</v>
      </c>
      <c r="AA924" s="36">
        <v>70.137200000000007</v>
      </c>
      <c r="AB924" s="54">
        <v>1265.6193999999998</v>
      </c>
      <c r="AC924" s="54">
        <v>350.97008571428569</v>
      </c>
      <c r="AD924" s="36">
        <v>1042.3698999999997</v>
      </c>
    </row>
    <row r="925" spans="1:30" s="37" customFormat="1" ht="15.75" customHeight="1" x14ac:dyDescent="0.2">
      <c r="A925" s="26">
        <v>1241</v>
      </c>
      <c r="B925" s="27" t="s">
        <v>1684</v>
      </c>
      <c r="C925" s="27" t="s">
        <v>26</v>
      </c>
      <c r="D925" s="28">
        <v>0.06</v>
      </c>
      <c r="E925" s="29">
        <v>200.97</v>
      </c>
      <c r="F925" s="29">
        <v>15.59</v>
      </c>
      <c r="G925" s="30" t="s">
        <v>27</v>
      </c>
      <c r="H925" s="27" t="s">
        <v>3095</v>
      </c>
      <c r="I925" s="27" t="s">
        <v>41</v>
      </c>
      <c r="J925" s="27" t="s">
        <v>57</v>
      </c>
      <c r="K925" s="27" t="s">
        <v>58</v>
      </c>
      <c r="L925" s="31" t="s">
        <v>940</v>
      </c>
      <c r="M925" s="32">
        <v>0.36</v>
      </c>
      <c r="N925" s="27" t="s">
        <v>33</v>
      </c>
      <c r="O925" s="27" t="s">
        <v>34</v>
      </c>
      <c r="P925" s="27" t="s">
        <v>164</v>
      </c>
      <c r="Q925" s="27" t="s">
        <v>1204</v>
      </c>
      <c r="R925" s="33">
        <v>36830</v>
      </c>
      <c r="S925" s="34">
        <v>42088</v>
      </c>
      <c r="T925" s="34">
        <v>42088</v>
      </c>
      <c r="U925" s="29">
        <v>531.61800000000005</v>
      </c>
      <c r="V925" s="26">
        <v>7</v>
      </c>
      <c r="W925" s="29">
        <v>1348.83</v>
      </c>
      <c r="X925" s="26">
        <v>90881</v>
      </c>
      <c r="Y925" s="35">
        <v>22.78</v>
      </c>
      <c r="Z925" s="1" t="s">
        <v>3011</v>
      </c>
      <c r="AA925" s="36">
        <v>84.407399999999996</v>
      </c>
      <c r="AB925" s="54">
        <v>863.25119999999993</v>
      </c>
      <c r="AC925" s="54">
        <v>69.368399999999994</v>
      </c>
      <c r="AD925" s="36">
        <v>717.21459999999979</v>
      </c>
    </row>
    <row r="926" spans="1:30" s="37" customFormat="1" ht="15.75" customHeight="1" x14ac:dyDescent="0.2">
      <c r="A926" s="26">
        <v>1557</v>
      </c>
      <c r="B926" s="27" t="s">
        <v>1852</v>
      </c>
      <c r="C926" s="27" t="s">
        <v>48</v>
      </c>
      <c r="D926" s="28">
        <v>0.09</v>
      </c>
      <c r="E926" s="29">
        <v>60.98</v>
      </c>
      <c r="F926" s="29">
        <v>49</v>
      </c>
      <c r="G926" s="30" t="s">
        <v>39</v>
      </c>
      <c r="H926" s="27" t="s">
        <v>40</v>
      </c>
      <c r="I926" s="27" t="s">
        <v>49</v>
      </c>
      <c r="J926" s="27" t="s">
        <v>95</v>
      </c>
      <c r="K926" s="27" t="s">
        <v>65</v>
      </c>
      <c r="L926" s="31" t="s">
        <v>1530</v>
      </c>
      <c r="M926" s="32">
        <v>0.59</v>
      </c>
      <c r="N926" s="27" t="s">
        <v>33</v>
      </c>
      <c r="O926" s="27" t="s">
        <v>34</v>
      </c>
      <c r="P926" s="27" t="s">
        <v>242</v>
      </c>
      <c r="Q926" s="27" t="s">
        <v>1853</v>
      </c>
      <c r="R926" s="33">
        <v>22003</v>
      </c>
      <c r="S926" s="34">
        <v>42088</v>
      </c>
      <c r="T926" s="34">
        <v>42096</v>
      </c>
      <c r="U926" s="29">
        <v>-954.75800000000004</v>
      </c>
      <c r="V926" s="26">
        <v>15</v>
      </c>
      <c r="W926" s="29">
        <v>879.62</v>
      </c>
      <c r="X926" s="26">
        <v>87426</v>
      </c>
      <c r="Y926" s="35">
        <v>200.91</v>
      </c>
      <c r="Z926" s="1" t="s">
        <v>3011</v>
      </c>
      <c r="AA926" s="36">
        <v>82.322999999999979</v>
      </c>
      <c r="AB926" s="54">
        <v>360.64420000000001</v>
      </c>
      <c r="AC926" s="54">
        <v>34.598386666666663</v>
      </c>
      <c r="AD926" s="36">
        <v>1703.0550000000001</v>
      </c>
    </row>
    <row r="927" spans="1:30" s="37" customFormat="1" ht="15.75" customHeight="1" x14ac:dyDescent="0.2">
      <c r="A927" s="26">
        <v>2833</v>
      </c>
      <c r="B927" s="27" t="s">
        <v>1861</v>
      </c>
      <c r="C927" s="27" t="s">
        <v>3094</v>
      </c>
      <c r="D927" s="28">
        <v>0.08</v>
      </c>
      <c r="E927" s="29">
        <v>65.989999999999995</v>
      </c>
      <c r="F927" s="29">
        <v>8.99</v>
      </c>
      <c r="G927" s="30" t="s">
        <v>39</v>
      </c>
      <c r="H927" s="27" t="s">
        <v>3095</v>
      </c>
      <c r="I927" s="27" t="s">
        <v>41</v>
      </c>
      <c r="J927" s="27" t="s">
        <v>135</v>
      </c>
      <c r="K927" s="27" t="s">
        <v>73</v>
      </c>
      <c r="L927" s="31" t="s">
        <v>1864</v>
      </c>
      <c r="M927" s="32">
        <v>0.56000000000000005</v>
      </c>
      <c r="N927" s="27" t="s">
        <v>33</v>
      </c>
      <c r="O927" s="27" t="s">
        <v>53</v>
      </c>
      <c r="P927" s="27" t="s">
        <v>84</v>
      </c>
      <c r="Q927" s="27" t="s">
        <v>1863</v>
      </c>
      <c r="R927" s="33">
        <v>55076</v>
      </c>
      <c r="S927" s="34">
        <v>42088</v>
      </c>
      <c r="T927" s="34">
        <v>42089</v>
      </c>
      <c r="U927" s="29">
        <v>206.352</v>
      </c>
      <c r="V927" s="26">
        <v>15</v>
      </c>
      <c r="W927" s="29">
        <v>808.61</v>
      </c>
      <c r="X927" s="26">
        <v>91030</v>
      </c>
      <c r="Y927" s="35">
        <v>46.81</v>
      </c>
      <c r="Z927" s="1" t="s">
        <v>3012</v>
      </c>
      <c r="AA927" s="36">
        <v>79.187999999999988</v>
      </c>
      <c r="AB927" s="54">
        <v>355.78839999999997</v>
      </c>
      <c r="AC927" s="54">
        <v>30.18810666666667</v>
      </c>
      <c r="AD927" s="36">
        <v>514.08000000000004</v>
      </c>
    </row>
    <row r="928" spans="1:30" s="37" customFormat="1" ht="15.75" customHeight="1" x14ac:dyDescent="0.2">
      <c r="A928" s="26">
        <v>1648</v>
      </c>
      <c r="B928" s="27" t="s">
        <v>1842</v>
      </c>
      <c r="C928" s="27" t="s">
        <v>26</v>
      </c>
      <c r="D928" s="28">
        <v>0.08</v>
      </c>
      <c r="E928" s="29">
        <v>46.89</v>
      </c>
      <c r="F928" s="29">
        <v>5.0999999999999996</v>
      </c>
      <c r="G928" s="30" t="s">
        <v>39</v>
      </c>
      <c r="H928" s="27" t="s">
        <v>94</v>
      </c>
      <c r="I928" s="27" t="s">
        <v>49</v>
      </c>
      <c r="J928" s="27" t="s">
        <v>95</v>
      </c>
      <c r="K928" s="27" t="s">
        <v>144</v>
      </c>
      <c r="L928" s="31" t="s">
        <v>1843</v>
      </c>
      <c r="M928" s="32">
        <v>0.46</v>
      </c>
      <c r="N928" s="27" t="s">
        <v>33</v>
      </c>
      <c r="O928" s="27" t="s">
        <v>53</v>
      </c>
      <c r="P928" s="27" t="s">
        <v>103</v>
      </c>
      <c r="Q928" s="27" t="s">
        <v>664</v>
      </c>
      <c r="R928" s="33">
        <v>60098</v>
      </c>
      <c r="S928" s="34">
        <v>42088</v>
      </c>
      <c r="T928" s="34">
        <v>42090</v>
      </c>
      <c r="U928" s="29">
        <v>507.63299999999998</v>
      </c>
      <c r="V928" s="26">
        <v>17</v>
      </c>
      <c r="W928" s="29">
        <v>735.7</v>
      </c>
      <c r="X928" s="26">
        <v>91043</v>
      </c>
      <c r="Y928" s="35">
        <v>12.93</v>
      </c>
      <c r="Z928" s="1" t="s">
        <v>3012</v>
      </c>
      <c r="AA928" s="36">
        <v>63.770400000000002</v>
      </c>
      <c r="AB928" s="54">
        <v>397.27800000000008</v>
      </c>
      <c r="AC928" s="54">
        <v>19.907176470588237</v>
      </c>
      <c r="AD928" s="36">
        <v>159.1966000000001</v>
      </c>
    </row>
    <row r="929" spans="1:30" s="37" customFormat="1" ht="15.75" customHeight="1" x14ac:dyDescent="0.2">
      <c r="A929" s="26">
        <v>2833</v>
      </c>
      <c r="B929" s="27" t="s">
        <v>1861</v>
      </c>
      <c r="C929" s="27" t="s">
        <v>3094</v>
      </c>
      <c r="D929" s="28">
        <v>0.03</v>
      </c>
      <c r="E929" s="29">
        <v>140.97999999999999</v>
      </c>
      <c r="F929" s="29">
        <v>36.090000000000003</v>
      </c>
      <c r="G929" s="30" t="s">
        <v>27</v>
      </c>
      <c r="H929" s="27" t="s">
        <v>3095</v>
      </c>
      <c r="I929" s="27" t="s">
        <v>29</v>
      </c>
      <c r="J929" s="27" t="s">
        <v>117</v>
      </c>
      <c r="K929" s="27" t="s">
        <v>31</v>
      </c>
      <c r="L929" s="31" t="s">
        <v>1862</v>
      </c>
      <c r="M929" s="32">
        <v>0.77</v>
      </c>
      <c r="N929" s="27" t="s">
        <v>33</v>
      </c>
      <c r="O929" s="27" t="s">
        <v>53</v>
      </c>
      <c r="P929" s="27" t="s">
        <v>84</v>
      </c>
      <c r="Q929" s="27" t="s">
        <v>1863</v>
      </c>
      <c r="R929" s="33">
        <v>55076</v>
      </c>
      <c r="S929" s="34">
        <v>42088</v>
      </c>
      <c r="T929" s="34">
        <v>42090</v>
      </c>
      <c r="U929" s="29">
        <v>-221.5</v>
      </c>
      <c r="V929" s="26">
        <v>4</v>
      </c>
      <c r="W929" s="29">
        <v>608.80999999999995</v>
      </c>
      <c r="X929" s="26">
        <v>91030</v>
      </c>
      <c r="Y929" s="35">
        <v>10.63</v>
      </c>
      <c r="Z929" s="1" t="s">
        <v>3012</v>
      </c>
      <c r="AA929" s="36">
        <v>16.917599999999997</v>
      </c>
      <c r="AB929" s="54">
        <v>140.02629999999996</v>
      </c>
      <c r="AC929" s="54">
        <v>117.19592499999999</v>
      </c>
      <c r="AD929" s="36">
        <v>777.30239999999992</v>
      </c>
    </row>
    <row r="930" spans="1:30" s="37" customFormat="1" ht="15.75" customHeight="1" x14ac:dyDescent="0.2">
      <c r="A930" s="26">
        <v>2287</v>
      </c>
      <c r="B930" s="27" t="s">
        <v>1263</v>
      </c>
      <c r="C930" s="27" t="s">
        <v>3094</v>
      </c>
      <c r="D930" s="28">
        <v>0.05</v>
      </c>
      <c r="E930" s="29">
        <v>34.99</v>
      </c>
      <c r="F930" s="29">
        <v>7.73</v>
      </c>
      <c r="G930" s="30" t="s">
        <v>87</v>
      </c>
      <c r="H930" s="27" t="s">
        <v>94</v>
      </c>
      <c r="I930" s="27" t="s">
        <v>49</v>
      </c>
      <c r="J930" s="27" t="s">
        <v>50</v>
      </c>
      <c r="K930" s="27" t="s">
        <v>73</v>
      </c>
      <c r="L930" s="31" t="s">
        <v>1304</v>
      </c>
      <c r="M930" s="32">
        <v>0.59</v>
      </c>
      <c r="N930" s="27" t="s">
        <v>33</v>
      </c>
      <c r="O930" s="27" t="s">
        <v>34</v>
      </c>
      <c r="P930" s="27" t="s">
        <v>271</v>
      </c>
      <c r="Q930" s="27" t="s">
        <v>1265</v>
      </c>
      <c r="R930" s="33">
        <v>29483</v>
      </c>
      <c r="S930" s="34">
        <v>42088</v>
      </c>
      <c r="T930" s="34">
        <v>42090</v>
      </c>
      <c r="U930" s="29">
        <v>-12.0267</v>
      </c>
      <c r="V930" s="26">
        <v>12</v>
      </c>
      <c r="W930" s="29">
        <v>418.75</v>
      </c>
      <c r="X930" s="26">
        <v>90146</v>
      </c>
      <c r="Y930" s="35">
        <v>14.72</v>
      </c>
      <c r="Z930" s="1" t="s">
        <v>3011</v>
      </c>
      <c r="AA930" s="36">
        <v>20.994000000000003</v>
      </c>
      <c r="AB930" s="54">
        <v>171.6875</v>
      </c>
      <c r="AC930" s="54">
        <v>20.588541666666668</v>
      </c>
      <c r="AD930" s="36">
        <v>402.05270000000002</v>
      </c>
    </row>
    <row r="931" spans="1:30" s="37" customFormat="1" ht="15.75" customHeight="1" x14ac:dyDescent="0.2">
      <c r="A931" s="26">
        <v>1557</v>
      </c>
      <c r="B931" s="27" t="s">
        <v>1852</v>
      </c>
      <c r="C931" s="27" t="s">
        <v>48</v>
      </c>
      <c r="D931" s="28">
        <v>0.05</v>
      </c>
      <c r="E931" s="29">
        <v>29.89</v>
      </c>
      <c r="F931" s="29">
        <v>1.99</v>
      </c>
      <c r="G931" s="30" t="s">
        <v>39</v>
      </c>
      <c r="H931" s="27" t="s">
        <v>40</v>
      </c>
      <c r="I931" s="27" t="s">
        <v>41</v>
      </c>
      <c r="J931" s="27" t="s">
        <v>42</v>
      </c>
      <c r="K931" s="27" t="s">
        <v>43</v>
      </c>
      <c r="L931" s="31" t="s">
        <v>443</v>
      </c>
      <c r="M931" s="32">
        <v>0.5</v>
      </c>
      <c r="N931" s="27" t="s">
        <v>33</v>
      </c>
      <c r="O931" s="27" t="s">
        <v>34</v>
      </c>
      <c r="P931" s="27" t="s">
        <v>242</v>
      </c>
      <c r="Q931" s="27" t="s">
        <v>1853</v>
      </c>
      <c r="R931" s="33">
        <v>22003</v>
      </c>
      <c r="S931" s="34">
        <v>42088</v>
      </c>
      <c r="T931" s="34">
        <v>42090</v>
      </c>
      <c r="U931" s="29">
        <v>219.4734</v>
      </c>
      <c r="V931" s="26">
        <v>12</v>
      </c>
      <c r="W931" s="29">
        <v>361.19</v>
      </c>
      <c r="X931" s="26">
        <v>87426</v>
      </c>
      <c r="Y931" s="35">
        <v>35.92</v>
      </c>
      <c r="Z931" s="1" t="s">
        <v>3011</v>
      </c>
      <c r="AA931" s="36">
        <v>17.934000000000001</v>
      </c>
      <c r="AB931" s="54">
        <v>180.595</v>
      </c>
      <c r="AC931" s="54">
        <v>15.049583333333333</v>
      </c>
      <c r="AD931" s="36">
        <v>121.79259999999999</v>
      </c>
    </row>
    <row r="932" spans="1:30" s="37" customFormat="1" ht="15.75" customHeight="1" x14ac:dyDescent="0.2">
      <c r="A932" s="26">
        <v>1648</v>
      </c>
      <c r="B932" s="27" t="s">
        <v>1842</v>
      </c>
      <c r="C932" s="27" t="s">
        <v>26</v>
      </c>
      <c r="D932" s="28">
        <v>0.05</v>
      </c>
      <c r="E932" s="29">
        <v>12.98</v>
      </c>
      <c r="F932" s="29">
        <v>3.14</v>
      </c>
      <c r="G932" s="30" t="s">
        <v>39</v>
      </c>
      <c r="H932" s="27" t="s">
        <v>94</v>
      </c>
      <c r="I932" s="27" t="s">
        <v>49</v>
      </c>
      <c r="J932" s="27" t="s">
        <v>568</v>
      </c>
      <c r="K932" s="27" t="s">
        <v>43</v>
      </c>
      <c r="L932" s="31" t="s">
        <v>569</v>
      </c>
      <c r="M932" s="32">
        <v>0.6</v>
      </c>
      <c r="N932" s="27" t="s">
        <v>33</v>
      </c>
      <c r="O932" s="27" t="s">
        <v>53</v>
      </c>
      <c r="P932" s="27" t="s">
        <v>103</v>
      </c>
      <c r="Q932" s="27" t="s">
        <v>664</v>
      </c>
      <c r="R932" s="33">
        <v>60098</v>
      </c>
      <c r="S932" s="34">
        <v>42088</v>
      </c>
      <c r="T932" s="34">
        <v>42088</v>
      </c>
      <c r="U932" s="29">
        <v>38.229999999999997</v>
      </c>
      <c r="V932" s="26">
        <v>18</v>
      </c>
      <c r="W932" s="29">
        <v>225.59</v>
      </c>
      <c r="X932" s="26">
        <v>91043</v>
      </c>
      <c r="Y932" s="35">
        <v>500.96000000000004</v>
      </c>
      <c r="Z932" s="1" t="s">
        <v>3012</v>
      </c>
      <c r="AA932" s="36">
        <v>11.682</v>
      </c>
      <c r="AB932" s="54">
        <v>90.236000000000004</v>
      </c>
      <c r="AC932" s="54">
        <v>7.5196666666666658</v>
      </c>
      <c r="AD932" s="36">
        <v>172.53800000000001</v>
      </c>
    </row>
    <row r="933" spans="1:30" s="37" customFormat="1" ht="15.75" customHeight="1" x14ac:dyDescent="0.2">
      <c r="A933" s="26">
        <v>2287</v>
      </c>
      <c r="B933" s="27" t="s">
        <v>1263</v>
      </c>
      <c r="C933" s="27" t="s">
        <v>3094</v>
      </c>
      <c r="D933" s="28">
        <v>0.01</v>
      </c>
      <c r="E933" s="29">
        <v>18.97</v>
      </c>
      <c r="F933" s="29">
        <v>9.0299999999999994</v>
      </c>
      <c r="G933" s="30" t="s">
        <v>39</v>
      </c>
      <c r="H933" s="27" t="s">
        <v>94</v>
      </c>
      <c r="I933" s="27" t="s">
        <v>49</v>
      </c>
      <c r="J933" s="27" t="s">
        <v>88</v>
      </c>
      <c r="K933" s="27" t="s">
        <v>73</v>
      </c>
      <c r="L933" s="31" t="s">
        <v>630</v>
      </c>
      <c r="M933" s="32">
        <v>0.37</v>
      </c>
      <c r="N933" s="27" t="s">
        <v>33</v>
      </c>
      <c r="O933" s="27" t="s">
        <v>34</v>
      </c>
      <c r="P933" s="27" t="s">
        <v>271</v>
      </c>
      <c r="Q933" s="27" t="s">
        <v>1265</v>
      </c>
      <c r="R933" s="33">
        <v>29483</v>
      </c>
      <c r="S933" s="34">
        <v>42088</v>
      </c>
      <c r="T933" s="34">
        <v>42088</v>
      </c>
      <c r="U933" s="29">
        <v>-12.0267</v>
      </c>
      <c r="V933" s="26">
        <v>8</v>
      </c>
      <c r="W933" s="29">
        <v>164.67</v>
      </c>
      <c r="X933" s="26">
        <v>90146</v>
      </c>
      <c r="Y933" s="35">
        <v>60.889999999999993</v>
      </c>
      <c r="Z933" s="1" t="s">
        <v>3011</v>
      </c>
      <c r="AA933" s="36">
        <v>1.5175999999999998</v>
      </c>
      <c r="AB933" s="54">
        <v>103.74209999999999</v>
      </c>
      <c r="AC933" s="54">
        <v>7.6159874999999992</v>
      </c>
      <c r="AD933" s="36">
        <v>166.14909999999998</v>
      </c>
    </row>
    <row r="934" spans="1:30" s="37" customFormat="1" ht="15.75" customHeight="1" x14ac:dyDescent="0.2">
      <c r="A934" s="26">
        <v>290</v>
      </c>
      <c r="B934" s="27" t="s">
        <v>1858</v>
      </c>
      <c r="C934" s="27" t="s">
        <v>3094</v>
      </c>
      <c r="D934" s="28">
        <v>0.04</v>
      </c>
      <c r="E934" s="29">
        <v>4.9800000000000004</v>
      </c>
      <c r="F934" s="29">
        <v>4.62</v>
      </c>
      <c r="G934" s="30" t="s">
        <v>39</v>
      </c>
      <c r="H934" s="27" t="s">
        <v>3095</v>
      </c>
      <c r="I934" s="27" t="s">
        <v>41</v>
      </c>
      <c r="J934" s="27" t="s">
        <v>42</v>
      </c>
      <c r="K934" s="27" t="s">
        <v>43</v>
      </c>
      <c r="L934" s="31" t="s">
        <v>1221</v>
      </c>
      <c r="M934" s="32">
        <v>0.64</v>
      </c>
      <c r="N934" s="27" t="s">
        <v>33</v>
      </c>
      <c r="O934" s="27" t="s">
        <v>60</v>
      </c>
      <c r="P934" s="27" t="s">
        <v>61</v>
      </c>
      <c r="Q934" s="27" t="s">
        <v>1859</v>
      </c>
      <c r="R934" s="33">
        <v>80538</v>
      </c>
      <c r="S934" s="34">
        <v>42088</v>
      </c>
      <c r="T934" s="34">
        <v>42089</v>
      </c>
      <c r="U934" s="29">
        <v>-135.16</v>
      </c>
      <c r="V934" s="26">
        <v>20</v>
      </c>
      <c r="W934" s="29">
        <v>102.54</v>
      </c>
      <c r="X934" s="26">
        <v>90837</v>
      </c>
      <c r="Y934" s="35">
        <v>29.84</v>
      </c>
      <c r="Z934" s="1" t="s">
        <v>3013</v>
      </c>
      <c r="AA934" s="36">
        <v>3.9840000000000004</v>
      </c>
      <c r="AB934" s="54">
        <v>36.914400000000001</v>
      </c>
      <c r="AC934" s="54">
        <v>3.2812800000000006</v>
      </c>
      <c r="AD934" s="36">
        <v>229.096</v>
      </c>
    </row>
    <row r="935" spans="1:30" s="37" customFormat="1" ht="15.75" customHeight="1" x14ac:dyDescent="0.2">
      <c r="A935" s="26">
        <v>2287</v>
      </c>
      <c r="B935" s="27" t="s">
        <v>1263</v>
      </c>
      <c r="C935" s="27" t="s">
        <v>3094</v>
      </c>
      <c r="D935" s="28">
        <v>0.03</v>
      </c>
      <c r="E935" s="29">
        <v>12.28</v>
      </c>
      <c r="F935" s="29">
        <v>4.8600000000000003</v>
      </c>
      <c r="G935" s="30" t="s">
        <v>39</v>
      </c>
      <c r="H935" s="27" t="s">
        <v>94</v>
      </c>
      <c r="I935" s="27" t="s">
        <v>49</v>
      </c>
      <c r="J935" s="27" t="s">
        <v>88</v>
      </c>
      <c r="K935" s="27" t="s">
        <v>73</v>
      </c>
      <c r="L935" s="31" t="s">
        <v>1860</v>
      </c>
      <c r="M935" s="32">
        <v>0.38</v>
      </c>
      <c r="N935" s="27" t="s">
        <v>33</v>
      </c>
      <c r="O935" s="27" t="s">
        <v>34</v>
      </c>
      <c r="P935" s="27" t="s">
        <v>271</v>
      </c>
      <c r="Q935" s="27" t="s">
        <v>1265</v>
      </c>
      <c r="R935" s="33">
        <v>29483</v>
      </c>
      <c r="S935" s="34">
        <v>42088</v>
      </c>
      <c r="T935" s="34">
        <v>42089</v>
      </c>
      <c r="U935" s="29">
        <v>122.508</v>
      </c>
      <c r="V935" s="26">
        <v>6</v>
      </c>
      <c r="W935" s="29">
        <v>72.739999999999995</v>
      </c>
      <c r="X935" s="26">
        <v>90146</v>
      </c>
      <c r="Y935" s="35">
        <v>3.93</v>
      </c>
      <c r="Z935" s="1" t="s">
        <v>3011</v>
      </c>
      <c r="AA935" s="36">
        <v>2.2103999999999999</v>
      </c>
      <c r="AB935" s="54">
        <v>45.098799999999997</v>
      </c>
      <c r="AC935" s="54">
        <v>4.6068666666666669</v>
      </c>
      <c r="AD935" s="36">
        <v>-56.838399999999993</v>
      </c>
    </row>
    <row r="936" spans="1:30" s="37" customFormat="1" ht="15.75" customHeight="1" x14ac:dyDescent="0.2">
      <c r="A936" s="26">
        <v>1829</v>
      </c>
      <c r="B936" s="27" t="s">
        <v>254</v>
      </c>
      <c r="C936" s="27" t="s">
        <v>26</v>
      </c>
      <c r="D936" s="28">
        <v>0.01</v>
      </c>
      <c r="E936" s="29">
        <v>10.64</v>
      </c>
      <c r="F936" s="29">
        <v>5.16</v>
      </c>
      <c r="G936" s="30" t="s">
        <v>87</v>
      </c>
      <c r="H936" s="27" t="s">
        <v>94</v>
      </c>
      <c r="I936" s="27" t="s">
        <v>29</v>
      </c>
      <c r="J936" s="27" t="s">
        <v>126</v>
      </c>
      <c r="K936" s="27" t="s">
        <v>73</v>
      </c>
      <c r="L936" s="31" t="s">
        <v>1844</v>
      </c>
      <c r="M936" s="32">
        <v>0.56999999999999995</v>
      </c>
      <c r="N936" s="27" t="s">
        <v>33</v>
      </c>
      <c r="O936" s="27" t="s">
        <v>53</v>
      </c>
      <c r="P936" s="27" t="s">
        <v>213</v>
      </c>
      <c r="Q936" s="27" t="s">
        <v>256</v>
      </c>
      <c r="R936" s="33">
        <v>52402</v>
      </c>
      <c r="S936" s="34">
        <v>42088</v>
      </c>
      <c r="T936" s="34">
        <v>42090</v>
      </c>
      <c r="U936" s="29">
        <v>-11.69</v>
      </c>
      <c r="V936" s="26">
        <v>5</v>
      </c>
      <c r="W936" s="29">
        <v>58.52</v>
      </c>
      <c r="X936" s="26">
        <v>86957</v>
      </c>
      <c r="Y936" s="35">
        <v>6.4700000000000006</v>
      </c>
      <c r="Z936" s="1" t="s">
        <v>3012</v>
      </c>
      <c r="AA936" s="36">
        <v>0.53200000000000003</v>
      </c>
      <c r="AB936" s="54">
        <v>25.163600000000006</v>
      </c>
      <c r="AC936" s="54">
        <v>6.6712799999999994</v>
      </c>
      <c r="AD936" s="36">
        <v>64.518000000000001</v>
      </c>
    </row>
    <row r="937" spans="1:30" s="37" customFormat="1" ht="15.75" customHeight="1" x14ac:dyDescent="0.2">
      <c r="A937" s="26">
        <v>1699</v>
      </c>
      <c r="B937" s="27" t="s">
        <v>1854</v>
      </c>
      <c r="C937" s="27" t="s">
        <v>48</v>
      </c>
      <c r="D937" s="28">
        <v>0.05</v>
      </c>
      <c r="E937" s="29">
        <v>3.98</v>
      </c>
      <c r="F937" s="29">
        <v>5.26</v>
      </c>
      <c r="G937" s="30" t="s">
        <v>39</v>
      </c>
      <c r="H937" s="27" t="s">
        <v>3095</v>
      </c>
      <c r="I937" s="27" t="s">
        <v>49</v>
      </c>
      <c r="J937" s="27" t="s">
        <v>72</v>
      </c>
      <c r="K937" s="27" t="s">
        <v>73</v>
      </c>
      <c r="L937" s="31" t="s">
        <v>1855</v>
      </c>
      <c r="M937" s="32">
        <v>0.38</v>
      </c>
      <c r="N937" s="27" t="s">
        <v>33</v>
      </c>
      <c r="O937" s="27" t="s">
        <v>111</v>
      </c>
      <c r="P937" s="27" t="s">
        <v>320</v>
      </c>
      <c r="Q937" s="27" t="s">
        <v>1856</v>
      </c>
      <c r="R937" s="33">
        <v>19057</v>
      </c>
      <c r="S937" s="34">
        <v>42088</v>
      </c>
      <c r="T937" s="34">
        <v>42092</v>
      </c>
      <c r="U937" s="29">
        <v>-152.52449999999999</v>
      </c>
      <c r="V937" s="26">
        <v>12</v>
      </c>
      <c r="W937" s="29">
        <v>49.44</v>
      </c>
      <c r="X937" s="26">
        <v>87345</v>
      </c>
      <c r="Y937" s="35">
        <v>4.9400000000000004</v>
      </c>
      <c r="Z937" s="1" t="s">
        <v>3014</v>
      </c>
      <c r="AA937" s="36">
        <v>2.3879999999999999</v>
      </c>
      <c r="AB937" s="54">
        <v>30.652799999999999</v>
      </c>
      <c r="AC937" s="54">
        <v>1.5656000000000001</v>
      </c>
      <c r="AD937" s="36">
        <v>194.31649999999999</v>
      </c>
    </row>
    <row r="938" spans="1:30" s="37" customFormat="1" ht="15.75" customHeight="1" x14ac:dyDescent="0.2">
      <c r="A938" s="26">
        <v>3100</v>
      </c>
      <c r="B938" s="27" t="s">
        <v>1848</v>
      </c>
      <c r="C938" s="27" t="s">
        <v>26</v>
      </c>
      <c r="D938" s="28">
        <v>7.0000000000000007E-2</v>
      </c>
      <c r="E938" s="29">
        <v>35.99</v>
      </c>
      <c r="F938" s="29">
        <v>5</v>
      </c>
      <c r="G938" s="30" t="s">
        <v>39</v>
      </c>
      <c r="H938" s="27" t="s">
        <v>40</v>
      </c>
      <c r="I938" s="27" t="s">
        <v>41</v>
      </c>
      <c r="J938" s="27" t="s">
        <v>135</v>
      </c>
      <c r="K938" s="27" t="s">
        <v>51</v>
      </c>
      <c r="L938" s="31" t="s">
        <v>1849</v>
      </c>
      <c r="M938" s="32">
        <v>0.82</v>
      </c>
      <c r="N938" s="27" t="s">
        <v>33</v>
      </c>
      <c r="O938" s="27" t="s">
        <v>34</v>
      </c>
      <c r="P938" s="27" t="s">
        <v>123</v>
      </c>
      <c r="Q938" s="27" t="s">
        <v>1850</v>
      </c>
      <c r="R938" s="33">
        <v>33334</v>
      </c>
      <c r="S938" s="34">
        <v>42088</v>
      </c>
      <c r="T938" s="34">
        <v>42090</v>
      </c>
      <c r="U938" s="29">
        <v>-299.81420000000003</v>
      </c>
      <c r="V938" s="26">
        <v>1</v>
      </c>
      <c r="W938" s="29">
        <v>31.71</v>
      </c>
      <c r="X938" s="26">
        <v>89988</v>
      </c>
      <c r="Y938" s="35">
        <v>18.959999999999997</v>
      </c>
      <c r="Z938" s="1" t="s">
        <v>3011</v>
      </c>
      <c r="AA938" s="36">
        <v>2.5193000000000003</v>
      </c>
      <c r="AB938" s="54">
        <v>5.7078000000000015</v>
      </c>
      <c r="AC938" s="54">
        <v>26.002199999999998</v>
      </c>
      <c r="AD938" s="36">
        <v>324.00490000000002</v>
      </c>
    </row>
    <row r="939" spans="1:30" s="37" customFormat="1" ht="15.75" customHeight="1" x14ac:dyDescent="0.2">
      <c r="A939" s="26">
        <v>2201</v>
      </c>
      <c r="B939" s="27" t="s">
        <v>1845</v>
      </c>
      <c r="C939" s="27" t="s">
        <v>26</v>
      </c>
      <c r="D939" s="28">
        <v>0.17</v>
      </c>
      <c r="E939" s="29">
        <v>14.89</v>
      </c>
      <c r="F939" s="29">
        <v>13.56</v>
      </c>
      <c r="G939" s="30" t="s">
        <v>39</v>
      </c>
      <c r="H939" s="27" t="s">
        <v>3095</v>
      </c>
      <c r="I939" s="27" t="s">
        <v>29</v>
      </c>
      <c r="J939" s="27" t="s">
        <v>126</v>
      </c>
      <c r="K939" s="27" t="s">
        <v>65</v>
      </c>
      <c r="L939" s="31" t="s">
        <v>1846</v>
      </c>
      <c r="M939" s="32">
        <v>0.57999999999999996</v>
      </c>
      <c r="N939" s="27" t="s">
        <v>33</v>
      </c>
      <c r="O939" s="27" t="s">
        <v>53</v>
      </c>
      <c r="P939" s="27" t="s">
        <v>84</v>
      </c>
      <c r="Q939" s="27" t="s">
        <v>1847</v>
      </c>
      <c r="R939" s="33">
        <v>55420</v>
      </c>
      <c r="S939" s="34">
        <v>42088</v>
      </c>
      <c r="T939" s="34">
        <v>42090</v>
      </c>
      <c r="U939" s="29">
        <v>-9.1300000000000008</v>
      </c>
      <c r="V939" s="26">
        <v>1</v>
      </c>
      <c r="W939" s="29">
        <v>27.96</v>
      </c>
      <c r="X939" s="26">
        <v>86054</v>
      </c>
      <c r="Y939" s="35">
        <v>12.25</v>
      </c>
      <c r="Z939" s="1" t="s">
        <v>3012</v>
      </c>
      <c r="AA939" s="36">
        <v>2.5313000000000003</v>
      </c>
      <c r="AB939" s="54">
        <v>11.743200000000002</v>
      </c>
      <c r="AC939" s="54">
        <v>16.216799999999999</v>
      </c>
      <c r="AD939" s="36">
        <v>20.998699999999999</v>
      </c>
    </row>
    <row r="940" spans="1:30" s="37" customFormat="1" ht="15.75" customHeight="1" x14ac:dyDescent="0.2">
      <c r="A940" s="26">
        <v>880</v>
      </c>
      <c r="B940" s="27" t="s">
        <v>1839</v>
      </c>
      <c r="C940" s="27" t="s">
        <v>26</v>
      </c>
      <c r="D940" s="28">
        <v>0.06</v>
      </c>
      <c r="E940" s="29">
        <v>22.84</v>
      </c>
      <c r="F940" s="29">
        <v>11.54</v>
      </c>
      <c r="G940" s="30" t="s">
        <v>39</v>
      </c>
      <c r="H940" s="27" t="s">
        <v>3095</v>
      </c>
      <c r="I940" s="27" t="s">
        <v>49</v>
      </c>
      <c r="J940" s="27" t="s">
        <v>88</v>
      </c>
      <c r="K940" s="27" t="s">
        <v>73</v>
      </c>
      <c r="L940" s="31" t="s">
        <v>1841</v>
      </c>
      <c r="M940" s="32">
        <v>0.39</v>
      </c>
      <c r="N940" s="27" t="s">
        <v>33</v>
      </c>
      <c r="O940" s="27" t="s">
        <v>60</v>
      </c>
      <c r="P940" s="27" t="s">
        <v>588</v>
      </c>
      <c r="Q940" s="27" t="s">
        <v>1840</v>
      </c>
      <c r="R940" s="33">
        <v>85254</v>
      </c>
      <c r="S940" s="34">
        <v>42088</v>
      </c>
      <c r="T940" s="34">
        <v>42090</v>
      </c>
      <c r="U940" s="29">
        <v>-31.24</v>
      </c>
      <c r="V940" s="26">
        <v>1</v>
      </c>
      <c r="W940" s="29">
        <v>27.67</v>
      </c>
      <c r="X940" s="26">
        <v>86153</v>
      </c>
      <c r="Y940" s="35">
        <v>34.940000000000005</v>
      </c>
      <c r="Z940" s="1" t="s">
        <v>3013</v>
      </c>
      <c r="AA940" s="36">
        <v>1.3703999999999998</v>
      </c>
      <c r="AB940" s="54">
        <v>16.878700000000002</v>
      </c>
      <c r="AC940" s="54">
        <v>10.791300000000001</v>
      </c>
      <c r="AD940" s="36">
        <v>45.999600000000001</v>
      </c>
    </row>
    <row r="941" spans="1:30" s="37" customFormat="1" ht="15.75" customHeight="1" x14ac:dyDescent="0.2">
      <c r="A941" s="26">
        <v>880</v>
      </c>
      <c r="B941" s="27" t="s">
        <v>1839</v>
      </c>
      <c r="C941" s="27" t="s">
        <v>26</v>
      </c>
      <c r="D941" s="28">
        <v>7.0000000000000007E-2</v>
      </c>
      <c r="E941" s="29">
        <v>5.68</v>
      </c>
      <c r="F941" s="29">
        <v>1.39</v>
      </c>
      <c r="G941" s="30" t="s">
        <v>39</v>
      </c>
      <c r="H941" s="27" t="s">
        <v>3095</v>
      </c>
      <c r="I941" s="27" t="s">
        <v>49</v>
      </c>
      <c r="J941" s="27" t="s">
        <v>345</v>
      </c>
      <c r="K941" s="27" t="s">
        <v>73</v>
      </c>
      <c r="L941" s="31" t="s">
        <v>598</v>
      </c>
      <c r="M941" s="32">
        <v>0.38</v>
      </c>
      <c r="N941" s="27" t="s">
        <v>33</v>
      </c>
      <c r="O941" s="27" t="s">
        <v>60</v>
      </c>
      <c r="P941" s="27" t="s">
        <v>588</v>
      </c>
      <c r="Q941" s="27" t="s">
        <v>1840</v>
      </c>
      <c r="R941" s="33">
        <v>85254</v>
      </c>
      <c r="S941" s="34">
        <v>42088</v>
      </c>
      <c r="T941" s="34">
        <v>42090</v>
      </c>
      <c r="U941" s="29">
        <v>18.643799999999999</v>
      </c>
      <c r="V941" s="26">
        <v>5</v>
      </c>
      <c r="W941" s="29">
        <v>27.02</v>
      </c>
      <c r="X941" s="26">
        <v>86153</v>
      </c>
      <c r="Y941" s="35">
        <v>140.94999999999999</v>
      </c>
      <c r="Z941" s="1" t="s">
        <v>3013</v>
      </c>
      <c r="AA941" s="36">
        <v>1.988</v>
      </c>
      <c r="AB941" s="54">
        <v>16.752399999999998</v>
      </c>
      <c r="AC941" s="54">
        <v>2.0535199999999998</v>
      </c>
      <c r="AD941" s="36">
        <v>4.9982000000000006</v>
      </c>
    </row>
    <row r="942" spans="1:30" s="37" customFormat="1" ht="15.75" customHeight="1" x14ac:dyDescent="0.2">
      <c r="A942" s="26">
        <v>1699</v>
      </c>
      <c r="B942" s="27" t="s">
        <v>1854</v>
      </c>
      <c r="C942" s="27" t="s">
        <v>48</v>
      </c>
      <c r="D942" s="28">
        <v>0.01</v>
      </c>
      <c r="E942" s="29">
        <v>6.48</v>
      </c>
      <c r="F942" s="29">
        <v>5.4</v>
      </c>
      <c r="G942" s="30" t="s">
        <v>39</v>
      </c>
      <c r="H942" s="27" t="s">
        <v>3095</v>
      </c>
      <c r="I942" s="27" t="s">
        <v>49</v>
      </c>
      <c r="J942" s="27" t="s">
        <v>88</v>
      </c>
      <c r="K942" s="27" t="s">
        <v>73</v>
      </c>
      <c r="L942" s="31" t="s">
        <v>1857</v>
      </c>
      <c r="M942" s="32">
        <v>0.37</v>
      </c>
      <c r="N942" s="27" t="s">
        <v>33</v>
      </c>
      <c r="O942" s="27" t="s">
        <v>111</v>
      </c>
      <c r="P942" s="27" t="s">
        <v>320</v>
      </c>
      <c r="Q942" s="27" t="s">
        <v>1856</v>
      </c>
      <c r="R942" s="33">
        <v>19057</v>
      </c>
      <c r="S942" s="34">
        <v>42088</v>
      </c>
      <c r="T942" s="34">
        <v>42088</v>
      </c>
      <c r="U942" s="29">
        <v>-18.850000000000001</v>
      </c>
      <c r="V942" s="26">
        <v>2</v>
      </c>
      <c r="W942" s="29">
        <v>14.29</v>
      </c>
      <c r="X942" s="26">
        <v>87345</v>
      </c>
      <c r="Y942" s="35">
        <v>65.91</v>
      </c>
      <c r="Z942" s="1" t="s">
        <v>3014</v>
      </c>
      <c r="AA942" s="36">
        <v>0.12960000000000002</v>
      </c>
      <c r="AB942" s="54">
        <v>9.002699999999999</v>
      </c>
      <c r="AC942" s="54">
        <v>2.6436499999999996</v>
      </c>
      <c r="AD942" s="36">
        <v>27.610399999999998</v>
      </c>
    </row>
    <row r="943" spans="1:30" s="37" customFormat="1" ht="15.75" customHeight="1" x14ac:dyDescent="0.2">
      <c r="A943" s="26">
        <v>2124</v>
      </c>
      <c r="B943" s="27" t="s">
        <v>37</v>
      </c>
      <c r="C943" s="27" t="s">
        <v>38</v>
      </c>
      <c r="D943" s="28">
        <v>0.03</v>
      </c>
      <c r="E943" s="29">
        <v>124.49</v>
      </c>
      <c r="F943" s="29">
        <v>51.94</v>
      </c>
      <c r="G943" s="30" t="s">
        <v>27</v>
      </c>
      <c r="H943" s="27" t="s">
        <v>94</v>
      </c>
      <c r="I943" s="27" t="s">
        <v>29</v>
      </c>
      <c r="J943" s="27" t="s">
        <v>30</v>
      </c>
      <c r="K943" s="27" t="s">
        <v>31</v>
      </c>
      <c r="L943" s="31" t="s">
        <v>1149</v>
      </c>
      <c r="M943" s="32">
        <v>0.63</v>
      </c>
      <c r="N943" s="27" t="s">
        <v>33</v>
      </c>
      <c r="O943" s="27" t="s">
        <v>34</v>
      </c>
      <c r="P943" s="27" t="s">
        <v>45</v>
      </c>
      <c r="Q943" s="27" t="s">
        <v>46</v>
      </c>
      <c r="R943" s="33">
        <v>72301</v>
      </c>
      <c r="S943" s="34">
        <v>42089</v>
      </c>
      <c r="T943" s="34">
        <v>42090</v>
      </c>
      <c r="U943" s="29">
        <v>18.173999999999999</v>
      </c>
      <c r="V943" s="26">
        <v>21</v>
      </c>
      <c r="W943" s="29">
        <v>2761.94</v>
      </c>
      <c r="X943" s="26">
        <v>89666</v>
      </c>
      <c r="Y943" s="35">
        <v>50.97</v>
      </c>
      <c r="Z943" s="1" t="s">
        <v>3011</v>
      </c>
      <c r="AA943" s="36">
        <v>78.428699999999992</v>
      </c>
      <c r="AB943" s="54">
        <v>1021.9178000000001</v>
      </c>
      <c r="AC943" s="54">
        <v>82.858200000000011</v>
      </c>
      <c r="AD943" s="36">
        <v>2613.3973000000001</v>
      </c>
    </row>
    <row r="944" spans="1:30" s="37" customFormat="1" ht="15.75" customHeight="1" x14ac:dyDescent="0.2">
      <c r="A944" s="26">
        <v>2419</v>
      </c>
      <c r="B944" s="27" t="s">
        <v>1875</v>
      </c>
      <c r="C944" s="27" t="s">
        <v>3094</v>
      </c>
      <c r="D944" s="28">
        <v>7.0000000000000007E-2</v>
      </c>
      <c r="E944" s="29">
        <v>225.04</v>
      </c>
      <c r="F944" s="29">
        <v>11.79</v>
      </c>
      <c r="G944" s="30" t="s">
        <v>39</v>
      </c>
      <c r="H944" s="27" t="s">
        <v>40</v>
      </c>
      <c r="I944" s="27" t="s">
        <v>49</v>
      </c>
      <c r="J944" s="27" t="s">
        <v>95</v>
      </c>
      <c r="K944" s="27" t="s">
        <v>144</v>
      </c>
      <c r="L944" s="31" t="s">
        <v>1876</v>
      </c>
      <c r="M944" s="32">
        <v>0.42</v>
      </c>
      <c r="N944" s="27" t="s">
        <v>33</v>
      </c>
      <c r="O944" s="27" t="s">
        <v>34</v>
      </c>
      <c r="P944" s="27" t="s">
        <v>242</v>
      </c>
      <c r="Q944" s="27" t="s">
        <v>1877</v>
      </c>
      <c r="R944" s="33">
        <v>23701</v>
      </c>
      <c r="S944" s="34">
        <v>42089</v>
      </c>
      <c r="T944" s="34">
        <v>42089</v>
      </c>
      <c r="U944" s="29">
        <v>-162.91800000000001</v>
      </c>
      <c r="V944" s="26">
        <v>5</v>
      </c>
      <c r="W944" s="29">
        <v>1130.1500000000001</v>
      </c>
      <c r="X944" s="26">
        <v>86751</v>
      </c>
      <c r="Y944" s="35">
        <v>6.6</v>
      </c>
      <c r="Z944" s="1" t="s">
        <v>3011</v>
      </c>
      <c r="AA944" s="36">
        <v>78.76400000000001</v>
      </c>
      <c r="AB944" s="54">
        <v>655.48700000000008</v>
      </c>
      <c r="AC944" s="54">
        <v>94.932600000000008</v>
      </c>
      <c r="AD944" s="36">
        <v>1202.5140000000001</v>
      </c>
    </row>
    <row r="945" spans="1:30" s="37" customFormat="1" ht="15.75" customHeight="1" x14ac:dyDescent="0.2">
      <c r="A945" s="26">
        <v>1767</v>
      </c>
      <c r="B945" s="27" t="s">
        <v>1865</v>
      </c>
      <c r="C945" s="27" t="s">
        <v>26</v>
      </c>
      <c r="D945" s="28">
        <v>0.01</v>
      </c>
      <c r="E945" s="29">
        <v>50.98</v>
      </c>
      <c r="F945" s="29">
        <v>6.5</v>
      </c>
      <c r="G945" s="30" t="s">
        <v>39</v>
      </c>
      <c r="H945" s="27" t="s">
        <v>71</v>
      </c>
      <c r="I945" s="27" t="s">
        <v>41</v>
      </c>
      <c r="J945" s="27" t="s">
        <v>42</v>
      </c>
      <c r="K945" s="27" t="s">
        <v>73</v>
      </c>
      <c r="L945" s="31" t="s">
        <v>1866</v>
      </c>
      <c r="M945" s="32">
        <v>0.73</v>
      </c>
      <c r="N945" s="27" t="s">
        <v>33</v>
      </c>
      <c r="O945" s="27" t="s">
        <v>34</v>
      </c>
      <c r="P945" s="27" t="s">
        <v>75</v>
      </c>
      <c r="Q945" s="27" t="s">
        <v>1867</v>
      </c>
      <c r="R945" s="33">
        <v>30265</v>
      </c>
      <c r="S945" s="34">
        <v>42089</v>
      </c>
      <c r="T945" s="34">
        <v>42090</v>
      </c>
      <c r="U945" s="29">
        <v>5.3396999999999997</v>
      </c>
      <c r="V945" s="26">
        <v>16</v>
      </c>
      <c r="W945" s="29">
        <v>818.49</v>
      </c>
      <c r="X945" s="26">
        <v>89211</v>
      </c>
      <c r="Y945" s="35">
        <v>19.98</v>
      </c>
      <c r="Z945" s="1" t="s">
        <v>3011</v>
      </c>
      <c r="AA945" s="36">
        <v>8.1568000000000005</v>
      </c>
      <c r="AB945" s="54">
        <v>220.99230000000003</v>
      </c>
      <c r="AC945" s="54">
        <v>37.343606250000001</v>
      </c>
      <c r="AD945" s="36">
        <v>798.49350000000004</v>
      </c>
    </row>
    <row r="946" spans="1:30" s="37" customFormat="1" ht="15.75" customHeight="1" x14ac:dyDescent="0.2">
      <c r="A946" s="26">
        <v>3379</v>
      </c>
      <c r="B946" s="27" t="s">
        <v>1869</v>
      </c>
      <c r="C946" s="27" t="s">
        <v>26</v>
      </c>
      <c r="D946" s="28">
        <v>0</v>
      </c>
      <c r="E946" s="29">
        <v>19.98</v>
      </c>
      <c r="F946" s="29">
        <v>5.97</v>
      </c>
      <c r="G946" s="30" t="s">
        <v>87</v>
      </c>
      <c r="H946" s="27" t="s">
        <v>94</v>
      </c>
      <c r="I946" s="27" t="s">
        <v>49</v>
      </c>
      <c r="J946" s="27" t="s">
        <v>88</v>
      </c>
      <c r="K946" s="27" t="s">
        <v>73</v>
      </c>
      <c r="L946" s="31" t="s">
        <v>1870</v>
      </c>
      <c r="M946" s="32">
        <v>0.38</v>
      </c>
      <c r="N946" s="27" t="s">
        <v>33</v>
      </c>
      <c r="O946" s="27" t="s">
        <v>34</v>
      </c>
      <c r="P946" s="27" t="s">
        <v>75</v>
      </c>
      <c r="Q946" s="27" t="s">
        <v>1871</v>
      </c>
      <c r="R946" s="33">
        <v>30144</v>
      </c>
      <c r="S946" s="34">
        <v>42089</v>
      </c>
      <c r="T946" s="34">
        <v>42092</v>
      </c>
      <c r="U946" s="29">
        <v>-189.714</v>
      </c>
      <c r="V946" s="26">
        <v>12</v>
      </c>
      <c r="W946" s="29">
        <v>249.07</v>
      </c>
      <c r="X946" s="26">
        <v>88837</v>
      </c>
      <c r="Y946" s="35">
        <v>124.46</v>
      </c>
      <c r="Z946" s="1" t="s">
        <v>3011</v>
      </c>
      <c r="AA946" s="36">
        <v>0</v>
      </c>
      <c r="AB946" s="54">
        <v>154.42339999999999</v>
      </c>
      <c r="AC946" s="54">
        <v>7.8872166666666663</v>
      </c>
      <c r="AD946" s="36">
        <v>432.81399999999996</v>
      </c>
    </row>
    <row r="947" spans="1:30" s="37" customFormat="1" ht="15.75" customHeight="1" x14ac:dyDescent="0.2">
      <c r="A947" s="26">
        <v>2066</v>
      </c>
      <c r="B947" s="27" t="s">
        <v>1872</v>
      </c>
      <c r="C947" s="27" t="s">
        <v>116</v>
      </c>
      <c r="D947" s="28">
        <v>0.09</v>
      </c>
      <c r="E947" s="29">
        <v>20.89</v>
      </c>
      <c r="F947" s="29">
        <v>11.52</v>
      </c>
      <c r="G947" s="30" t="s">
        <v>39</v>
      </c>
      <c r="H947" s="27" t="s">
        <v>71</v>
      </c>
      <c r="I947" s="27" t="s">
        <v>49</v>
      </c>
      <c r="J947" s="27" t="s">
        <v>78</v>
      </c>
      <c r="K947" s="27" t="s">
        <v>73</v>
      </c>
      <c r="L947" s="31" t="s">
        <v>1873</v>
      </c>
      <c r="M947" s="32">
        <v>0.83</v>
      </c>
      <c r="N947" s="27" t="s">
        <v>33</v>
      </c>
      <c r="O947" s="27" t="s">
        <v>34</v>
      </c>
      <c r="P947" s="27" t="s">
        <v>97</v>
      </c>
      <c r="Q947" s="27" t="s">
        <v>1874</v>
      </c>
      <c r="R947" s="33">
        <v>28079</v>
      </c>
      <c r="S947" s="34">
        <v>42089</v>
      </c>
      <c r="T947" s="34">
        <v>42090</v>
      </c>
      <c r="U947" s="29">
        <v>-133.54599999999999</v>
      </c>
      <c r="V947" s="26">
        <v>7</v>
      </c>
      <c r="W947" s="29">
        <v>146.5</v>
      </c>
      <c r="X947" s="26">
        <v>85833</v>
      </c>
      <c r="Y947" s="35">
        <v>20.8</v>
      </c>
      <c r="Z947" s="1" t="s">
        <v>3011</v>
      </c>
      <c r="AA947" s="36">
        <v>13.160699999999999</v>
      </c>
      <c r="AB947" s="54">
        <v>24.905000000000005</v>
      </c>
      <c r="AC947" s="54">
        <v>17.370714285714282</v>
      </c>
      <c r="AD947" s="36">
        <v>255.36529999999999</v>
      </c>
    </row>
    <row r="948" spans="1:30" s="37" customFormat="1" ht="15.75" customHeight="1" x14ac:dyDescent="0.2">
      <c r="A948" s="26">
        <v>2114</v>
      </c>
      <c r="B948" s="27" t="s">
        <v>1375</v>
      </c>
      <c r="C948" s="27" t="s">
        <v>26</v>
      </c>
      <c r="D948" s="28">
        <v>0.08</v>
      </c>
      <c r="E948" s="29">
        <v>6.68</v>
      </c>
      <c r="F948" s="29">
        <v>1.5</v>
      </c>
      <c r="G948" s="30" t="s">
        <v>39</v>
      </c>
      <c r="H948" s="27" t="s">
        <v>94</v>
      </c>
      <c r="I948" s="27" t="s">
        <v>49</v>
      </c>
      <c r="J948" s="27" t="s">
        <v>50</v>
      </c>
      <c r="K948" s="27" t="s">
        <v>51</v>
      </c>
      <c r="L948" s="31" t="s">
        <v>1868</v>
      </c>
      <c r="M948" s="32">
        <v>0.48</v>
      </c>
      <c r="N948" s="27" t="s">
        <v>33</v>
      </c>
      <c r="O948" s="27" t="s">
        <v>34</v>
      </c>
      <c r="P948" s="27" t="s">
        <v>242</v>
      </c>
      <c r="Q948" s="27" t="s">
        <v>1377</v>
      </c>
      <c r="R948" s="33">
        <v>23518</v>
      </c>
      <c r="S948" s="34">
        <v>42089</v>
      </c>
      <c r="T948" s="34">
        <v>42091</v>
      </c>
      <c r="U948" s="29">
        <v>-601.80399999999997</v>
      </c>
      <c r="V948" s="26">
        <v>10</v>
      </c>
      <c r="W948" s="29">
        <v>66.12</v>
      </c>
      <c r="X948" s="26">
        <v>88403</v>
      </c>
      <c r="Y948" s="35">
        <v>224.97</v>
      </c>
      <c r="Z948" s="1" t="s">
        <v>3011</v>
      </c>
      <c r="AA948" s="36">
        <v>5.3439999999999994</v>
      </c>
      <c r="AB948" s="54">
        <v>34.382400000000004</v>
      </c>
      <c r="AC948" s="54">
        <v>3.1737600000000001</v>
      </c>
      <c r="AD948" s="36">
        <v>661.07999999999993</v>
      </c>
    </row>
    <row r="949" spans="1:30" s="37" customFormat="1" ht="15.75" customHeight="1" x14ac:dyDescent="0.2">
      <c r="A949" s="26">
        <v>2419</v>
      </c>
      <c r="B949" s="27" t="s">
        <v>1875</v>
      </c>
      <c r="C949" s="27" t="s">
        <v>3094</v>
      </c>
      <c r="D949" s="28">
        <v>0.03</v>
      </c>
      <c r="E949" s="29">
        <v>7.84</v>
      </c>
      <c r="F949" s="29">
        <v>4.71</v>
      </c>
      <c r="G949" s="30" t="s">
        <v>39</v>
      </c>
      <c r="H949" s="27" t="s">
        <v>40</v>
      </c>
      <c r="I949" s="27" t="s">
        <v>49</v>
      </c>
      <c r="J949" s="27" t="s">
        <v>72</v>
      </c>
      <c r="K949" s="27" t="s">
        <v>73</v>
      </c>
      <c r="L949" s="31" t="s">
        <v>679</v>
      </c>
      <c r="M949" s="32">
        <v>0.35</v>
      </c>
      <c r="N949" s="27" t="s">
        <v>33</v>
      </c>
      <c r="O949" s="27" t="s">
        <v>34</v>
      </c>
      <c r="P949" s="27" t="s">
        <v>242</v>
      </c>
      <c r="Q949" s="27" t="s">
        <v>1877</v>
      </c>
      <c r="R949" s="33">
        <v>23701</v>
      </c>
      <c r="S949" s="34">
        <v>42089</v>
      </c>
      <c r="T949" s="34">
        <v>42092</v>
      </c>
      <c r="U949" s="29">
        <v>859.71780000000001</v>
      </c>
      <c r="V949" s="26">
        <v>7</v>
      </c>
      <c r="W949" s="29">
        <v>54.37</v>
      </c>
      <c r="X949" s="26">
        <v>86751</v>
      </c>
      <c r="Y949" s="35">
        <v>7.81</v>
      </c>
      <c r="Z949" s="1" t="s">
        <v>3011</v>
      </c>
      <c r="AA949" s="36">
        <v>1.6463999999999999</v>
      </c>
      <c r="AB949" s="54">
        <v>35.340499999999999</v>
      </c>
      <c r="AC949" s="54">
        <v>2.7184999999999997</v>
      </c>
      <c r="AD949" s="36">
        <v>-811.70420000000001</v>
      </c>
    </row>
    <row r="950" spans="1:30" s="37" customFormat="1" ht="15.75" customHeight="1" x14ac:dyDescent="0.2">
      <c r="A950" s="26">
        <v>2773</v>
      </c>
      <c r="B950" s="27" t="s">
        <v>1878</v>
      </c>
      <c r="C950" s="27" t="s">
        <v>3094</v>
      </c>
      <c r="D950" s="28">
        <v>0.1</v>
      </c>
      <c r="E950" s="29">
        <v>5.18</v>
      </c>
      <c r="F950" s="29">
        <v>5.74</v>
      </c>
      <c r="G950" s="30" t="s">
        <v>39</v>
      </c>
      <c r="H950" s="27" t="s">
        <v>94</v>
      </c>
      <c r="I950" s="27" t="s">
        <v>49</v>
      </c>
      <c r="J950" s="27" t="s">
        <v>72</v>
      </c>
      <c r="K950" s="27" t="s">
        <v>73</v>
      </c>
      <c r="L950" s="31" t="s">
        <v>850</v>
      </c>
      <c r="M950" s="32">
        <v>0.36</v>
      </c>
      <c r="N950" s="27" t="s">
        <v>33</v>
      </c>
      <c r="O950" s="27" t="s">
        <v>60</v>
      </c>
      <c r="P950" s="27" t="s">
        <v>90</v>
      </c>
      <c r="Q950" s="27" t="s">
        <v>1610</v>
      </c>
      <c r="R950" s="33">
        <v>94568</v>
      </c>
      <c r="S950" s="34">
        <v>42089</v>
      </c>
      <c r="T950" s="34">
        <v>42091</v>
      </c>
      <c r="U950" s="29">
        <v>-29.003</v>
      </c>
      <c r="V950" s="26">
        <v>2</v>
      </c>
      <c r="W950" s="29">
        <v>10.96</v>
      </c>
      <c r="X950" s="26">
        <v>91584</v>
      </c>
      <c r="Y950" s="35">
        <v>5.08</v>
      </c>
      <c r="Z950" s="1" t="s">
        <v>3013</v>
      </c>
      <c r="AA950" s="36">
        <v>1.036</v>
      </c>
      <c r="AB950" s="54">
        <v>7.0144000000000011</v>
      </c>
      <c r="AC950" s="54">
        <v>1.9728000000000001</v>
      </c>
      <c r="AD950" s="36">
        <v>33.186999999999998</v>
      </c>
    </row>
    <row r="951" spans="1:30" s="37" customFormat="1" ht="15.75" customHeight="1" x14ac:dyDescent="0.2">
      <c r="A951" s="26">
        <v>698</v>
      </c>
      <c r="B951" s="27" t="s">
        <v>1043</v>
      </c>
      <c r="C951" s="27" t="s">
        <v>116</v>
      </c>
      <c r="D951" s="28">
        <v>0.1</v>
      </c>
      <c r="E951" s="29">
        <v>175.99</v>
      </c>
      <c r="F951" s="29">
        <v>8.99</v>
      </c>
      <c r="G951" s="30" t="s">
        <v>39</v>
      </c>
      <c r="H951" s="27" t="s">
        <v>94</v>
      </c>
      <c r="I951" s="27" t="s">
        <v>41</v>
      </c>
      <c r="J951" s="27" t="s">
        <v>135</v>
      </c>
      <c r="K951" s="27" t="s">
        <v>73</v>
      </c>
      <c r="L951" s="31" t="s">
        <v>1179</v>
      </c>
      <c r="M951" s="32">
        <v>0.56999999999999995</v>
      </c>
      <c r="N951" s="27" t="s">
        <v>33</v>
      </c>
      <c r="O951" s="27" t="s">
        <v>60</v>
      </c>
      <c r="P951" s="27" t="s">
        <v>67</v>
      </c>
      <c r="Q951" s="27" t="s">
        <v>142</v>
      </c>
      <c r="R951" s="33">
        <v>98105</v>
      </c>
      <c r="S951" s="34">
        <v>42090</v>
      </c>
      <c r="T951" s="34">
        <v>42091</v>
      </c>
      <c r="U951" s="29">
        <v>930.98699999999997</v>
      </c>
      <c r="V951" s="26">
        <v>39</v>
      </c>
      <c r="W951" s="29">
        <v>5250.66</v>
      </c>
      <c r="X951" s="26">
        <v>32869</v>
      </c>
      <c r="Y951" s="35">
        <v>9.75</v>
      </c>
      <c r="Z951" s="1" t="s">
        <v>3013</v>
      </c>
      <c r="AA951" s="36">
        <v>686.36099999999999</v>
      </c>
      <c r="AB951" s="54">
        <v>2257.7838000000002</v>
      </c>
      <c r="AC951" s="54">
        <v>76.740415384615375</v>
      </c>
      <c r="AD951" s="36">
        <v>3624.3220000000001</v>
      </c>
    </row>
    <row r="952" spans="1:30" s="37" customFormat="1" ht="15.75" customHeight="1" x14ac:dyDescent="0.2">
      <c r="A952" s="26">
        <v>698</v>
      </c>
      <c r="B952" s="27" t="s">
        <v>1043</v>
      </c>
      <c r="C952" s="27" t="s">
        <v>116</v>
      </c>
      <c r="D952" s="28">
        <v>0.05</v>
      </c>
      <c r="E952" s="29">
        <v>51.65</v>
      </c>
      <c r="F952" s="29">
        <v>18.45</v>
      </c>
      <c r="G952" s="30" t="s">
        <v>39</v>
      </c>
      <c r="H952" s="27" t="s">
        <v>94</v>
      </c>
      <c r="I952" s="27" t="s">
        <v>29</v>
      </c>
      <c r="J952" s="27" t="s">
        <v>126</v>
      </c>
      <c r="K952" s="27" t="s">
        <v>144</v>
      </c>
      <c r="L952" s="31" t="s">
        <v>1885</v>
      </c>
      <c r="M952" s="32">
        <v>0.65</v>
      </c>
      <c r="N952" s="27" t="s">
        <v>33</v>
      </c>
      <c r="O952" s="27" t="s">
        <v>60</v>
      </c>
      <c r="P952" s="27" t="s">
        <v>67</v>
      </c>
      <c r="Q952" s="27" t="s">
        <v>142</v>
      </c>
      <c r="R952" s="33">
        <v>98105</v>
      </c>
      <c r="S952" s="34">
        <v>42090</v>
      </c>
      <c r="T952" s="34">
        <v>42091</v>
      </c>
      <c r="U952" s="29">
        <v>25.04</v>
      </c>
      <c r="V952" s="26">
        <v>49</v>
      </c>
      <c r="W952" s="29">
        <v>2470.84</v>
      </c>
      <c r="X952" s="26">
        <v>32869</v>
      </c>
      <c r="Y952" s="35">
        <v>125.94999999999999</v>
      </c>
      <c r="Z952" s="1" t="s">
        <v>3013</v>
      </c>
      <c r="AA952" s="36">
        <v>126.5425</v>
      </c>
      <c r="AB952" s="54">
        <v>864.79399999999998</v>
      </c>
      <c r="AC952" s="54">
        <v>32.776448979591841</v>
      </c>
      <c r="AD952" s="36">
        <v>2300.8075000000003</v>
      </c>
    </row>
    <row r="953" spans="1:30" s="37" customFormat="1" ht="15.75" customHeight="1" x14ac:dyDescent="0.2">
      <c r="A953" s="26">
        <v>1625</v>
      </c>
      <c r="B953" s="27" t="s">
        <v>1223</v>
      </c>
      <c r="C953" s="27" t="s">
        <v>116</v>
      </c>
      <c r="D953" s="28">
        <v>0.08</v>
      </c>
      <c r="E953" s="29">
        <v>213.45</v>
      </c>
      <c r="F953" s="29">
        <v>14.7</v>
      </c>
      <c r="G953" s="30" t="s">
        <v>27</v>
      </c>
      <c r="H953" s="27" t="s">
        <v>71</v>
      </c>
      <c r="I953" s="27" t="s">
        <v>41</v>
      </c>
      <c r="J953" s="27" t="s">
        <v>57</v>
      </c>
      <c r="K953" s="27" t="s">
        <v>58</v>
      </c>
      <c r="L953" s="31" t="s">
        <v>180</v>
      </c>
      <c r="M953" s="32">
        <v>0.59</v>
      </c>
      <c r="N953" s="27" t="s">
        <v>33</v>
      </c>
      <c r="O953" s="27" t="s">
        <v>111</v>
      </c>
      <c r="P953" s="27" t="s">
        <v>112</v>
      </c>
      <c r="Q953" s="27" t="s">
        <v>1225</v>
      </c>
      <c r="R953" s="33">
        <v>11542</v>
      </c>
      <c r="S953" s="34">
        <v>42090</v>
      </c>
      <c r="T953" s="34">
        <v>42092</v>
      </c>
      <c r="U953" s="29">
        <v>1674.7542000000001</v>
      </c>
      <c r="V953" s="26">
        <v>12</v>
      </c>
      <c r="W953" s="29">
        <v>2427.1799999999998</v>
      </c>
      <c r="X953" s="26">
        <v>90600</v>
      </c>
      <c r="Y953" s="35">
        <v>17.97</v>
      </c>
      <c r="Z953" s="1" t="s">
        <v>3014</v>
      </c>
      <c r="AA953" s="36">
        <v>204.91200000000001</v>
      </c>
      <c r="AB953" s="54">
        <v>995.14380000000006</v>
      </c>
      <c r="AC953" s="54">
        <v>119.33634999999998</v>
      </c>
      <c r="AD953" s="36">
        <v>532.81379999999967</v>
      </c>
    </row>
    <row r="954" spans="1:30" s="37" customFormat="1" ht="15.75" customHeight="1" x14ac:dyDescent="0.2">
      <c r="A954" s="26">
        <v>697</v>
      </c>
      <c r="B954" s="27" t="s">
        <v>1041</v>
      </c>
      <c r="C954" s="27" t="s">
        <v>116</v>
      </c>
      <c r="D954" s="28">
        <v>0.1</v>
      </c>
      <c r="E954" s="29">
        <v>175.99</v>
      </c>
      <c r="F954" s="29">
        <v>8.99</v>
      </c>
      <c r="G954" s="30" t="s">
        <v>39</v>
      </c>
      <c r="H954" s="27" t="s">
        <v>94</v>
      </c>
      <c r="I954" s="27" t="s">
        <v>41</v>
      </c>
      <c r="J954" s="27" t="s">
        <v>135</v>
      </c>
      <c r="K954" s="27" t="s">
        <v>73</v>
      </c>
      <c r="L954" s="31" t="s">
        <v>1179</v>
      </c>
      <c r="M954" s="32">
        <v>0.56999999999999995</v>
      </c>
      <c r="N954" s="27" t="s">
        <v>33</v>
      </c>
      <c r="O954" s="27" t="s">
        <v>53</v>
      </c>
      <c r="P954" s="27" t="s">
        <v>54</v>
      </c>
      <c r="Q954" s="27" t="s">
        <v>1042</v>
      </c>
      <c r="R954" s="33">
        <v>46312</v>
      </c>
      <c r="S954" s="34">
        <v>42090</v>
      </c>
      <c r="T954" s="34">
        <v>42091</v>
      </c>
      <c r="U954" s="29">
        <v>928.96079999999995</v>
      </c>
      <c r="V954" s="26">
        <v>10</v>
      </c>
      <c r="W954" s="29">
        <v>1346.32</v>
      </c>
      <c r="X954" s="26">
        <v>89847</v>
      </c>
      <c r="Y954" s="35">
        <v>28.5</v>
      </c>
      <c r="Z954" s="1" t="s">
        <v>3012</v>
      </c>
      <c r="AA954" s="36">
        <v>175.99</v>
      </c>
      <c r="AB954" s="54">
        <v>578.91759999999999</v>
      </c>
      <c r="AC954" s="54">
        <v>76.74024</v>
      </c>
      <c r="AD954" s="36">
        <v>232.37920000000008</v>
      </c>
    </row>
    <row r="955" spans="1:30" s="37" customFormat="1" ht="15.75" customHeight="1" x14ac:dyDescent="0.2">
      <c r="A955" s="26">
        <v>2059</v>
      </c>
      <c r="B955" s="27" t="s">
        <v>616</v>
      </c>
      <c r="C955" s="27" t="s">
        <v>26</v>
      </c>
      <c r="D955" s="28">
        <v>0.04</v>
      </c>
      <c r="E955" s="29">
        <v>125.99</v>
      </c>
      <c r="F955" s="29">
        <v>7.69</v>
      </c>
      <c r="G955" s="30" t="s">
        <v>39</v>
      </c>
      <c r="H955" s="27" t="s">
        <v>94</v>
      </c>
      <c r="I955" s="27" t="s">
        <v>41</v>
      </c>
      <c r="J955" s="27" t="s">
        <v>135</v>
      </c>
      <c r="K955" s="27" t="s">
        <v>73</v>
      </c>
      <c r="L955" s="31" t="s">
        <v>1049</v>
      </c>
      <c r="M955" s="32">
        <v>0.57999999999999996</v>
      </c>
      <c r="N955" s="27" t="s">
        <v>33</v>
      </c>
      <c r="O955" s="27" t="s">
        <v>34</v>
      </c>
      <c r="P955" s="27" t="s">
        <v>97</v>
      </c>
      <c r="Q955" s="27" t="s">
        <v>617</v>
      </c>
      <c r="R955" s="33">
        <v>27260</v>
      </c>
      <c r="S955" s="34">
        <v>42090</v>
      </c>
      <c r="T955" s="34">
        <v>42091</v>
      </c>
      <c r="U955" s="29">
        <v>-528.83600000000001</v>
      </c>
      <c r="V955" s="26">
        <v>9</v>
      </c>
      <c r="W955" s="29">
        <v>934.52</v>
      </c>
      <c r="X955" s="26">
        <v>88041</v>
      </c>
      <c r="Y955" s="35">
        <v>15.27</v>
      </c>
      <c r="Z955" s="1" t="s">
        <v>3011</v>
      </c>
      <c r="AA955" s="36">
        <v>45.356400000000001</v>
      </c>
      <c r="AB955" s="54">
        <v>392.4984</v>
      </c>
      <c r="AC955" s="54">
        <v>60.224622222222223</v>
      </c>
      <c r="AD955" s="36">
        <v>1410.3096</v>
      </c>
    </row>
    <row r="956" spans="1:30" s="37" customFormat="1" ht="15.75" customHeight="1" x14ac:dyDescent="0.2">
      <c r="A956" s="26">
        <v>696</v>
      </c>
      <c r="B956" s="27" t="s">
        <v>1883</v>
      </c>
      <c r="C956" s="27" t="s">
        <v>116</v>
      </c>
      <c r="D956" s="28">
        <v>0.05</v>
      </c>
      <c r="E956" s="29">
        <v>51.65</v>
      </c>
      <c r="F956" s="29">
        <v>18.45</v>
      </c>
      <c r="G956" s="30" t="s">
        <v>39</v>
      </c>
      <c r="H956" s="27" t="s">
        <v>94</v>
      </c>
      <c r="I956" s="27" t="s">
        <v>29</v>
      </c>
      <c r="J956" s="27" t="s">
        <v>126</v>
      </c>
      <c r="K956" s="27" t="s">
        <v>144</v>
      </c>
      <c r="L956" s="31" t="s">
        <v>1885</v>
      </c>
      <c r="M956" s="32">
        <v>0.65</v>
      </c>
      <c r="N956" s="27" t="s">
        <v>33</v>
      </c>
      <c r="O956" s="27" t="s">
        <v>53</v>
      </c>
      <c r="P956" s="27" t="s">
        <v>54</v>
      </c>
      <c r="Q956" s="27" t="s">
        <v>1884</v>
      </c>
      <c r="R956" s="33">
        <v>46307</v>
      </c>
      <c r="S956" s="34">
        <v>42090</v>
      </c>
      <c r="T956" s="34">
        <v>42091</v>
      </c>
      <c r="U956" s="29">
        <v>25.04</v>
      </c>
      <c r="V956" s="26">
        <v>12</v>
      </c>
      <c r="W956" s="29">
        <v>605.1</v>
      </c>
      <c r="X956" s="26">
        <v>89847</v>
      </c>
      <c r="Y956" s="35">
        <v>15.88</v>
      </c>
      <c r="Z956" s="1" t="s">
        <v>3012</v>
      </c>
      <c r="AA956" s="36">
        <v>30.990000000000002</v>
      </c>
      <c r="AB956" s="54">
        <v>211.785</v>
      </c>
      <c r="AC956" s="54">
        <v>32.776250000000005</v>
      </c>
      <c r="AD956" s="36">
        <v>530.62</v>
      </c>
    </row>
    <row r="957" spans="1:30" s="37" customFormat="1" ht="15.75" customHeight="1" x14ac:dyDescent="0.2">
      <c r="A957" s="26">
        <v>1072</v>
      </c>
      <c r="B957" s="27" t="s">
        <v>1889</v>
      </c>
      <c r="C957" s="27" t="s">
        <v>3094</v>
      </c>
      <c r="D957" s="28">
        <v>0.01</v>
      </c>
      <c r="E957" s="29">
        <v>150.88999999999999</v>
      </c>
      <c r="F957" s="29">
        <v>60.2</v>
      </c>
      <c r="G957" s="30" t="s">
        <v>27</v>
      </c>
      <c r="H957" s="27" t="s">
        <v>94</v>
      </c>
      <c r="I957" s="27" t="s">
        <v>29</v>
      </c>
      <c r="J957" s="27" t="s">
        <v>109</v>
      </c>
      <c r="K957" s="27" t="s">
        <v>58</v>
      </c>
      <c r="L957" s="31" t="s">
        <v>1303</v>
      </c>
      <c r="M957" s="32">
        <v>0.77</v>
      </c>
      <c r="N957" s="27" t="s">
        <v>33</v>
      </c>
      <c r="O957" s="27" t="s">
        <v>111</v>
      </c>
      <c r="P957" s="27" t="s">
        <v>320</v>
      </c>
      <c r="Q957" s="27" t="s">
        <v>1890</v>
      </c>
      <c r="R957" s="33">
        <v>18018</v>
      </c>
      <c r="S957" s="34">
        <v>42090</v>
      </c>
      <c r="T957" s="34">
        <v>42093</v>
      </c>
      <c r="U957" s="29">
        <v>-505.76</v>
      </c>
      <c r="V957" s="26">
        <v>3</v>
      </c>
      <c r="W957" s="29">
        <v>473.53</v>
      </c>
      <c r="X957" s="26">
        <v>89631</v>
      </c>
      <c r="Y957" s="35">
        <v>8.0599999999999987</v>
      </c>
      <c r="Z957" s="1" t="s">
        <v>3014</v>
      </c>
      <c r="AA957" s="36">
        <v>4.5266999999999999</v>
      </c>
      <c r="AB957" s="54">
        <v>108.91189999999999</v>
      </c>
      <c r="AC957" s="54">
        <v>121.53936666666667</v>
      </c>
      <c r="AD957" s="36">
        <v>914.56330000000003</v>
      </c>
    </row>
    <row r="958" spans="1:30" s="37" customFormat="1" ht="15.75" customHeight="1" x14ac:dyDescent="0.2">
      <c r="A958" s="26">
        <v>1625</v>
      </c>
      <c r="B958" s="27" t="s">
        <v>1223</v>
      </c>
      <c r="C958" s="27" t="s">
        <v>116</v>
      </c>
      <c r="D958" s="28">
        <v>0.1</v>
      </c>
      <c r="E958" s="29">
        <v>55.98</v>
      </c>
      <c r="F958" s="29">
        <v>13.88</v>
      </c>
      <c r="G958" s="30" t="s">
        <v>39</v>
      </c>
      <c r="H958" s="27" t="s">
        <v>71</v>
      </c>
      <c r="I958" s="27" t="s">
        <v>49</v>
      </c>
      <c r="J958" s="27" t="s">
        <v>88</v>
      </c>
      <c r="K958" s="27" t="s">
        <v>73</v>
      </c>
      <c r="L958" s="31" t="s">
        <v>1886</v>
      </c>
      <c r="M958" s="32">
        <v>0.36</v>
      </c>
      <c r="N958" s="27" t="s">
        <v>33</v>
      </c>
      <c r="O958" s="27" t="s">
        <v>111</v>
      </c>
      <c r="P958" s="27" t="s">
        <v>112</v>
      </c>
      <c r="Q958" s="27" t="s">
        <v>1225</v>
      </c>
      <c r="R958" s="33">
        <v>11542</v>
      </c>
      <c r="S958" s="34">
        <v>42090</v>
      </c>
      <c r="T958" s="34">
        <v>42092</v>
      </c>
      <c r="U958" s="29">
        <v>300.04649999999998</v>
      </c>
      <c r="V958" s="26">
        <v>8</v>
      </c>
      <c r="W958" s="29">
        <v>434.85</v>
      </c>
      <c r="X958" s="26">
        <v>90600</v>
      </c>
      <c r="Y958" s="35">
        <v>51.6</v>
      </c>
      <c r="Z958" s="1" t="s">
        <v>3014</v>
      </c>
      <c r="AA958" s="36">
        <v>44.783999999999999</v>
      </c>
      <c r="AB958" s="54">
        <v>278.30400000000003</v>
      </c>
      <c r="AC958" s="54">
        <v>19.568249999999999</v>
      </c>
      <c r="AD958" s="36">
        <v>76.139500000000055</v>
      </c>
    </row>
    <row r="959" spans="1:30" s="37" customFormat="1" ht="15.75" customHeight="1" x14ac:dyDescent="0.2">
      <c r="A959" s="26">
        <v>698</v>
      </c>
      <c r="B959" s="27" t="s">
        <v>1043</v>
      </c>
      <c r="C959" s="27" t="s">
        <v>116</v>
      </c>
      <c r="D959" s="28">
        <v>0.06</v>
      </c>
      <c r="E959" s="29">
        <v>8.1199999999999992</v>
      </c>
      <c r="F959" s="29">
        <v>2.83</v>
      </c>
      <c r="G959" s="30" t="s">
        <v>39</v>
      </c>
      <c r="H959" s="27" t="s">
        <v>94</v>
      </c>
      <c r="I959" s="27" t="s">
        <v>41</v>
      </c>
      <c r="J959" s="27" t="s">
        <v>42</v>
      </c>
      <c r="K959" s="27" t="s">
        <v>43</v>
      </c>
      <c r="L959" s="31" t="s">
        <v>1698</v>
      </c>
      <c r="M959" s="32">
        <v>0.77</v>
      </c>
      <c r="N959" s="27" t="s">
        <v>33</v>
      </c>
      <c r="O959" s="27" t="s">
        <v>60</v>
      </c>
      <c r="P959" s="27" t="s">
        <v>67</v>
      </c>
      <c r="Q959" s="27" t="s">
        <v>142</v>
      </c>
      <c r="R959" s="33">
        <v>98105</v>
      </c>
      <c r="S959" s="34">
        <v>42090</v>
      </c>
      <c r="T959" s="34">
        <v>42091</v>
      </c>
      <c r="U959" s="29">
        <v>-82.83</v>
      </c>
      <c r="V959" s="26">
        <v>41</v>
      </c>
      <c r="W959" s="29">
        <v>322.02999999999997</v>
      </c>
      <c r="X959" s="26">
        <v>32869</v>
      </c>
      <c r="Y959" s="35">
        <v>175.89000000000001</v>
      </c>
      <c r="Z959" s="1" t="s">
        <v>3013</v>
      </c>
      <c r="AA959" s="36">
        <v>19.975199999999997</v>
      </c>
      <c r="AB959" s="54">
        <v>74.06689999999999</v>
      </c>
      <c r="AC959" s="54">
        <v>6.0478804878048775</v>
      </c>
      <c r="AD959" s="36">
        <v>382.0548</v>
      </c>
    </row>
    <row r="960" spans="1:30" s="37" customFormat="1" ht="15.75" customHeight="1" x14ac:dyDescent="0.2">
      <c r="A960" s="26">
        <v>1481</v>
      </c>
      <c r="B960" s="27" t="s">
        <v>1891</v>
      </c>
      <c r="C960" s="27" t="s">
        <v>3094</v>
      </c>
      <c r="D960" s="28">
        <v>7.0000000000000007E-2</v>
      </c>
      <c r="E960" s="29">
        <v>8.9499999999999993</v>
      </c>
      <c r="F960" s="29">
        <v>2.0099999999999998</v>
      </c>
      <c r="G960" s="30" t="s">
        <v>39</v>
      </c>
      <c r="H960" s="27" t="s">
        <v>94</v>
      </c>
      <c r="I960" s="27" t="s">
        <v>49</v>
      </c>
      <c r="J960" s="27" t="s">
        <v>88</v>
      </c>
      <c r="K960" s="27" t="s">
        <v>51</v>
      </c>
      <c r="L960" s="31" t="s">
        <v>1892</v>
      </c>
      <c r="M960" s="32">
        <v>0.39</v>
      </c>
      <c r="N960" s="27" t="s">
        <v>33</v>
      </c>
      <c r="O960" s="27" t="s">
        <v>60</v>
      </c>
      <c r="P960" s="27" t="s">
        <v>90</v>
      </c>
      <c r="Q960" s="27" t="s">
        <v>100</v>
      </c>
      <c r="R960" s="33">
        <v>90049</v>
      </c>
      <c r="S960" s="34">
        <v>42090</v>
      </c>
      <c r="T960" s="34">
        <v>42091</v>
      </c>
      <c r="U960" s="29">
        <v>91.73</v>
      </c>
      <c r="V960" s="26">
        <v>36</v>
      </c>
      <c r="W960" s="29">
        <v>307.64999999999998</v>
      </c>
      <c r="X960" s="26">
        <v>53953</v>
      </c>
      <c r="Y960" s="35">
        <v>8.0599999999999987</v>
      </c>
      <c r="Z960" s="1" t="s">
        <v>3013</v>
      </c>
      <c r="AA960" s="36">
        <v>22.554000000000002</v>
      </c>
      <c r="AB960" s="54">
        <v>187.66649999999998</v>
      </c>
      <c r="AC960" s="54">
        <v>3.3328749999999996</v>
      </c>
      <c r="AD960" s="36">
        <v>191.35599999999997</v>
      </c>
    </row>
    <row r="961" spans="1:30" s="37" customFormat="1" ht="15.75" customHeight="1" x14ac:dyDescent="0.2">
      <c r="A961" s="26">
        <v>234</v>
      </c>
      <c r="B961" s="27" t="s">
        <v>985</v>
      </c>
      <c r="C961" s="27" t="s">
        <v>38</v>
      </c>
      <c r="D961" s="28">
        <v>0.03</v>
      </c>
      <c r="E961" s="29">
        <v>28.53</v>
      </c>
      <c r="F961" s="29">
        <v>1.49</v>
      </c>
      <c r="G961" s="30" t="s">
        <v>39</v>
      </c>
      <c r="H961" s="27" t="s">
        <v>3095</v>
      </c>
      <c r="I961" s="27" t="s">
        <v>49</v>
      </c>
      <c r="J961" s="27" t="s">
        <v>72</v>
      </c>
      <c r="K961" s="27" t="s">
        <v>73</v>
      </c>
      <c r="L961" s="31" t="s">
        <v>1832</v>
      </c>
      <c r="M961" s="32">
        <v>0.38</v>
      </c>
      <c r="N961" s="27" t="s">
        <v>33</v>
      </c>
      <c r="O961" s="27" t="s">
        <v>53</v>
      </c>
      <c r="P961" s="27" t="s">
        <v>213</v>
      </c>
      <c r="Q961" s="27" t="s">
        <v>737</v>
      </c>
      <c r="R961" s="33">
        <v>50208</v>
      </c>
      <c r="S961" s="34">
        <v>42090</v>
      </c>
      <c r="T961" s="34">
        <v>42092</v>
      </c>
      <c r="U961" s="29">
        <v>136.33709999999999</v>
      </c>
      <c r="V961" s="26">
        <v>7</v>
      </c>
      <c r="W961" s="29">
        <v>197.59</v>
      </c>
      <c r="X961" s="26">
        <v>90238</v>
      </c>
      <c r="Y961" s="35">
        <v>51.6</v>
      </c>
      <c r="Z961" s="1" t="s">
        <v>3012</v>
      </c>
      <c r="AA961" s="36">
        <v>5.9912999999999998</v>
      </c>
      <c r="AB961" s="54">
        <v>122.50580000000001</v>
      </c>
      <c r="AC961" s="54">
        <v>10.726314285714286</v>
      </c>
      <c r="AD961" s="36">
        <v>53.771600000000007</v>
      </c>
    </row>
    <row r="962" spans="1:30" s="37" customFormat="1" ht="15.75" customHeight="1" x14ac:dyDescent="0.2">
      <c r="A962" s="26">
        <v>920</v>
      </c>
      <c r="B962" s="27" t="s">
        <v>1881</v>
      </c>
      <c r="C962" s="27" t="s">
        <v>48</v>
      </c>
      <c r="D962" s="28">
        <v>0.1</v>
      </c>
      <c r="E962" s="29">
        <v>15.98</v>
      </c>
      <c r="F962" s="29">
        <v>4</v>
      </c>
      <c r="G962" s="30" t="s">
        <v>39</v>
      </c>
      <c r="H962" s="27" t="s">
        <v>94</v>
      </c>
      <c r="I962" s="27" t="s">
        <v>41</v>
      </c>
      <c r="J962" s="27" t="s">
        <v>42</v>
      </c>
      <c r="K962" s="27" t="s">
        <v>73</v>
      </c>
      <c r="L962" s="31" t="s">
        <v>1882</v>
      </c>
      <c r="M962" s="32">
        <v>0.37</v>
      </c>
      <c r="N962" s="27" t="s">
        <v>33</v>
      </c>
      <c r="O962" s="27" t="s">
        <v>60</v>
      </c>
      <c r="P962" s="27" t="s">
        <v>90</v>
      </c>
      <c r="Q962" s="27" t="s">
        <v>1229</v>
      </c>
      <c r="R962" s="33">
        <v>92374</v>
      </c>
      <c r="S962" s="34">
        <v>42090</v>
      </c>
      <c r="T962" s="34">
        <v>42095</v>
      </c>
      <c r="U962" s="29">
        <v>92.722200000000001</v>
      </c>
      <c r="V962" s="26">
        <v>9</v>
      </c>
      <c r="W962" s="29">
        <v>134.38</v>
      </c>
      <c r="X962" s="26">
        <v>90491</v>
      </c>
      <c r="Y962" s="35">
        <v>175.89000000000001</v>
      </c>
      <c r="Z962" s="1" t="s">
        <v>3013</v>
      </c>
      <c r="AA962" s="36">
        <v>14.382000000000001</v>
      </c>
      <c r="AB962" s="54">
        <v>84.659399999999991</v>
      </c>
      <c r="AC962" s="54">
        <v>5.5245111111111109</v>
      </c>
      <c r="AD962" s="36">
        <v>23.27579999999999</v>
      </c>
    </row>
    <row r="963" spans="1:30" s="37" customFormat="1" ht="15.75" customHeight="1" x14ac:dyDescent="0.2">
      <c r="A963" s="26">
        <v>1917</v>
      </c>
      <c r="B963" s="27" t="s">
        <v>1456</v>
      </c>
      <c r="C963" s="27" t="s">
        <v>116</v>
      </c>
      <c r="D963" s="28">
        <v>0.08</v>
      </c>
      <c r="E963" s="29">
        <v>18.7</v>
      </c>
      <c r="F963" s="29">
        <v>8.99</v>
      </c>
      <c r="G963" s="30" t="s">
        <v>39</v>
      </c>
      <c r="H963" s="27" t="s">
        <v>71</v>
      </c>
      <c r="I963" s="27" t="s">
        <v>29</v>
      </c>
      <c r="J963" s="27" t="s">
        <v>126</v>
      </c>
      <c r="K963" s="27" t="s">
        <v>43</v>
      </c>
      <c r="L963" s="31" t="s">
        <v>1888</v>
      </c>
      <c r="M963" s="32">
        <v>0.47</v>
      </c>
      <c r="N963" s="27" t="s">
        <v>33</v>
      </c>
      <c r="O963" s="27" t="s">
        <v>34</v>
      </c>
      <c r="P963" s="27" t="s">
        <v>45</v>
      </c>
      <c r="Q963" s="27" t="s">
        <v>1458</v>
      </c>
      <c r="R963" s="33">
        <v>72113</v>
      </c>
      <c r="S963" s="34">
        <v>42090</v>
      </c>
      <c r="T963" s="34">
        <v>42091</v>
      </c>
      <c r="U963" s="29">
        <v>16.136399999999998</v>
      </c>
      <c r="V963" s="26">
        <v>7</v>
      </c>
      <c r="W963" s="29">
        <v>132.22999999999999</v>
      </c>
      <c r="X963" s="26">
        <v>85894</v>
      </c>
      <c r="Y963" s="35">
        <v>213.36999999999998</v>
      </c>
      <c r="Z963" s="1" t="s">
        <v>3011</v>
      </c>
      <c r="AA963" s="36">
        <v>10.472</v>
      </c>
      <c r="AB963" s="54">
        <v>70.081900000000005</v>
      </c>
      <c r="AC963" s="54">
        <v>8.8782999999999976</v>
      </c>
      <c r="AD963" s="36">
        <v>96.631599999999992</v>
      </c>
    </row>
    <row r="964" spans="1:30" s="37" customFormat="1" ht="15.75" customHeight="1" x14ac:dyDescent="0.2">
      <c r="A964" s="26">
        <v>2059</v>
      </c>
      <c r="B964" s="27" t="s">
        <v>616</v>
      </c>
      <c r="C964" s="27" t="s">
        <v>26</v>
      </c>
      <c r="D964" s="28">
        <v>0.1</v>
      </c>
      <c r="E964" s="29">
        <v>9.85</v>
      </c>
      <c r="F964" s="29">
        <v>4.82</v>
      </c>
      <c r="G964" s="30" t="s">
        <v>39</v>
      </c>
      <c r="H964" s="27" t="s">
        <v>94</v>
      </c>
      <c r="I964" s="27" t="s">
        <v>49</v>
      </c>
      <c r="J964" s="27" t="s">
        <v>50</v>
      </c>
      <c r="K964" s="27" t="s">
        <v>51</v>
      </c>
      <c r="L964" s="31" t="s">
        <v>1879</v>
      </c>
      <c r="M964" s="32">
        <v>0.47</v>
      </c>
      <c r="N964" s="27" t="s">
        <v>33</v>
      </c>
      <c r="O964" s="27" t="s">
        <v>34</v>
      </c>
      <c r="P964" s="27" t="s">
        <v>97</v>
      </c>
      <c r="Q964" s="27" t="s">
        <v>617</v>
      </c>
      <c r="R964" s="33">
        <v>27260</v>
      </c>
      <c r="S964" s="34">
        <v>42090</v>
      </c>
      <c r="T964" s="34">
        <v>42091</v>
      </c>
      <c r="U964" s="29">
        <v>374.904</v>
      </c>
      <c r="V964" s="26">
        <v>12</v>
      </c>
      <c r="W964" s="29">
        <v>114.91</v>
      </c>
      <c r="X964" s="26">
        <v>88041</v>
      </c>
      <c r="Y964" s="35">
        <v>55.879999999999995</v>
      </c>
      <c r="Z964" s="1" t="s">
        <v>3011</v>
      </c>
      <c r="AA964" s="36">
        <v>11.82</v>
      </c>
      <c r="AB964" s="54">
        <v>60.902300000000004</v>
      </c>
      <c r="AC964" s="54">
        <v>4.5006416666666667</v>
      </c>
      <c r="AD964" s="36">
        <v>-276.63400000000001</v>
      </c>
    </row>
    <row r="965" spans="1:30" s="37" customFormat="1" ht="15.75" customHeight="1" x14ac:dyDescent="0.2">
      <c r="A965" s="26">
        <v>696</v>
      </c>
      <c r="B965" s="27" t="s">
        <v>1883</v>
      </c>
      <c r="C965" s="27" t="s">
        <v>116</v>
      </c>
      <c r="D965" s="28">
        <v>0.06</v>
      </c>
      <c r="E965" s="29">
        <v>8.1199999999999992</v>
      </c>
      <c r="F965" s="29">
        <v>2.83</v>
      </c>
      <c r="G965" s="30" t="s">
        <v>39</v>
      </c>
      <c r="H965" s="27" t="s">
        <v>94</v>
      </c>
      <c r="I965" s="27" t="s">
        <v>41</v>
      </c>
      <c r="J965" s="27" t="s">
        <v>42</v>
      </c>
      <c r="K965" s="27" t="s">
        <v>43</v>
      </c>
      <c r="L965" s="31" t="s">
        <v>1698</v>
      </c>
      <c r="M965" s="32">
        <v>0.77</v>
      </c>
      <c r="N965" s="27" t="s">
        <v>33</v>
      </c>
      <c r="O965" s="27" t="s">
        <v>53</v>
      </c>
      <c r="P965" s="27" t="s">
        <v>54</v>
      </c>
      <c r="Q965" s="27" t="s">
        <v>1884</v>
      </c>
      <c r="R965" s="33">
        <v>46307</v>
      </c>
      <c r="S965" s="34">
        <v>42090</v>
      </c>
      <c r="T965" s="34">
        <v>42091</v>
      </c>
      <c r="U965" s="29">
        <v>-82.83</v>
      </c>
      <c r="V965" s="26">
        <v>10</v>
      </c>
      <c r="W965" s="29">
        <v>78.540000000000006</v>
      </c>
      <c r="X965" s="26">
        <v>89847</v>
      </c>
      <c r="Y965" s="35">
        <v>16.059999999999999</v>
      </c>
      <c r="Z965" s="1" t="s">
        <v>3012</v>
      </c>
      <c r="AA965" s="36">
        <v>4.871999999999999</v>
      </c>
      <c r="AB965" s="54">
        <v>18.0642</v>
      </c>
      <c r="AC965" s="54">
        <v>6.0475800000000008</v>
      </c>
      <c r="AD965" s="36">
        <v>153.66800000000001</v>
      </c>
    </row>
    <row r="966" spans="1:30" s="37" customFormat="1" ht="15.75" customHeight="1" x14ac:dyDescent="0.2">
      <c r="A966" s="26">
        <v>1482</v>
      </c>
      <c r="B966" s="27" t="s">
        <v>1438</v>
      </c>
      <c r="C966" s="27" t="s">
        <v>3094</v>
      </c>
      <c r="D966" s="28">
        <v>7.0000000000000007E-2</v>
      </c>
      <c r="E966" s="29">
        <v>8.9499999999999993</v>
      </c>
      <c r="F966" s="29">
        <v>2.0099999999999998</v>
      </c>
      <c r="G966" s="30" t="s">
        <v>39</v>
      </c>
      <c r="H966" s="27" t="s">
        <v>94</v>
      </c>
      <c r="I966" s="27" t="s">
        <v>49</v>
      </c>
      <c r="J966" s="27" t="s">
        <v>88</v>
      </c>
      <c r="K966" s="27" t="s">
        <v>51</v>
      </c>
      <c r="L966" s="31" t="s">
        <v>1892</v>
      </c>
      <c r="M966" s="32">
        <v>0.39</v>
      </c>
      <c r="N966" s="27" t="s">
        <v>33</v>
      </c>
      <c r="O966" s="27" t="s">
        <v>53</v>
      </c>
      <c r="P966" s="27" t="s">
        <v>289</v>
      </c>
      <c r="Q966" s="27" t="s">
        <v>994</v>
      </c>
      <c r="R966" s="33">
        <v>48708</v>
      </c>
      <c r="S966" s="34">
        <v>42090</v>
      </c>
      <c r="T966" s="34">
        <v>42091</v>
      </c>
      <c r="U966" s="29">
        <v>53.067900000000002</v>
      </c>
      <c r="V966" s="26">
        <v>9</v>
      </c>
      <c r="W966" s="29">
        <v>76.91</v>
      </c>
      <c r="X966" s="26">
        <v>91362</v>
      </c>
      <c r="Y966" s="35">
        <v>18.62</v>
      </c>
      <c r="Z966" s="1" t="s">
        <v>3012</v>
      </c>
      <c r="AA966" s="36">
        <v>5.6385000000000005</v>
      </c>
      <c r="AB966" s="54">
        <v>46.915099999999995</v>
      </c>
      <c r="AC966" s="54">
        <v>3.3327666666666667</v>
      </c>
      <c r="AD966" s="36">
        <v>16.193599999999996</v>
      </c>
    </row>
    <row r="967" spans="1:30" s="37" customFormat="1" ht="15.75" customHeight="1" x14ac:dyDescent="0.2">
      <c r="A967" s="26">
        <v>3354</v>
      </c>
      <c r="B967" s="27" t="s">
        <v>1893</v>
      </c>
      <c r="C967" s="27" t="s">
        <v>3094</v>
      </c>
      <c r="D967" s="28">
        <v>0.04</v>
      </c>
      <c r="E967" s="29">
        <v>3.69</v>
      </c>
      <c r="F967" s="29">
        <v>0.5</v>
      </c>
      <c r="G967" s="30" t="s">
        <v>39</v>
      </c>
      <c r="H967" s="27" t="s">
        <v>94</v>
      </c>
      <c r="I967" s="27" t="s">
        <v>49</v>
      </c>
      <c r="J967" s="27" t="s">
        <v>152</v>
      </c>
      <c r="K967" s="27" t="s">
        <v>73</v>
      </c>
      <c r="L967" s="31" t="s">
        <v>1894</v>
      </c>
      <c r="M967" s="32">
        <v>0.38</v>
      </c>
      <c r="N967" s="27" t="s">
        <v>33</v>
      </c>
      <c r="O967" s="27" t="s">
        <v>60</v>
      </c>
      <c r="P967" s="27" t="s">
        <v>90</v>
      </c>
      <c r="Q967" s="27" t="s">
        <v>1895</v>
      </c>
      <c r="R967" s="33">
        <v>92231</v>
      </c>
      <c r="S967" s="34">
        <v>42090</v>
      </c>
      <c r="T967" s="34">
        <v>42092</v>
      </c>
      <c r="U967" s="29">
        <v>47.527200000000001</v>
      </c>
      <c r="V967" s="26">
        <v>19</v>
      </c>
      <c r="W967" s="29">
        <v>68.88</v>
      </c>
      <c r="X967" s="26">
        <v>88590</v>
      </c>
      <c r="Y967" s="35">
        <v>150.88</v>
      </c>
      <c r="Z967" s="1" t="s">
        <v>3013</v>
      </c>
      <c r="AA967" s="36">
        <v>2.8044000000000002</v>
      </c>
      <c r="AB967" s="54">
        <v>42.705599999999997</v>
      </c>
      <c r="AC967" s="54">
        <v>1.3775999999999999</v>
      </c>
      <c r="AD967" s="36">
        <v>18.048399999999994</v>
      </c>
    </row>
    <row r="968" spans="1:30" s="37" customFormat="1" ht="15.75" customHeight="1" x14ac:dyDescent="0.2">
      <c r="A968" s="26">
        <v>32</v>
      </c>
      <c r="B968" s="27" t="s">
        <v>644</v>
      </c>
      <c r="C968" s="27" t="s">
        <v>38</v>
      </c>
      <c r="D968" s="28">
        <v>0.01</v>
      </c>
      <c r="E968" s="29">
        <v>17.98</v>
      </c>
      <c r="F968" s="29">
        <v>8.51</v>
      </c>
      <c r="G968" s="30" t="s">
        <v>39</v>
      </c>
      <c r="H968" s="27" t="s">
        <v>94</v>
      </c>
      <c r="I968" s="27" t="s">
        <v>41</v>
      </c>
      <c r="J968" s="27" t="s">
        <v>57</v>
      </c>
      <c r="K968" s="27" t="s">
        <v>144</v>
      </c>
      <c r="L968" s="31" t="s">
        <v>1880</v>
      </c>
      <c r="M968" s="32">
        <v>0.4</v>
      </c>
      <c r="N968" s="27" t="s">
        <v>33</v>
      </c>
      <c r="O968" s="27" t="s">
        <v>60</v>
      </c>
      <c r="P968" s="27" t="s">
        <v>139</v>
      </c>
      <c r="Q968" s="27" t="s">
        <v>646</v>
      </c>
      <c r="R968" s="33">
        <v>97526</v>
      </c>
      <c r="S968" s="34">
        <v>42090</v>
      </c>
      <c r="T968" s="34">
        <v>42091</v>
      </c>
      <c r="U968" s="29">
        <v>-35.878799999999998</v>
      </c>
      <c r="V968" s="26">
        <v>2</v>
      </c>
      <c r="W968" s="29">
        <v>40.17</v>
      </c>
      <c r="X968" s="26">
        <v>89200</v>
      </c>
      <c r="Y968" s="35">
        <v>8.879999999999999</v>
      </c>
      <c r="Z968" s="1" t="s">
        <v>3013</v>
      </c>
      <c r="AA968" s="36">
        <v>0.35960000000000003</v>
      </c>
      <c r="AB968" s="54">
        <v>24.102</v>
      </c>
      <c r="AC968" s="54">
        <v>8.0340000000000007</v>
      </c>
      <c r="AD968" s="36">
        <v>67.179200000000009</v>
      </c>
    </row>
    <row r="969" spans="1:30" s="37" customFormat="1" ht="15.75" customHeight="1" x14ac:dyDescent="0.2">
      <c r="A969" s="26">
        <v>234</v>
      </c>
      <c r="B969" s="27" t="s">
        <v>985</v>
      </c>
      <c r="C969" s="27" t="s">
        <v>38</v>
      </c>
      <c r="D969" s="28">
        <v>0.01</v>
      </c>
      <c r="E969" s="29">
        <v>15.28</v>
      </c>
      <c r="F969" s="29">
        <v>1.99</v>
      </c>
      <c r="G969" s="30" t="s">
        <v>39</v>
      </c>
      <c r="H969" s="27" t="s">
        <v>3095</v>
      </c>
      <c r="I969" s="27" t="s">
        <v>41</v>
      </c>
      <c r="J969" s="27" t="s">
        <v>42</v>
      </c>
      <c r="K969" s="27" t="s">
        <v>43</v>
      </c>
      <c r="L969" s="31" t="s">
        <v>512</v>
      </c>
      <c r="M969" s="32">
        <v>0.42</v>
      </c>
      <c r="N969" s="27" t="s">
        <v>33</v>
      </c>
      <c r="O969" s="27" t="s">
        <v>53</v>
      </c>
      <c r="P969" s="27" t="s">
        <v>213</v>
      </c>
      <c r="Q969" s="27" t="s">
        <v>737</v>
      </c>
      <c r="R969" s="33">
        <v>50208</v>
      </c>
      <c r="S969" s="34">
        <v>42090</v>
      </c>
      <c r="T969" s="34">
        <v>42092</v>
      </c>
      <c r="U969" s="29">
        <v>-12.46</v>
      </c>
      <c r="V969" s="26">
        <v>2</v>
      </c>
      <c r="W969" s="29">
        <v>33.04</v>
      </c>
      <c r="X969" s="26">
        <v>90238</v>
      </c>
      <c r="Y969" s="35">
        <v>8.879999999999999</v>
      </c>
      <c r="Z969" s="1" t="s">
        <v>3012</v>
      </c>
      <c r="AA969" s="36">
        <v>0.30559999999999998</v>
      </c>
      <c r="AB969" s="54">
        <v>19.163200000000003</v>
      </c>
      <c r="AC969" s="54">
        <v>6.9383999999999997</v>
      </c>
      <c r="AD969" s="36">
        <v>43.2044</v>
      </c>
    </row>
    <row r="970" spans="1:30" s="37" customFormat="1" ht="15.75" customHeight="1" x14ac:dyDescent="0.2">
      <c r="A970" s="26">
        <v>1625</v>
      </c>
      <c r="B970" s="27" t="s">
        <v>1223</v>
      </c>
      <c r="C970" s="27" t="s">
        <v>116</v>
      </c>
      <c r="D970" s="28">
        <v>0</v>
      </c>
      <c r="E970" s="29">
        <v>16.059999999999999</v>
      </c>
      <c r="F970" s="29">
        <v>8.34</v>
      </c>
      <c r="G970" s="30" t="s">
        <v>39</v>
      </c>
      <c r="H970" s="27" t="s">
        <v>71</v>
      </c>
      <c r="I970" s="27" t="s">
        <v>49</v>
      </c>
      <c r="J970" s="27" t="s">
        <v>78</v>
      </c>
      <c r="K970" s="27" t="s">
        <v>73</v>
      </c>
      <c r="L970" s="31" t="s">
        <v>1887</v>
      </c>
      <c r="M970" s="32">
        <v>0.59</v>
      </c>
      <c r="N970" s="27" t="s">
        <v>33</v>
      </c>
      <c r="O970" s="27" t="s">
        <v>111</v>
      </c>
      <c r="P970" s="27" t="s">
        <v>112</v>
      </c>
      <c r="Q970" s="27" t="s">
        <v>1225</v>
      </c>
      <c r="R970" s="33">
        <v>11542</v>
      </c>
      <c r="S970" s="34">
        <v>42090</v>
      </c>
      <c r="T970" s="34">
        <v>42091</v>
      </c>
      <c r="U970" s="29">
        <v>-28.09</v>
      </c>
      <c r="V970" s="26">
        <v>1</v>
      </c>
      <c r="W970" s="29">
        <v>19.16</v>
      </c>
      <c r="X970" s="26">
        <v>90600</v>
      </c>
      <c r="Y970" s="35">
        <v>3.65</v>
      </c>
      <c r="Z970" s="1" t="s">
        <v>3014</v>
      </c>
      <c r="AA970" s="36">
        <v>0</v>
      </c>
      <c r="AB970" s="54">
        <v>7.8556000000000008</v>
      </c>
      <c r="AC970" s="54">
        <v>11.304399999999999</v>
      </c>
      <c r="AD970" s="36">
        <v>38.909999999999997</v>
      </c>
    </row>
    <row r="971" spans="1:30" s="37" customFormat="1" ht="15.75" customHeight="1" x14ac:dyDescent="0.2">
      <c r="A971" s="26">
        <v>1738</v>
      </c>
      <c r="B971" s="27" t="s">
        <v>1901</v>
      </c>
      <c r="C971" s="27" t="s">
        <v>116</v>
      </c>
      <c r="D971" s="28">
        <v>0.08</v>
      </c>
      <c r="E971" s="29">
        <v>175.99</v>
      </c>
      <c r="F971" s="29">
        <v>4.99</v>
      </c>
      <c r="G971" s="30" t="s">
        <v>39</v>
      </c>
      <c r="H971" s="27" t="s">
        <v>94</v>
      </c>
      <c r="I971" s="27" t="s">
        <v>41</v>
      </c>
      <c r="J971" s="27" t="s">
        <v>135</v>
      </c>
      <c r="K971" s="27" t="s">
        <v>73</v>
      </c>
      <c r="L971" s="31" t="s">
        <v>1249</v>
      </c>
      <c r="M971" s="32">
        <v>0.59</v>
      </c>
      <c r="N971" s="27" t="s">
        <v>33</v>
      </c>
      <c r="O971" s="27" t="s">
        <v>34</v>
      </c>
      <c r="P971" s="27" t="s">
        <v>97</v>
      </c>
      <c r="Q971" s="27" t="s">
        <v>1902</v>
      </c>
      <c r="R971" s="33">
        <v>28052</v>
      </c>
      <c r="S971" s="34">
        <v>42091</v>
      </c>
      <c r="T971" s="34">
        <v>42091</v>
      </c>
      <c r="U971" s="29">
        <v>-16476.838</v>
      </c>
      <c r="V971" s="26">
        <v>10</v>
      </c>
      <c r="W971" s="29">
        <v>1486.34</v>
      </c>
      <c r="X971" s="26">
        <v>85865</v>
      </c>
      <c r="Y971" s="35">
        <v>10.360000000000001</v>
      </c>
      <c r="Z971" s="1" t="s">
        <v>3011</v>
      </c>
      <c r="AA971" s="36">
        <v>140.792</v>
      </c>
      <c r="AB971" s="54">
        <v>609.39940000000001</v>
      </c>
      <c r="AC971" s="54">
        <v>87.694059999999993</v>
      </c>
      <c r="AD971" s="36">
        <v>17817.395999999997</v>
      </c>
    </row>
    <row r="972" spans="1:30" s="37" customFormat="1" ht="15.75" customHeight="1" x14ac:dyDescent="0.2">
      <c r="A972" s="26">
        <v>800</v>
      </c>
      <c r="B972" s="27" t="s">
        <v>1900</v>
      </c>
      <c r="C972" s="27" t="s">
        <v>48</v>
      </c>
      <c r="D972" s="28">
        <v>0.04</v>
      </c>
      <c r="E972" s="29">
        <v>50.98</v>
      </c>
      <c r="F972" s="29">
        <v>6.5</v>
      </c>
      <c r="G972" s="30" t="s">
        <v>39</v>
      </c>
      <c r="H972" s="27" t="s">
        <v>40</v>
      </c>
      <c r="I972" s="27" t="s">
        <v>41</v>
      </c>
      <c r="J972" s="27" t="s">
        <v>42</v>
      </c>
      <c r="K972" s="27" t="s">
        <v>73</v>
      </c>
      <c r="L972" s="31" t="s">
        <v>1866</v>
      </c>
      <c r="M972" s="32">
        <v>0.73</v>
      </c>
      <c r="N972" s="27" t="s">
        <v>33</v>
      </c>
      <c r="O972" s="27" t="s">
        <v>60</v>
      </c>
      <c r="P972" s="27" t="s">
        <v>146</v>
      </c>
      <c r="Q972" s="27" t="s">
        <v>1526</v>
      </c>
      <c r="R972" s="33">
        <v>84067</v>
      </c>
      <c r="S972" s="34">
        <v>42091</v>
      </c>
      <c r="T972" s="34">
        <v>42097</v>
      </c>
      <c r="U972" s="29">
        <v>-13.28</v>
      </c>
      <c r="V972" s="26">
        <v>11</v>
      </c>
      <c r="W972" s="29">
        <v>568.25</v>
      </c>
      <c r="X972" s="26">
        <v>89910</v>
      </c>
      <c r="Y972" s="35">
        <v>4.2</v>
      </c>
      <c r="Z972" s="1" t="s">
        <v>3013</v>
      </c>
      <c r="AA972" s="36">
        <v>22.4312</v>
      </c>
      <c r="AB972" s="54">
        <v>153.42750000000001</v>
      </c>
      <c r="AC972" s="54">
        <v>37.711136363636363</v>
      </c>
      <c r="AD972" s="36">
        <v>552.59879999999998</v>
      </c>
    </row>
    <row r="973" spans="1:30" s="37" customFormat="1" ht="15.75" customHeight="1" x14ac:dyDescent="0.2">
      <c r="A973" s="26">
        <v>2968</v>
      </c>
      <c r="B973" s="27" t="s">
        <v>1319</v>
      </c>
      <c r="C973" s="27" t="s">
        <v>38</v>
      </c>
      <c r="D973" s="28">
        <v>0.06</v>
      </c>
      <c r="E973" s="29">
        <v>363.25</v>
      </c>
      <c r="F973" s="29">
        <v>19.989999999999998</v>
      </c>
      <c r="G973" s="30" t="s">
        <v>39</v>
      </c>
      <c r="H973" s="27" t="s">
        <v>3095</v>
      </c>
      <c r="I973" s="27" t="s">
        <v>49</v>
      </c>
      <c r="J973" s="27" t="s">
        <v>95</v>
      </c>
      <c r="K973" s="27" t="s">
        <v>73</v>
      </c>
      <c r="L973" s="31" t="s">
        <v>199</v>
      </c>
      <c r="M973" s="32">
        <v>0.56999999999999995</v>
      </c>
      <c r="N973" s="27" t="s">
        <v>33</v>
      </c>
      <c r="O973" s="27" t="s">
        <v>34</v>
      </c>
      <c r="P973" s="27" t="s">
        <v>123</v>
      </c>
      <c r="Q973" s="27" t="s">
        <v>1321</v>
      </c>
      <c r="R973" s="33">
        <v>33021</v>
      </c>
      <c r="S973" s="34">
        <v>42091</v>
      </c>
      <c r="T973" s="34">
        <v>42093</v>
      </c>
      <c r="U973" s="29">
        <v>36.164099999999998</v>
      </c>
      <c r="V973" s="26">
        <v>1</v>
      </c>
      <c r="W973" s="29">
        <v>344.87</v>
      </c>
      <c r="X973" s="26">
        <v>86086</v>
      </c>
      <c r="Y973" s="35">
        <v>363.19</v>
      </c>
      <c r="Z973" s="1" t="s">
        <v>3011</v>
      </c>
      <c r="AA973" s="36">
        <v>21.794999999999998</v>
      </c>
      <c r="AB973" s="54">
        <v>148.29410000000001</v>
      </c>
      <c r="AC973" s="54">
        <v>196.57589999999999</v>
      </c>
      <c r="AD973" s="36">
        <v>266.92090000000002</v>
      </c>
    </row>
    <row r="974" spans="1:30" s="37" customFormat="1" ht="15.75" customHeight="1" x14ac:dyDescent="0.2">
      <c r="A974" s="26">
        <v>2668</v>
      </c>
      <c r="B974" s="27" t="s">
        <v>1896</v>
      </c>
      <c r="C974" s="27" t="s">
        <v>38</v>
      </c>
      <c r="D974" s="28">
        <v>0.04</v>
      </c>
      <c r="E974" s="29">
        <v>10.4</v>
      </c>
      <c r="F974" s="29">
        <v>5.4</v>
      </c>
      <c r="G974" s="30" t="s">
        <v>39</v>
      </c>
      <c r="H974" s="27" t="s">
        <v>94</v>
      </c>
      <c r="I974" s="27" t="s">
        <v>29</v>
      </c>
      <c r="J974" s="27" t="s">
        <v>126</v>
      </c>
      <c r="K974" s="27" t="s">
        <v>43</v>
      </c>
      <c r="L974" s="31" t="s">
        <v>1897</v>
      </c>
      <c r="M974" s="32">
        <v>0.51</v>
      </c>
      <c r="N974" s="27" t="s">
        <v>33</v>
      </c>
      <c r="O974" s="27" t="s">
        <v>53</v>
      </c>
      <c r="P974" s="27" t="s">
        <v>1071</v>
      </c>
      <c r="Q974" s="27" t="s">
        <v>1898</v>
      </c>
      <c r="R974" s="33">
        <v>57701</v>
      </c>
      <c r="S974" s="34">
        <v>42091</v>
      </c>
      <c r="T974" s="34">
        <v>42092</v>
      </c>
      <c r="U974" s="29">
        <v>29.98</v>
      </c>
      <c r="V974" s="26">
        <v>12</v>
      </c>
      <c r="W974" s="29">
        <v>130.74</v>
      </c>
      <c r="X974" s="26">
        <v>87830</v>
      </c>
      <c r="Y974" s="35">
        <v>50.94</v>
      </c>
      <c r="Z974" s="1" t="s">
        <v>3012</v>
      </c>
      <c r="AA974" s="36">
        <v>4.9920000000000009</v>
      </c>
      <c r="AB974" s="54">
        <v>64.062600000000003</v>
      </c>
      <c r="AC974" s="54">
        <v>5.5564500000000008</v>
      </c>
      <c r="AD974" s="36">
        <v>90.368000000000009</v>
      </c>
    </row>
    <row r="975" spans="1:30" s="37" customFormat="1" ht="15.75" customHeight="1" x14ac:dyDescent="0.2">
      <c r="A975" s="26">
        <v>800</v>
      </c>
      <c r="B975" s="27" t="s">
        <v>1900</v>
      </c>
      <c r="C975" s="27" t="s">
        <v>48</v>
      </c>
      <c r="D975" s="28">
        <v>0.02</v>
      </c>
      <c r="E975" s="29">
        <v>6.48</v>
      </c>
      <c r="F975" s="29">
        <v>5.14</v>
      </c>
      <c r="G975" s="30" t="s">
        <v>39</v>
      </c>
      <c r="H975" s="27" t="s">
        <v>40</v>
      </c>
      <c r="I975" s="27" t="s">
        <v>49</v>
      </c>
      <c r="J975" s="27" t="s">
        <v>88</v>
      </c>
      <c r="K975" s="27" t="s">
        <v>73</v>
      </c>
      <c r="L975" s="31" t="s">
        <v>1745</v>
      </c>
      <c r="M975" s="32">
        <v>0.37</v>
      </c>
      <c r="N975" s="27" t="s">
        <v>33</v>
      </c>
      <c r="O975" s="27" t="s">
        <v>60</v>
      </c>
      <c r="P975" s="27" t="s">
        <v>146</v>
      </c>
      <c r="Q975" s="27" t="s">
        <v>1526</v>
      </c>
      <c r="R975" s="33">
        <v>84067</v>
      </c>
      <c r="S975" s="34">
        <v>42091</v>
      </c>
      <c r="T975" s="34">
        <v>42093</v>
      </c>
      <c r="U975" s="29">
        <v>-48.68</v>
      </c>
      <c r="V975" s="26">
        <v>19</v>
      </c>
      <c r="W975" s="29">
        <v>126.66</v>
      </c>
      <c r="X975" s="26">
        <v>89910</v>
      </c>
      <c r="Y975" s="35">
        <v>6.4600000000000009</v>
      </c>
      <c r="Z975" s="1" t="s">
        <v>3013</v>
      </c>
      <c r="AA975" s="36">
        <v>2.4624000000000006</v>
      </c>
      <c r="AB975" s="54">
        <v>79.7958</v>
      </c>
      <c r="AC975" s="54">
        <v>2.4665368421052629</v>
      </c>
      <c r="AD975" s="36">
        <v>167.73759999999999</v>
      </c>
    </row>
    <row r="976" spans="1:30" s="37" customFormat="1" ht="15.75" customHeight="1" x14ac:dyDescent="0.2">
      <c r="A976" s="26">
        <v>2880</v>
      </c>
      <c r="B976" s="27" t="s">
        <v>1903</v>
      </c>
      <c r="C976" s="27" t="s">
        <v>116</v>
      </c>
      <c r="D976" s="28">
        <v>0.05</v>
      </c>
      <c r="E976" s="29">
        <v>6.68</v>
      </c>
      <c r="F976" s="29">
        <v>6.93</v>
      </c>
      <c r="G976" s="30" t="s">
        <v>39</v>
      </c>
      <c r="H976" s="27" t="s">
        <v>3095</v>
      </c>
      <c r="I976" s="27" t="s">
        <v>49</v>
      </c>
      <c r="J976" s="27" t="s">
        <v>88</v>
      </c>
      <c r="K976" s="27" t="s">
        <v>73</v>
      </c>
      <c r="L976" s="31" t="s">
        <v>976</v>
      </c>
      <c r="M976" s="32">
        <v>0.37</v>
      </c>
      <c r="N976" s="27" t="s">
        <v>33</v>
      </c>
      <c r="O976" s="27" t="s">
        <v>34</v>
      </c>
      <c r="P976" s="27" t="s">
        <v>123</v>
      </c>
      <c r="Q976" s="27" t="s">
        <v>1904</v>
      </c>
      <c r="R976" s="33">
        <v>33160</v>
      </c>
      <c r="S976" s="34">
        <v>42091</v>
      </c>
      <c r="T976" s="34">
        <v>42092</v>
      </c>
      <c r="U976" s="29">
        <v>-2.3519999999999999</v>
      </c>
      <c r="V976" s="26">
        <v>11</v>
      </c>
      <c r="W976" s="29">
        <v>77.2</v>
      </c>
      <c r="X976" s="26">
        <v>88626</v>
      </c>
      <c r="Y976" s="35">
        <v>175.91</v>
      </c>
      <c r="Z976" s="1" t="s">
        <v>3011</v>
      </c>
      <c r="AA976" s="36">
        <v>3.6740000000000004</v>
      </c>
      <c r="AB976" s="54">
        <v>48.636000000000003</v>
      </c>
      <c r="AC976" s="54">
        <v>2.5967272727272728</v>
      </c>
      <c r="AD976" s="36">
        <v>68.948000000000008</v>
      </c>
    </row>
    <row r="977" spans="1:30" s="37" customFormat="1" ht="15.75" customHeight="1" x14ac:dyDescent="0.2">
      <c r="A977" s="26">
        <v>2668</v>
      </c>
      <c r="B977" s="27" t="s">
        <v>1896</v>
      </c>
      <c r="C977" s="27" t="s">
        <v>38</v>
      </c>
      <c r="D977" s="28">
        <v>0.08</v>
      </c>
      <c r="E977" s="29">
        <v>4.28</v>
      </c>
      <c r="F977" s="29">
        <v>4.79</v>
      </c>
      <c r="G977" s="30" t="s">
        <v>39</v>
      </c>
      <c r="H977" s="27" t="s">
        <v>94</v>
      </c>
      <c r="I977" s="27" t="s">
        <v>49</v>
      </c>
      <c r="J977" s="27" t="s">
        <v>88</v>
      </c>
      <c r="K977" s="27" t="s">
        <v>73</v>
      </c>
      <c r="L977" s="31" t="s">
        <v>1899</v>
      </c>
      <c r="M977" s="32">
        <v>0.4</v>
      </c>
      <c r="N977" s="27" t="s">
        <v>33</v>
      </c>
      <c r="O977" s="27" t="s">
        <v>53</v>
      </c>
      <c r="P977" s="27" t="s">
        <v>1071</v>
      </c>
      <c r="Q977" s="27" t="s">
        <v>1898</v>
      </c>
      <c r="R977" s="33">
        <v>57701</v>
      </c>
      <c r="S977" s="34">
        <v>42091</v>
      </c>
      <c r="T977" s="34">
        <v>42093</v>
      </c>
      <c r="U977" s="29">
        <v>-121.2</v>
      </c>
      <c r="V977" s="26">
        <v>12</v>
      </c>
      <c r="W977" s="29">
        <v>49.87</v>
      </c>
      <c r="X977" s="26">
        <v>87830</v>
      </c>
      <c r="Y977" s="35">
        <v>6.63</v>
      </c>
      <c r="Z977" s="1" t="s">
        <v>3012</v>
      </c>
      <c r="AA977" s="36">
        <v>4.1088000000000005</v>
      </c>
      <c r="AB977" s="54">
        <v>29.921999999999997</v>
      </c>
      <c r="AC977" s="54">
        <v>1.6623333333333332</v>
      </c>
      <c r="AD977" s="36">
        <v>162.1712</v>
      </c>
    </row>
    <row r="978" spans="1:30" s="37" customFormat="1" ht="15.75" customHeight="1" x14ac:dyDescent="0.2">
      <c r="A978" s="26">
        <v>152</v>
      </c>
      <c r="B978" s="27" t="s">
        <v>505</v>
      </c>
      <c r="C978" s="27" t="s">
        <v>38</v>
      </c>
      <c r="D978" s="28">
        <v>0.01</v>
      </c>
      <c r="E978" s="29">
        <v>65.989999999999995</v>
      </c>
      <c r="F978" s="29">
        <v>8.99</v>
      </c>
      <c r="G978" s="30" t="s">
        <v>39</v>
      </c>
      <c r="H978" s="27" t="s">
        <v>40</v>
      </c>
      <c r="I978" s="27" t="s">
        <v>41</v>
      </c>
      <c r="J978" s="27" t="s">
        <v>135</v>
      </c>
      <c r="K978" s="27" t="s">
        <v>73</v>
      </c>
      <c r="L978" s="31" t="s">
        <v>1905</v>
      </c>
      <c r="M978" s="32">
        <v>0.6</v>
      </c>
      <c r="N978" s="27" t="s">
        <v>33</v>
      </c>
      <c r="O978" s="27" t="s">
        <v>34</v>
      </c>
      <c r="P978" s="27" t="s">
        <v>400</v>
      </c>
      <c r="Q978" s="27" t="s">
        <v>507</v>
      </c>
      <c r="R978" s="33">
        <v>37918</v>
      </c>
      <c r="S978" s="34">
        <v>42092</v>
      </c>
      <c r="T978" s="34">
        <v>42095</v>
      </c>
      <c r="U978" s="29">
        <v>97.86</v>
      </c>
      <c r="V978" s="26">
        <v>5</v>
      </c>
      <c r="W978" s="29">
        <v>292.23</v>
      </c>
      <c r="X978" s="26">
        <v>89524</v>
      </c>
      <c r="Y978" s="35">
        <v>65.97999999999999</v>
      </c>
      <c r="Z978" s="1" t="s">
        <v>3011</v>
      </c>
      <c r="AA978" s="36">
        <v>3.2994999999999997</v>
      </c>
      <c r="AB978" s="54">
        <v>116.89200000000001</v>
      </c>
      <c r="AC978" s="54">
        <v>35.067599999999999</v>
      </c>
      <c r="AD978" s="36">
        <v>182.08050000000003</v>
      </c>
    </row>
    <row r="979" spans="1:30" s="37" customFormat="1" ht="15.75" customHeight="1" x14ac:dyDescent="0.2">
      <c r="A979" s="26">
        <v>2530</v>
      </c>
      <c r="B979" s="27" t="s">
        <v>1907</v>
      </c>
      <c r="C979" s="27" t="s">
        <v>38</v>
      </c>
      <c r="D979" s="28">
        <v>0.04</v>
      </c>
      <c r="E979" s="29">
        <v>40.98</v>
      </c>
      <c r="F979" s="29">
        <v>6.5</v>
      </c>
      <c r="G979" s="30" t="s">
        <v>39</v>
      </c>
      <c r="H979" s="27" t="s">
        <v>3095</v>
      </c>
      <c r="I979" s="27" t="s">
        <v>41</v>
      </c>
      <c r="J979" s="27" t="s">
        <v>42</v>
      </c>
      <c r="K979" s="27" t="s">
        <v>73</v>
      </c>
      <c r="L979" s="31" t="s">
        <v>446</v>
      </c>
      <c r="M979" s="32">
        <v>0.74</v>
      </c>
      <c r="N979" s="27" t="s">
        <v>33</v>
      </c>
      <c r="O979" s="27" t="s">
        <v>60</v>
      </c>
      <c r="P979" s="27" t="s">
        <v>90</v>
      </c>
      <c r="Q979" s="27" t="s">
        <v>1908</v>
      </c>
      <c r="R979" s="33">
        <v>92307</v>
      </c>
      <c r="S979" s="34">
        <v>42092</v>
      </c>
      <c r="T979" s="34">
        <v>42093</v>
      </c>
      <c r="U979" s="29">
        <v>-89.5</v>
      </c>
      <c r="V979" s="26">
        <v>7</v>
      </c>
      <c r="W979" s="29">
        <v>277.07</v>
      </c>
      <c r="X979" s="26">
        <v>87451</v>
      </c>
      <c r="Y979" s="35">
        <v>6.65</v>
      </c>
      <c r="Z979" s="1" t="s">
        <v>3013</v>
      </c>
      <c r="AA979" s="36">
        <v>11.474399999999999</v>
      </c>
      <c r="AB979" s="54">
        <v>72.038200000000003</v>
      </c>
      <c r="AC979" s="54">
        <v>29.29025714285714</v>
      </c>
      <c r="AD979" s="36">
        <v>348.59559999999999</v>
      </c>
    </row>
    <row r="980" spans="1:30" s="37" customFormat="1" ht="15.75" customHeight="1" x14ac:dyDescent="0.2">
      <c r="A980" s="26">
        <v>2430</v>
      </c>
      <c r="B980" s="27" t="s">
        <v>1837</v>
      </c>
      <c r="C980" s="27" t="s">
        <v>48</v>
      </c>
      <c r="D980" s="28">
        <v>0.03</v>
      </c>
      <c r="E980" s="29">
        <v>140.99</v>
      </c>
      <c r="F980" s="29">
        <v>4.2</v>
      </c>
      <c r="G980" s="30" t="s">
        <v>39</v>
      </c>
      <c r="H980" s="27" t="s">
        <v>71</v>
      </c>
      <c r="I980" s="27" t="s">
        <v>41</v>
      </c>
      <c r="J980" s="27" t="s">
        <v>135</v>
      </c>
      <c r="K980" s="27" t="s">
        <v>73</v>
      </c>
      <c r="L980" s="31" t="s">
        <v>1911</v>
      </c>
      <c r="M980" s="32">
        <v>0.59</v>
      </c>
      <c r="N980" s="27" t="s">
        <v>33</v>
      </c>
      <c r="O980" s="27" t="s">
        <v>53</v>
      </c>
      <c r="P980" s="27" t="s">
        <v>187</v>
      </c>
      <c r="Q980" s="27" t="s">
        <v>1838</v>
      </c>
      <c r="R980" s="33">
        <v>76541</v>
      </c>
      <c r="S980" s="34">
        <v>42092</v>
      </c>
      <c r="T980" s="34">
        <v>42100</v>
      </c>
      <c r="U980" s="29">
        <v>-458.74400000000003</v>
      </c>
      <c r="V980" s="26">
        <v>2</v>
      </c>
      <c r="W980" s="29">
        <v>246.44</v>
      </c>
      <c r="X980" s="26">
        <v>91110</v>
      </c>
      <c r="Y980" s="35">
        <v>40.94</v>
      </c>
      <c r="Z980" s="1" t="s">
        <v>3012</v>
      </c>
      <c r="AA980" s="36">
        <v>8.4594000000000005</v>
      </c>
      <c r="AB980" s="54">
        <v>101.04040000000001</v>
      </c>
      <c r="AC980" s="54">
        <v>72.699799999999996</v>
      </c>
      <c r="AD980" s="36">
        <v>692.52459999999996</v>
      </c>
    </row>
    <row r="981" spans="1:30" s="37" customFormat="1" ht="15.75" customHeight="1" x14ac:dyDescent="0.2">
      <c r="A981" s="26">
        <v>1129</v>
      </c>
      <c r="B981" s="27" t="s">
        <v>786</v>
      </c>
      <c r="C981" s="27" t="s">
        <v>3094</v>
      </c>
      <c r="D981" s="28">
        <v>0.05</v>
      </c>
      <c r="E981" s="29">
        <v>5.78</v>
      </c>
      <c r="F981" s="29">
        <v>7.64</v>
      </c>
      <c r="G981" s="30" t="s">
        <v>87</v>
      </c>
      <c r="H981" s="27" t="s">
        <v>94</v>
      </c>
      <c r="I981" s="27" t="s">
        <v>49</v>
      </c>
      <c r="J981" s="27" t="s">
        <v>88</v>
      </c>
      <c r="K981" s="27" t="s">
        <v>73</v>
      </c>
      <c r="L981" s="31" t="s">
        <v>1915</v>
      </c>
      <c r="M981" s="32">
        <v>0.36</v>
      </c>
      <c r="N981" s="27" t="s">
        <v>33</v>
      </c>
      <c r="O981" s="27" t="s">
        <v>111</v>
      </c>
      <c r="P981" s="27" t="s">
        <v>403</v>
      </c>
      <c r="Q981" s="27" t="s">
        <v>788</v>
      </c>
      <c r="R981" s="33">
        <v>2118</v>
      </c>
      <c r="S981" s="34">
        <v>42092</v>
      </c>
      <c r="T981" s="34">
        <v>42094</v>
      </c>
      <c r="U981" s="29">
        <v>-116.05</v>
      </c>
      <c r="V981" s="26">
        <v>29</v>
      </c>
      <c r="W981" s="29">
        <v>177.41</v>
      </c>
      <c r="X981" s="26">
        <v>49125</v>
      </c>
      <c r="Y981" s="35">
        <v>35.940000000000005</v>
      </c>
      <c r="Z981" s="1" t="s">
        <v>3014</v>
      </c>
      <c r="AA981" s="36">
        <v>8.3810000000000002</v>
      </c>
      <c r="AB981" s="54">
        <v>113.5424</v>
      </c>
      <c r="AC981" s="54">
        <v>2.2023310344827585</v>
      </c>
      <c r="AD981" s="36">
        <v>277.43899999999996</v>
      </c>
    </row>
    <row r="982" spans="1:30" s="37" customFormat="1" ht="15.75" customHeight="1" x14ac:dyDescent="0.2">
      <c r="A982" s="26">
        <v>2534</v>
      </c>
      <c r="B982" s="27" t="s">
        <v>1909</v>
      </c>
      <c r="C982" s="27" t="s">
        <v>38</v>
      </c>
      <c r="D982" s="28">
        <v>0.05</v>
      </c>
      <c r="E982" s="29">
        <v>35.99</v>
      </c>
      <c r="F982" s="29">
        <v>3.3</v>
      </c>
      <c r="G982" s="30" t="s">
        <v>39</v>
      </c>
      <c r="H982" s="27" t="s">
        <v>3095</v>
      </c>
      <c r="I982" s="27" t="s">
        <v>41</v>
      </c>
      <c r="J982" s="27" t="s">
        <v>135</v>
      </c>
      <c r="K982" s="27" t="s">
        <v>43</v>
      </c>
      <c r="L982" s="31" t="s">
        <v>1910</v>
      </c>
      <c r="M982" s="32">
        <v>0.39</v>
      </c>
      <c r="N982" s="27" t="s">
        <v>33</v>
      </c>
      <c r="O982" s="27" t="s">
        <v>111</v>
      </c>
      <c r="P982" s="27" t="s">
        <v>331</v>
      </c>
      <c r="Q982" s="27" t="s">
        <v>887</v>
      </c>
      <c r="R982" s="33">
        <v>4401</v>
      </c>
      <c r="S982" s="34">
        <v>42092</v>
      </c>
      <c r="T982" s="34">
        <v>42094</v>
      </c>
      <c r="U982" s="29">
        <v>103.2723</v>
      </c>
      <c r="V982" s="26">
        <v>5</v>
      </c>
      <c r="W982" s="29">
        <v>149.66999999999999</v>
      </c>
      <c r="X982" s="26">
        <v>87451</v>
      </c>
      <c r="Y982" s="35">
        <v>99.22</v>
      </c>
      <c r="Z982" s="1" t="s">
        <v>3014</v>
      </c>
      <c r="AA982" s="36">
        <v>8.9975000000000005</v>
      </c>
      <c r="AB982" s="54">
        <v>91.298699999999997</v>
      </c>
      <c r="AC982" s="54">
        <v>11.67426</v>
      </c>
      <c r="AD982" s="36">
        <v>34.100199999999987</v>
      </c>
    </row>
    <row r="983" spans="1:30" s="37" customFormat="1" ht="15.75" customHeight="1" x14ac:dyDescent="0.2">
      <c r="A983" s="26">
        <v>3151</v>
      </c>
      <c r="B983" s="27" t="s">
        <v>953</v>
      </c>
      <c r="C983" s="27" t="s">
        <v>38</v>
      </c>
      <c r="D983" s="28">
        <v>0.01</v>
      </c>
      <c r="E983" s="29">
        <v>99.23</v>
      </c>
      <c r="F983" s="29">
        <v>8.99</v>
      </c>
      <c r="G983" s="30" t="s">
        <v>39</v>
      </c>
      <c r="H983" s="27" t="s">
        <v>94</v>
      </c>
      <c r="I983" s="27" t="s">
        <v>29</v>
      </c>
      <c r="J983" s="27" t="s">
        <v>126</v>
      </c>
      <c r="K983" s="27" t="s">
        <v>43</v>
      </c>
      <c r="L983" s="31" t="s">
        <v>127</v>
      </c>
      <c r="M983" s="32">
        <v>0.35</v>
      </c>
      <c r="N983" s="27" t="s">
        <v>33</v>
      </c>
      <c r="O983" s="27" t="s">
        <v>60</v>
      </c>
      <c r="P983" s="27" t="s">
        <v>90</v>
      </c>
      <c r="Q983" s="27" t="s">
        <v>954</v>
      </c>
      <c r="R983" s="33">
        <v>92277</v>
      </c>
      <c r="S983" s="34">
        <v>42092</v>
      </c>
      <c r="T983" s="34">
        <v>42096</v>
      </c>
      <c r="U983" s="29">
        <v>-87.46</v>
      </c>
      <c r="V983" s="26">
        <v>1</v>
      </c>
      <c r="W983" s="29">
        <v>99.22</v>
      </c>
      <c r="X983" s="26">
        <v>88548</v>
      </c>
      <c r="Y983" s="35">
        <v>140.96</v>
      </c>
      <c r="Z983" s="1" t="s">
        <v>3013</v>
      </c>
      <c r="AA983" s="36">
        <v>0.99230000000000007</v>
      </c>
      <c r="AB983" s="54">
        <v>64.492999999999995</v>
      </c>
      <c r="AC983" s="54">
        <v>34.726999999999997</v>
      </c>
      <c r="AD983" s="36">
        <v>176.6977</v>
      </c>
    </row>
    <row r="984" spans="1:30" s="37" customFormat="1" ht="15.75" customHeight="1" x14ac:dyDescent="0.2">
      <c r="A984" s="26">
        <v>2338</v>
      </c>
      <c r="B984" s="27" t="s">
        <v>458</v>
      </c>
      <c r="C984" s="27" t="s">
        <v>38</v>
      </c>
      <c r="D984" s="28">
        <v>0.1</v>
      </c>
      <c r="E984" s="29">
        <v>6.75</v>
      </c>
      <c r="F984" s="29">
        <v>2.99</v>
      </c>
      <c r="G984" s="30" t="s">
        <v>39</v>
      </c>
      <c r="H984" s="27" t="s">
        <v>71</v>
      </c>
      <c r="I984" s="27" t="s">
        <v>49</v>
      </c>
      <c r="J984" s="27" t="s">
        <v>72</v>
      </c>
      <c r="K984" s="27" t="s">
        <v>73</v>
      </c>
      <c r="L984" s="31" t="s">
        <v>1906</v>
      </c>
      <c r="M984" s="32">
        <v>0.35</v>
      </c>
      <c r="N984" s="27" t="s">
        <v>33</v>
      </c>
      <c r="O984" s="27" t="s">
        <v>111</v>
      </c>
      <c r="P984" s="27" t="s">
        <v>418</v>
      </c>
      <c r="Q984" s="27" t="s">
        <v>460</v>
      </c>
      <c r="R984" s="33">
        <v>20740</v>
      </c>
      <c r="S984" s="34">
        <v>42092</v>
      </c>
      <c r="T984" s="34">
        <v>42092</v>
      </c>
      <c r="U984" s="29">
        <v>18.147500000000001</v>
      </c>
      <c r="V984" s="26">
        <v>15</v>
      </c>
      <c r="W984" s="29">
        <v>96.13</v>
      </c>
      <c r="X984" s="26">
        <v>91481</v>
      </c>
      <c r="Y984" s="35">
        <v>7.01</v>
      </c>
      <c r="Z984" s="1" t="s">
        <v>3014</v>
      </c>
      <c r="AA984" s="36">
        <v>10.125</v>
      </c>
      <c r="AB984" s="54">
        <v>62.484499999999997</v>
      </c>
      <c r="AC984" s="54">
        <v>2.243033333333333</v>
      </c>
      <c r="AD984" s="36">
        <v>64.867499999999993</v>
      </c>
    </row>
    <row r="985" spans="1:30" s="37" customFormat="1" ht="15.75" customHeight="1" x14ac:dyDescent="0.2">
      <c r="A985" s="26">
        <v>1028</v>
      </c>
      <c r="B985" s="27" t="s">
        <v>1912</v>
      </c>
      <c r="C985" s="27" t="s">
        <v>116</v>
      </c>
      <c r="D985" s="28">
        <v>7.0000000000000007E-2</v>
      </c>
      <c r="E985" s="29">
        <v>7.08</v>
      </c>
      <c r="F985" s="29">
        <v>2.35</v>
      </c>
      <c r="G985" s="30" t="s">
        <v>87</v>
      </c>
      <c r="H985" s="27" t="s">
        <v>3095</v>
      </c>
      <c r="I985" s="27" t="s">
        <v>49</v>
      </c>
      <c r="J985" s="27" t="s">
        <v>50</v>
      </c>
      <c r="K985" s="27" t="s">
        <v>51</v>
      </c>
      <c r="L985" s="31" t="s">
        <v>1913</v>
      </c>
      <c r="M985" s="32">
        <v>0.47</v>
      </c>
      <c r="N985" s="27" t="s">
        <v>33</v>
      </c>
      <c r="O985" s="27" t="s">
        <v>111</v>
      </c>
      <c r="P985" s="27" t="s">
        <v>112</v>
      </c>
      <c r="Q985" s="27" t="s">
        <v>1914</v>
      </c>
      <c r="R985" s="33">
        <v>11725</v>
      </c>
      <c r="S985" s="34">
        <v>42092</v>
      </c>
      <c r="T985" s="34">
        <v>42093</v>
      </c>
      <c r="U985" s="29">
        <v>30.49</v>
      </c>
      <c r="V985" s="26">
        <v>13</v>
      </c>
      <c r="W985" s="29">
        <v>93.82</v>
      </c>
      <c r="X985" s="26">
        <v>89006</v>
      </c>
      <c r="Y985" s="35">
        <v>5.73</v>
      </c>
      <c r="Z985" s="1" t="s">
        <v>3014</v>
      </c>
      <c r="AA985" s="36">
        <v>6.4428000000000001</v>
      </c>
      <c r="AB985" s="54">
        <v>49.724600000000002</v>
      </c>
      <c r="AC985" s="54">
        <v>3.3919538461538457</v>
      </c>
      <c r="AD985" s="36">
        <v>54.537199999999999</v>
      </c>
    </row>
    <row r="986" spans="1:30" s="37" customFormat="1" ht="15.75" customHeight="1" x14ac:dyDescent="0.2">
      <c r="A986" s="26">
        <v>3399</v>
      </c>
      <c r="B986" s="27" t="s">
        <v>1919</v>
      </c>
      <c r="C986" s="27" t="s">
        <v>3094</v>
      </c>
      <c r="D986" s="28">
        <v>0.08</v>
      </c>
      <c r="E986" s="29">
        <v>11.97</v>
      </c>
      <c r="F986" s="29">
        <v>5.81</v>
      </c>
      <c r="G986" s="30" t="s">
        <v>39</v>
      </c>
      <c r="H986" s="27" t="s">
        <v>3095</v>
      </c>
      <c r="I986" s="27" t="s">
        <v>49</v>
      </c>
      <c r="J986" s="27" t="s">
        <v>50</v>
      </c>
      <c r="K986" s="27" t="s">
        <v>43</v>
      </c>
      <c r="L986" s="31" t="s">
        <v>1812</v>
      </c>
      <c r="M986" s="32">
        <v>0.6</v>
      </c>
      <c r="N986" s="27" t="s">
        <v>33</v>
      </c>
      <c r="O986" s="27" t="s">
        <v>53</v>
      </c>
      <c r="P986" s="27" t="s">
        <v>103</v>
      </c>
      <c r="Q986" s="27" t="s">
        <v>1581</v>
      </c>
      <c r="R986" s="33">
        <v>60016</v>
      </c>
      <c r="S986" s="34">
        <v>42092</v>
      </c>
      <c r="T986" s="34">
        <v>42094</v>
      </c>
      <c r="U986" s="29">
        <v>-41.87</v>
      </c>
      <c r="V986" s="26">
        <v>5</v>
      </c>
      <c r="W986" s="29">
        <v>59.98</v>
      </c>
      <c r="X986" s="26">
        <v>87534</v>
      </c>
      <c r="Y986" s="35">
        <v>7.36</v>
      </c>
      <c r="Z986" s="1" t="s">
        <v>3012</v>
      </c>
      <c r="AA986" s="36">
        <v>4.7880000000000003</v>
      </c>
      <c r="AB986" s="54">
        <v>23.992000000000001</v>
      </c>
      <c r="AC986" s="54">
        <v>7.1975999999999987</v>
      </c>
      <c r="AD986" s="36">
        <v>91.251999999999995</v>
      </c>
    </row>
    <row r="987" spans="1:30" s="37" customFormat="1" ht="15.75" customHeight="1" x14ac:dyDescent="0.2">
      <c r="A987" s="26">
        <v>1237</v>
      </c>
      <c r="B987" s="27" t="s">
        <v>1916</v>
      </c>
      <c r="C987" s="27" t="s">
        <v>3094</v>
      </c>
      <c r="D987" s="28">
        <v>0.02</v>
      </c>
      <c r="E987" s="29">
        <v>7.38</v>
      </c>
      <c r="F987" s="29">
        <v>5.21</v>
      </c>
      <c r="G987" s="30" t="s">
        <v>39</v>
      </c>
      <c r="H987" s="27" t="s">
        <v>94</v>
      </c>
      <c r="I987" s="27" t="s">
        <v>29</v>
      </c>
      <c r="J987" s="27" t="s">
        <v>126</v>
      </c>
      <c r="K987" s="27" t="s">
        <v>73</v>
      </c>
      <c r="L987" s="31" t="s">
        <v>1917</v>
      </c>
      <c r="M987" s="32">
        <v>0.56000000000000005</v>
      </c>
      <c r="N987" s="27" t="s">
        <v>33</v>
      </c>
      <c r="O987" s="27" t="s">
        <v>53</v>
      </c>
      <c r="P987" s="27" t="s">
        <v>187</v>
      </c>
      <c r="Q987" s="27" t="s">
        <v>1918</v>
      </c>
      <c r="R987" s="33">
        <v>75007</v>
      </c>
      <c r="S987" s="34">
        <v>42092</v>
      </c>
      <c r="T987" s="34">
        <v>42093</v>
      </c>
      <c r="U987" s="29">
        <v>7.74</v>
      </c>
      <c r="V987" s="26">
        <v>3</v>
      </c>
      <c r="W987" s="29">
        <v>24.52</v>
      </c>
      <c r="X987" s="26">
        <v>86076</v>
      </c>
      <c r="Y987" s="35">
        <v>11.89</v>
      </c>
      <c r="Z987" s="1" t="s">
        <v>3012</v>
      </c>
      <c r="AA987" s="36">
        <v>0.44280000000000003</v>
      </c>
      <c r="AB987" s="54">
        <v>10.788799999999998</v>
      </c>
      <c r="AC987" s="54">
        <v>4.5770666666666671</v>
      </c>
      <c r="AD987" s="36">
        <v>11.1272</v>
      </c>
    </row>
    <row r="988" spans="1:30" s="37" customFormat="1" ht="15.75" customHeight="1" x14ac:dyDescent="0.2">
      <c r="A988" s="26">
        <v>84</v>
      </c>
      <c r="B988" s="27" t="s">
        <v>933</v>
      </c>
      <c r="C988" s="27" t="s">
        <v>38</v>
      </c>
      <c r="D988" s="28">
        <v>0.08</v>
      </c>
      <c r="E988" s="29">
        <v>896.99</v>
      </c>
      <c r="F988" s="29">
        <v>19.989999999999998</v>
      </c>
      <c r="G988" s="30" t="s">
        <v>39</v>
      </c>
      <c r="H988" s="27" t="s">
        <v>94</v>
      </c>
      <c r="I988" s="27" t="s">
        <v>49</v>
      </c>
      <c r="J988" s="27" t="s">
        <v>72</v>
      </c>
      <c r="K988" s="27" t="s">
        <v>73</v>
      </c>
      <c r="L988" s="31" t="s">
        <v>323</v>
      </c>
      <c r="M988" s="32">
        <v>0.38</v>
      </c>
      <c r="N988" s="27" t="s">
        <v>33</v>
      </c>
      <c r="O988" s="27" t="s">
        <v>111</v>
      </c>
      <c r="P988" s="27" t="s">
        <v>317</v>
      </c>
      <c r="Q988" s="27" t="s">
        <v>934</v>
      </c>
      <c r="R988" s="33">
        <v>45231</v>
      </c>
      <c r="S988" s="34">
        <v>42093</v>
      </c>
      <c r="T988" s="34">
        <v>42096</v>
      </c>
      <c r="U988" s="29">
        <v>7402.32</v>
      </c>
      <c r="V988" s="26">
        <v>13</v>
      </c>
      <c r="W988" s="29">
        <v>10728</v>
      </c>
      <c r="X988" s="26">
        <v>87366</v>
      </c>
      <c r="Y988" s="35">
        <v>6.4</v>
      </c>
      <c r="Z988" s="1" t="s">
        <v>3014</v>
      </c>
      <c r="AA988" s="36">
        <v>932.8696000000001</v>
      </c>
      <c r="AB988" s="54">
        <v>6651.36</v>
      </c>
      <c r="AC988" s="54">
        <v>313.58769230769235</v>
      </c>
      <c r="AD988" s="36">
        <v>2372.8204000000005</v>
      </c>
    </row>
    <row r="989" spans="1:30" s="37" customFormat="1" ht="15.75" customHeight="1" x14ac:dyDescent="0.2">
      <c r="A989" s="26">
        <v>1527</v>
      </c>
      <c r="B989" s="27" t="s">
        <v>338</v>
      </c>
      <c r="C989" s="27" t="s">
        <v>48</v>
      </c>
      <c r="D989" s="28">
        <v>0.03</v>
      </c>
      <c r="E989" s="29">
        <v>65.989999999999995</v>
      </c>
      <c r="F989" s="29">
        <v>5.26</v>
      </c>
      <c r="G989" s="30" t="s">
        <v>39</v>
      </c>
      <c r="H989" s="27" t="s">
        <v>71</v>
      </c>
      <c r="I989" s="27" t="s">
        <v>41</v>
      </c>
      <c r="J989" s="27" t="s">
        <v>135</v>
      </c>
      <c r="K989" s="27" t="s">
        <v>73</v>
      </c>
      <c r="L989" s="31" t="s">
        <v>1725</v>
      </c>
      <c r="M989" s="32">
        <v>0.56000000000000005</v>
      </c>
      <c r="N989" s="27" t="s">
        <v>33</v>
      </c>
      <c r="O989" s="27" t="s">
        <v>34</v>
      </c>
      <c r="P989" s="27" t="s">
        <v>164</v>
      </c>
      <c r="Q989" s="27" t="s">
        <v>340</v>
      </c>
      <c r="R989" s="33">
        <v>35601</v>
      </c>
      <c r="S989" s="34">
        <v>42093</v>
      </c>
      <c r="T989" s="34">
        <v>42103</v>
      </c>
      <c r="U989" s="29">
        <v>-52.247999999999998</v>
      </c>
      <c r="V989" s="26">
        <v>23</v>
      </c>
      <c r="W989" s="29">
        <v>1316.03</v>
      </c>
      <c r="X989" s="26">
        <v>86814</v>
      </c>
      <c r="Y989" s="35">
        <v>21.34</v>
      </c>
      <c r="Z989" s="1" t="s">
        <v>3011</v>
      </c>
      <c r="AA989" s="36">
        <v>45.533099999999997</v>
      </c>
      <c r="AB989" s="54">
        <v>579.05319999999995</v>
      </c>
      <c r="AC989" s="54">
        <v>32.042469565217395</v>
      </c>
      <c r="AD989" s="36">
        <v>1317.4848999999999</v>
      </c>
    </row>
    <row r="990" spans="1:30" s="37" customFormat="1" ht="15.75" customHeight="1" x14ac:dyDescent="0.2">
      <c r="A990" s="26">
        <v>271</v>
      </c>
      <c r="B990" s="27" t="s">
        <v>1930</v>
      </c>
      <c r="C990" s="27" t="s">
        <v>116</v>
      </c>
      <c r="D990" s="28">
        <v>0.1</v>
      </c>
      <c r="E990" s="29">
        <v>80.97</v>
      </c>
      <c r="F990" s="29">
        <v>30.06</v>
      </c>
      <c r="G990" s="30" t="s">
        <v>27</v>
      </c>
      <c r="H990" s="27" t="s">
        <v>3095</v>
      </c>
      <c r="I990" s="27" t="s">
        <v>41</v>
      </c>
      <c r="J990" s="27" t="s">
        <v>57</v>
      </c>
      <c r="K990" s="27" t="s">
        <v>31</v>
      </c>
      <c r="L990" s="31" t="s">
        <v>1152</v>
      </c>
      <c r="M990" s="32">
        <v>0.4</v>
      </c>
      <c r="N990" s="27" t="s">
        <v>33</v>
      </c>
      <c r="O990" s="27" t="s">
        <v>34</v>
      </c>
      <c r="P990" s="27" t="s">
        <v>75</v>
      </c>
      <c r="Q990" s="27" t="s">
        <v>1759</v>
      </c>
      <c r="R990" s="33">
        <v>30297</v>
      </c>
      <c r="S990" s="34">
        <v>42093</v>
      </c>
      <c r="T990" s="34">
        <v>42094</v>
      </c>
      <c r="U990" s="29">
        <v>128.02529999999999</v>
      </c>
      <c r="V990" s="26">
        <v>12</v>
      </c>
      <c r="W990" s="29">
        <v>899.81</v>
      </c>
      <c r="X990" s="26">
        <v>88940</v>
      </c>
      <c r="Y990" s="35">
        <v>11.33</v>
      </c>
      <c r="Z990" s="1" t="s">
        <v>3011</v>
      </c>
      <c r="AA990" s="36">
        <v>97.163999999999987</v>
      </c>
      <c r="AB990" s="54">
        <v>539.88599999999997</v>
      </c>
      <c r="AC990" s="54">
        <v>29.99366666666667</v>
      </c>
      <c r="AD990" s="36">
        <v>644.5607</v>
      </c>
    </row>
    <row r="991" spans="1:30" s="37" customFormat="1" ht="15.75" customHeight="1" x14ac:dyDescent="0.2">
      <c r="A991" s="26">
        <v>1840</v>
      </c>
      <c r="B991" s="27" t="s">
        <v>1935</v>
      </c>
      <c r="C991" s="27" t="s">
        <v>3094</v>
      </c>
      <c r="D991" s="28">
        <v>7.0000000000000007E-2</v>
      </c>
      <c r="E991" s="29">
        <v>40.98</v>
      </c>
      <c r="F991" s="29">
        <v>2.99</v>
      </c>
      <c r="G991" s="30" t="s">
        <v>39</v>
      </c>
      <c r="H991" s="27" t="s">
        <v>71</v>
      </c>
      <c r="I991" s="27" t="s">
        <v>49</v>
      </c>
      <c r="J991" s="27" t="s">
        <v>72</v>
      </c>
      <c r="K991" s="27" t="s">
        <v>73</v>
      </c>
      <c r="L991" s="31" t="s">
        <v>83</v>
      </c>
      <c r="M991" s="32">
        <v>0.36</v>
      </c>
      <c r="N991" s="27" t="s">
        <v>33</v>
      </c>
      <c r="O991" s="27" t="s">
        <v>111</v>
      </c>
      <c r="P991" s="27" t="s">
        <v>403</v>
      </c>
      <c r="Q991" s="27" t="s">
        <v>1936</v>
      </c>
      <c r="R991" s="33">
        <v>1469</v>
      </c>
      <c r="S991" s="34">
        <v>42093</v>
      </c>
      <c r="T991" s="34">
        <v>42095</v>
      </c>
      <c r="U991" s="29">
        <v>369.20519999999999</v>
      </c>
      <c r="V991" s="26">
        <v>13</v>
      </c>
      <c r="W991" s="29">
        <v>535.08000000000004</v>
      </c>
      <c r="X991" s="26">
        <v>86599</v>
      </c>
      <c r="Y991" s="35">
        <v>896.91</v>
      </c>
      <c r="Z991" s="1" t="s">
        <v>3014</v>
      </c>
      <c r="AA991" s="36">
        <v>37.291800000000002</v>
      </c>
      <c r="AB991" s="54">
        <v>342.45120000000003</v>
      </c>
      <c r="AC991" s="54">
        <v>14.817600000000001</v>
      </c>
      <c r="AD991" s="36">
        <v>125.59300000000002</v>
      </c>
    </row>
    <row r="992" spans="1:30" s="37" customFormat="1" ht="15.75" customHeight="1" x14ac:dyDescent="0.2">
      <c r="A992" s="26">
        <v>3154</v>
      </c>
      <c r="B992" s="27" t="s">
        <v>781</v>
      </c>
      <c r="C992" s="27" t="s">
        <v>26</v>
      </c>
      <c r="D992" s="28">
        <v>0.04</v>
      </c>
      <c r="E992" s="29">
        <v>21.38</v>
      </c>
      <c r="F992" s="29">
        <v>8.99</v>
      </c>
      <c r="G992" s="30" t="s">
        <v>39</v>
      </c>
      <c r="H992" s="27" t="s">
        <v>94</v>
      </c>
      <c r="I992" s="27" t="s">
        <v>49</v>
      </c>
      <c r="J992" s="27" t="s">
        <v>50</v>
      </c>
      <c r="K992" s="27" t="s">
        <v>43</v>
      </c>
      <c r="L992" s="31" t="s">
        <v>1677</v>
      </c>
      <c r="M992" s="32">
        <v>0.59</v>
      </c>
      <c r="N992" s="27" t="s">
        <v>33</v>
      </c>
      <c r="O992" s="27" t="s">
        <v>34</v>
      </c>
      <c r="P992" s="27" t="s">
        <v>123</v>
      </c>
      <c r="Q992" s="27" t="s">
        <v>783</v>
      </c>
      <c r="R992" s="33">
        <v>33710</v>
      </c>
      <c r="S992" s="34">
        <v>42093</v>
      </c>
      <c r="T992" s="34">
        <v>42093</v>
      </c>
      <c r="U992" s="29">
        <v>-51.66</v>
      </c>
      <c r="V992" s="26">
        <v>21</v>
      </c>
      <c r="W992" s="29">
        <v>443.66</v>
      </c>
      <c r="X992" s="26">
        <v>86901</v>
      </c>
      <c r="Y992" s="35">
        <v>65.959999999999994</v>
      </c>
      <c r="Z992" s="1" t="s">
        <v>3011</v>
      </c>
      <c r="AA992" s="36">
        <v>17.959199999999999</v>
      </c>
      <c r="AB992" s="54">
        <v>181.90060000000003</v>
      </c>
      <c r="AC992" s="54">
        <v>12.464733333333333</v>
      </c>
      <c r="AD992" s="36">
        <v>468.37080000000003</v>
      </c>
    </row>
    <row r="993" spans="1:30" s="37" customFormat="1" ht="15.75" customHeight="1" x14ac:dyDescent="0.2">
      <c r="A993" s="26">
        <v>3206</v>
      </c>
      <c r="B993" s="27" t="s">
        <v>1926</v>
      </c>
      <c r="C993" s="27" t="s">
        <v>48</v>
      </c>
      <c r="D993" s="28">
        <v>0.01</v>
      </c>
      <c r="E993" s="29">
        <v>39.979999999999997</v>
      </c>
      <c r="F993" s="29">
        <v>4</v>
      </c>
      <c r="G993" s="30" t="s">
        <v>39</v>
      </c>
      <c r="H993" s="27" t="s">
        <v>40</v>
      </c>
      <c r="I993" s="27" t="s">
        <v>41</v>
      </c>
      <c r="J993" s="27" t="s">
        <v>42</v>
      </c>
      <c r="K993" s="27" t="s">
        <v>73</v>
      </c>
      <c r="L993" s="31" t="s">
        <v>1927</v>
      </c>
      <c r="M993" s="32">
        <v>0.7</v>
      </c>
      <c r="N993" s="27" t="s">
        <v>33</v>
      </c>
      <c r="O993" s="27" t="s">
        <v>60</v>
      </c>
      <c r="P993" s="27" t="s">
        <v>490</v>
      </c>
      <c r="Q993" s="27" t="s">
        <v>1928</v>
      </c>
      <c r="R993" s="33">
        <v>83301</v>
      </c>
      <c r="S993" s="34">
        <v>42093</v>
      </c>
      <c r="T993" s="34">
        <v>42098</v>
      </c>
      <c r="U993" s="29">
        <v>51.59</v>
      </c>
      <c r="V993" s="26">
        <v>6</v>
      </c>
      <c r="W993" s="29">
        <v>257.52</v>
      </c>
      <c r="X993" s="26">
        <v>87933</v>
      </c>
      <c r="Y993" s="35">
        <v>5.91</v>
      </c>
      <c r="Z993" s="1" t="s">
        <v>3013</v>
      </c>
      <c r="AA993" s="36">
        <v>2.3988</v>
      </c>
      <c r="AB993" s="54">
        <v>77.256</v>
      </c>
      <c r="AC993" s="54">
        <v>30.043999999999993</v>
      </c>
      <c r="AD993" s="36">
        <v>199.53119999999998</v>
      </c>
    </row>
    <row r="994" spans="1:30" s="37" customFormat="1" ht="15.75" customHeight="1" x14ac:dyDescent="0.2">
      <c r="A994" s="26">
        <v>1314</v>
      </c>
      <c r="B994" s="27" t="s">
        <v>223</v>
      </c>
      <c r="C994" s="27" t="s">
        <v>116</v>
      </c>
      <c r="D994" s="28">
        <v>0.04</v>
      </c>
      <c r="E994" s="29">
        <v>5.34</v>
      </c>
      <c r="F994" s="29">
        <v>2.99</v>
      </c>
      <c r="G994" s="30" t="s">
        <v>39</v>
      </c>
      <c r="H994" s="27" t="s">
        <v>71</v>
      </c>
      <c r="I994" s="27" t="s">
        <v>49</v>
      </c>
      <c r="J994" s="27" t="s">
        <v>72</v>
      </c>
      <c r="K994" s="27" t="s">
        <v>73</v>
      </c>
      <c r="L994" s="31" t="s">
        <v>1378</v>
      </c>
      <c r="M994" s="32">
        <v>0.38</v>
      </c>
      <c r="N994" s="27" t="s">
        <v>33</v>
      </c>
      <c r="O994" s="27" t="s">
        <v>60</v>
      </c>
      <c r="P994" s="27" t="s">
        <v>90</v>
      </c>
      <c r="Q994" s="27" t="s">
        <v>100</v>
      </c>
      <c r="R994" s="33">
        <v>90058</v>
      </c>
      <c r="S994" s="34">
        <v>42093</v>
      </c>
      <c r="T994" s="34">
        <v>42095</v>
      </c>
      <c r="U994" s="29">
        <v>3.4510000000000001</v>
      </c>
      <c r="V994" s="26">
        <v>45</v>
      </c>
      <c r="W994" s="29">
        <v>240.6</v>
      </c>
      <c r="X994" s="26">
        <v>22755</v>
      </c>
      <c r="Y994" s="35">
        <v>39.97</v>
      </c>
      <c r="Z994" s="1" t="s">
        <v>3013</v>
      </c>
      <c r="AA994" s="36">
        <v>9.6120000000000001</v>
      </c>
      <c r="AB994" s="54">
        <v>149.172</v>
      </c>
      <c r="AC994" s="54">
        <v>2.0317333333333334</v>
      </c>
      <c r="AD994" s="36">
        <v>224.547</v>
      </c>
    </row>
    <row r="995" spans="1:30" s="37" customFormat="1" ht="15.75" customHeight="1" x14ac:dyDescent="0.2">
      <c r="A995" s="26">
        <v>1314</v>
      </c>
      <c r="B995" s="27" t="s">
        <v>223</v>
      </c>
      <c r="C995" s="27" t="s">
        <v>116</v>
      </c>
      <c r="D995" s="28">
        <v>0.06</v>
      </c>
      <c r="E995" s="29">
        <v>55.99</v>
      </c>
      <c r="F995" s="29">
        <v>5</v>
      </c>
      <c r="G995" s="30" t="s">
        <v>39</v>
      </c>
      <c r="H995" s="27" t="s">
        <v>71</v>
      </c>
      <c r="I995" s="27" t="s">
        <v>41</v>
      </c>
      <c r="J995" s="27" t="s">
        <v>135</v>
      </c>
      <c r="K995" s="27" t="s">
        <v>43</v>
      </c>
      <c r="L995" s="31" t="s">
        <v>1931</v>
      </c>
      <c r="M995" s="32">
        <v>0.8</v>
      </c>
      <c r="N995" s="27" t="s">
        <v>33</v>
      </c>
      <c r="O995" s="27" t="s">
        <v>60</v>
      </c>
      <c r="P995" s="27" t="s">
        <v>90</v>
      </c>
      <c r="Q995" s="27" t="s">
        <v>100</v>
      </c>
      <c r="R995" s="33">
        <v>90058</v>
      </c>
      <c r="S995" s="34">
        <v>42093</v>
      </c>
      <c r="T995" s="34">
        <v>42095</v>
      </c>
      <c r="U995" s="29">
        <v>-275.25299999999999</v>
      </c>
      <c r="V995" s="26">
        <v>5</v>
      </c>
      <c r="W995" s="29">
        <v>236.88</v>
      </c>
      <c r="X995" s="26">
        <v>22755</v>
      </c>
      <c r="Y995" s="35">
        <v>6.47</v>
      </c>
      <c r="Z995" s="1" t="s">
        <v>3013</v>
      </c>
      <c r="AA995" s="36">
        <v>16.797000000000001</v>
      </c>
      <c r="AB995" s="54">
        <v>47.375999999999991</v>
      </c>
      <c r="AC995" s="54">
        <v>37.900799999999997</v>
      </c>
      <c r="AD995" s="36">
        <v>490.33600000000001</v>
      </c>
    </row>
    <row r="996" spans="1:30" s="37" customFormat="1" ht="15.75" customHeight="1" x14ac:dyDescent="0.2">
      <c r="A996" s="26">
        <v>193</v>
      </c>
      <c r="B996" s="27" t="s">
        <v>179</v>
      </c>
      <c r="C996" s="27" t="s">
        <v>116</v>
      </c>
      <c r="D996" s="28">
        <v>7.0000000000000007E-2</v>
      </c>
      <c r="E996" s="29">
        <v>6.54</v>
      </c>
      <c r="F996" s="29">
        <v>5.27</v>
      </c>
      <c r="G996" s="30" t="s">
        <v>39</v>
      </c>
      <c r="H996" s="27" t="s">
        <v>94</v>
      </c>
      <c r="I996" s="27" t="s">
        <v>49</v>
      </c>
      <c r="J996" s="27" t="s">
        <v>72</v>
      </c>
      <c r="K996" s="27" t="s">
        <v>73</v>
      </c>
      <c r="L996" s="31" t="s">
        <v>1929</v>
      </c>
      <c r="M996" s="32">
        <v>0.36</v>
      </c>
      <c r="N996" s="27" t="s">
        <v>33</v>
      </c>
      <c r="O996" s="27" t="s">
        <v>60</v>
      </c>
      <c r="P996" s="27" t="s">
        <v>146</v>
      </c>
      <c r="Q996" s="27" t="s">
        <v>181</v>
      </c>
      <c r="R996" s="33">
        <v>84041</v>
      </c>
      <c r="S996" s="34">
        <v>42093</v>
      </c>
      <c r="T996" s="34">
        <v>42095</v>
      </c>
      <c r="U996" s="29">
        <v>-66.044499999999999</v>
      </c>
      <c r="V996" s="26">
        <v>21</v>
      </c>
      <c r="W996" s="29">
        <v>140.30000000000001</v>
      </c>
      <c r="X996" s="26">
        <v>90432</v>
      </c>
      <c r="Y996" s="35">
        <v>3.2</v>
      </c>
      <c r="Z996" s="1" t="s">
        <v>3013</v>
      </c>
      <c r="AA996" s="36">
        <v>9.6138000000000012</v>
      </c>
      <c r="AB996" s="54">
        <v>89.792000000000016</v>
      </c>
      <c r="AC996" s="54">
        <v>2.4051428571428572</v>
      </c>
      <c r="AD996" s="36">
        <v>191.46070000000003</v>
      </c>
    </row>
    <row r="997" spans="1:30" s="37" customFormat="1" ht="15.75" customHeight="1" x14ac:dyDescent="0.2">
      <c r="A997" s="26">
        <v>2351</v>
      </c>
      <c r="B997" s="27" t="s">
        <v>1920</v>
      </c>
      <c r="C997" s="27" t="s">
        <v>26</v>
      </c>
      <c r="D997" s="28">
        <v>0.08</v>
      </c>
      <c r="E997" s="29">
        <v>6.48</v>
      </c>
      <c r="F997" s="29">
        <v>7.49</v>
      </c>
      <c r="G997" s="30" t="s">
        <v>39</v>
      </c>
      <c r="H997" s="27" t="s">
        <v>94</v>
      </c>
      <c r="I997" s="27" t="s">
        <v>49</v>
      </c>
      <c r="J997" s="27" t="s">
        <v>88</v>
      </c>
      <c r="K997" s="27" t="s">
        <v>73</v>
      </c>
      <c r="L997" s="31" t="s">
        <v>1921</v>
      </c>
      <c r="M997" s="32">
        <v>0.37</v>
      </c>
      <c r="N997" s="27" t="s">
        <v>33</v>
      </c>
      <c r="O997" s="27" t="s">
        <v>111</v>
      </c>
      <c r="P997" s="27" t="s">
        <v>418</v>
      </c>
      <c r="Q997" s="27" t="s">
        <v>1922</v>
      </c>
      <c r="R997" s="33">
        <v>21114</v>
      </c>
      <c r="S997" s="34">
        <v>42093</v>
      </c>
      <c r="T997" s="34">
        <v>42096</v>
      </c>
      <c r="U997" s="29">
        <v>-119.32</v>
      </c>
      <c r="V997" s="26">
        <v>13</v>
      </c>
      <c r="W997" s="29">
        <v>80.86</v>
      </c>
      <c r="X997" s="26">
        <v>86163</v>
      </c>
      <c r="Y997" s="35">
        <v>80.87</v>
      </c>
      <c r="Z997" s="1" t="s">
        <v>3014</v>
      </c>
      <c r="AA997" s="36">
        <v>6.7392000000000012</v>
      </c>
      <c r="AB997" s="54">
        <v>50.941800000000001</v>
      </c>
      <c r="AC997" s="54">
        <v>2.3013999999999997</v>
      </c>
      <c r="AD997" s="36">
        <v>185.95080000000002</v>
      </c>
    </row>
    <row r="998" spans="1:30" s="37" customFormat="1" ht="15.75" customHeight="1" x14ac:dyDescent="0.2">
      <c r="A998" s="26">
        <v>194</v>
      </c>
      <c r="B998" s="27" t="s">
        <v>393</v>
      </c>
      <c r="C998" s="27" t="s">
        <v>116</v>
      </c>
      <c r="D998" s="28">
        <v>0.09</v>
      </c>
      <c r="E998" s="29">
        <v>3.29</v>
      </c>
      <c r="F998" s="29">
        <v>1.35</v>
      </c>
      <c r="G998" s="30" t="s">
        <v>39</v>
      </c>
      <c r="H998" s="27" t="s">
        <v>94</v>
      </c>
      <c r="I998" s="27" t="s">
        <v>49</v>
      </c>
      <c r="J998" s="27" t="s">
        <v>176</v>
      </c>
      <c r="K998" s="27" t="s">
        <v>51</v>
      </c>
      <c r="L998" s="31" t="s">
        <v>1668</v>
      </c>
      <c r="M998" s="32">
        <v>0.4</v>
      </c>
      <c r="N998" s="27" t="s">
        <v>33</v>
      </c>
      <c r="O998" s="27" t="s">
        <v>60</v>
      </c>
      <c r="P998" s="27" t="s">
        <v>146</v>
      </c>
      <c r="Q998" s="27" t="s">
        <v>395</v>
      </c>
      <c r="R998" s="33">
        <v>84043</v>
      </c>
      <c r="S998" s="34">
        <v>42093</v>
      </c>
      <c r="T998" s="34">
        <v>42095</v>
      </c>
      <c r="U998" s="29">
        <v>15.66</v>
      </c>
      <c r="V998" s="26">
        <v>23</v>
      </c>
      <c r="W998" s="29">
        <v>71.55</v>
      </c>
      <c r="X998" s="26">
        <v>90432</v>
      </c>
      <c r="Y998" s="35">
        <v>5.3</v>
      </c>
      <c r="Z998" s="1" t="s">
        <v>3013</v>
      </c>
      <c r="AA998" s="36">
        <v>6.8102999999999998</v>
      </c>
      <c r="AB998" s="54">
        <v>42.93</v>
      </c>
      <c r="AC998" s="54">
        <v>1.2443478260869565</v>
      </c>
      <c r="AD998" s="36">
        <v>47.729699999999994</v>
      </c>
    </row>
    <row r="999" spans="1:30" s="37" customFormat="1" ht="15.75" customHeight="1" x14ac:dyDescent="0.2">
      <c r="A999" s="26">
        <v>1316</v>
      </c>
      <c r="B999" s="27" t="s">
        <v>226</v>
      </c>
      <c r="C999" s="27" t="s">
        <v>116</v>
      </c>
      <c r="D999" s="28">
        <v>0.04</v>
      </c>
      <c r="E999" s="29">
        <v>5.34</v>
      </c>
      <c r="F999" s="29">
        <v>2.99</v>
      </c>
      <c r="G999" s="30" t="s">
        <v>39</v>
      </c>
      <c r="H999" s="27" t="s">
        <v>71</v>
      </c>
      <c r="I999" s="27" t="s">
        <v>49</v>
      </c>
      <c r="J999" s="27" t="s">
        <v>72</v>
      </c>
      <c r="K999" s="27" t="s">
        <v>73</v>
      </c>
      <c r="L999" s="31" t="s">
        <v>1378</v>
      </c>
      <c r="M999" s="32">
        <v>0.38</v>
      </c>
      <c r="N999" s="27" t="s">
        <v>33</v>
      </c>
      <c r="O999" s="27" t="s">
        <v>60</v>
      </c>
      <c r="P999" s="27" t="s">
        <v>61</v>
      </c>
      <c r="Q999" s="27" t="s">
        <v>227</v>
      </c>
      <c r="R999" s="33">
        <v>80022</v>
      </c>
      <c r="S999" s="34">
        <v>42093</v>
      </c>
      <c r="T999" s="34">
        <v>42095</v>
      </c>
      <c r="U999" s="29">
        <v>3.4510000000000001</v>
      </c>
      <c r="V999" s="26">
        <v>11</v>
      </c>
      <c r="W999" s="29">
        <v>58.81</v>
      </c>
      <c r="X999" s="26">
        <v>87602</v>
      </c>
      <c r="Y999" s="35">
        <v>55.93</v>
      </c>
      <c r="Z999" s="1" t="s">
        <v>3013</v>
      </c>
      <c r="AA999" s="36">
        <v>2.3496000000000001</v>
      </c>
      <c r="AB999" s="54">
        <v>36.462200000000003</v>
      </c>
      <c r="AC999" s="54">
        <v>2.0316181818181818</v>
      </c>
      <c r="AD999" s="36">
        <v>50.019400000000005</v>
      </c>
    </row>
    <row r="1000" spans="1:30" s="37" customFormat="1" ht="15.75" customHeight="1" x14ac:dyDescent="0.2">
      <c r="A1000" s="26">
        <v>3205</v>
      </c>
      <c r="B1000" s="27" t="s">
        <v>1925</v>
      </c>
      <c r="C1000" s="27" t="s">
        <v>48</v>
      </c>
      <c r="D1000" s="28">
        <v>7.0000000000000007E-2</v>
      </c>
      <c r="E1000" s="29">
        <v>5.98</v>
      </c>
      <c r="F1000" s="29">
        <v>0.96</v>
      </c>
      <c r="G1000" s="30" t="s">
        <v>39</v>
      </c>
      <c r="H1000" s="27" t="s">
        <v>40</v>
      </c>
      <c r="I1000" s="27" t="s">
        <v>49</v>
      </c>
      <c r="J1000" s="27" t="s">
        <v>50</v>
      </c>
      <c r="K1000" s="27" t="s">
        <v>51</v>
      </c>
      <c r="L1000" s="31" t="s">
        <v>1267</v>
      </c>
      <c r="M1000" s="32">
        <v>0.6</v>
      </c>
      <c r="N1000" s="27" t="s">
        <v>33</v>
      </c>
      <c r="O1000" s="27" t="s">
        <v>60</v>
      </c>
      <c r="P1000" s="27" t="s">
        <v>490</v>
      </c>
      <c r="Q1000" s="27" t="s">
        <v>494</v>
      </c>
      <c r="R1000" s="33">
        <v>83440</v>
      </c>
      <c r="S1000" s="34">
        <v>42093</v>
      </c>
      <c r="T1000" s="34">
        <v>42097</v>
      </c>
      <c r="U1000" s="29">
        <v>32.83</v>
      </c>
      <c r="V1000" s="26">
        <v>10</v>
      </c>
      <c r="W1000" s="29">
        <v>56.4</v>
      </c>
      <c r="X1000" s="26">
        <v>87933</v>
      </c>
      <c r="Y1000" s="35">
        <v>4.91</v>
      </c>
      <c r="Z1000" s="1" t="s">
        <v>3013</v>
      </c>
      <c r="AA1000" s="36">
        <v>4.1860000000000008</v>
      </c>
      <c r="AB1000" s="54">
        <v>22.560000000000002</v>
      </c>
      <c r="AC1000" s="54">
        <v>3.3839999999999999</v>
      </c>
      <c r="AD1000" s="36">
        <v>18.423999999999999</v>
      </c>
    </row>
    <row r="1001" spans="1:30" s="37" customFormat="1" ht="15.75" customHeight="1" x14ac:dyDescent="0.2">
      <c r="A1001" s="26">
        <v>1315</v>
      </c>
      <c r="B1001" s="27" t="s">
        <v>1932</v>
      </c>
      <c r="C1001" s="27" t="s">
        <v>116</v>
      </c>
      <c r="D1001" s="28">
        <v>0</v>
      </c>
      <c r="E1001" s="29">
        <v>4.91</v>
      </c>
      <c r="F1001" s="29">
        <v>5.68</v>
      </c>
      <c r="G1001" s="30" t="s">
        <v>39</v>
      </c>
      <c r="H1001" s="27" t="s">
        <v>71</v>
      </c>
      <c r="I1001" s="27" t="s">
        <v>49</v>
      </c>
      <c r="J1001" s="27" t="s">
        <v>72</v>
      </c>
      <c r="K1001" s="27" t="s">
        <v>73</v>
      </c>
      <c r="L1001" s="31" t="s">
        <v>1933</v>
      </c>
      <c r="M1001" s="32">
        <v>0.36</v>
      </c>
      <c r="N1001" s="27" t="s">
        <v>33</v>
      </c>
      <c r="O1001" s="27" t="s">
        <v>60</v>
      </c>
      <c r="P1001" s="27" t="s">
        <v>61</v>
      </c>
      <c r="Q1001" s="27" t="s">
        <v>1934</v>
      </c>
      <c r="R1001" s="33">
        <v>80906</v>
      </c>
      <c r="S1001" s="34">
        <v>42093</v>
      </c>
      <c r="T1001" s="34">
        <v>42094</v>
      </c>
      <c r="U1001" s="29">
        <v>-95.047499999999999</v>
      </c>
      <c r="V1001" s="26">
        <v>9</v>
      </c>
      <c r="W1001" s="29">
        <v>48.3</v>
      </c>
      <c r="X1001" s="26">
        <v>87602</v>
      </c>
      <c r="Y1001" s="35">
        <v>5.3</v>
      </c>
      <c r="Z1001" s="1" t="s">
        <v>3013</v>
      </c>
      <c r="AA1001" s="36">
        <v>0</v>
      </c>
      <c r="AB1001" s="54">
        <v>30.911999999999999</v>
      </c>
      <c r="AC1001" s="54">
        <v>1.9319999999999997</v>
      </c>
      <c r="AD1001" s="36">
        <v>137.66750000000002</v>
      </c>
    </row>
    <row r="1002" spans="1:30" s="37" customFormat="1" ht="15.75" customHeight="1" x14ac:dyDescent="0.2">
      <c r="A1002" s="26">
        <v>1316</v>
      </c>
      <c r="B1002" s="27" t="s">
        <v>226</v>
      </c>
      <c r="C1002" s="27" t="s">
        <v>116</v>
      </c>
      <c r="D1002" s="28">
        <v>0.06</v>
      </c>
      <c r="E1002" s="29">
        <v>55.99</v>
      </c>
      <c r="F1002" s="29">
        <v>5</v>
      </c>
      <c r="G1002" s="30" t="s">
        <v>39</v>
      </c>
      <c r="H1002" s="27" t="s">
        <v>71</v>
      </c>
      <c r="I1002" s="27" t="s">
        <v>41</v>
      </c>
      <c r="J1002" s="27" t="s">
        <v>135</v>
      </c>
      <c r="K1002" s="27" t="s">
        <v>43</v>
      </c>
      <c r="L1002" s="31" t="s">
        <v>1931</v>
      </c>
      <c r="M1002" s="32">
        <v>0.8</v>
      </c>
      <c r="N1002" s="27" t="s">
        <v>33</v>
      </c>
      <c r="O1002" s="27" t="s">
        <v>60</v>
      </c>
      <c r="P1002" s="27" t="s">
        <v>61</v>
      </c>
      <c r="Q1002" s="27" t="s">
        <v>227</v>
      </c>
      <c r="R1002" s="33">
        <v>80022</v>
      </c>
      <c r="S1002" s="34">
        <v>42093</v>
      </c>
      <c r="T1002" s="34">
        <v>42095</v>
      </c>
      <c r="U1002" s="29">
        <v>-275.25299999999999</v>
      </c>
      <c r="V1002" s="26">
        <v>1</v>
      </c>
      <c r="W1002" s="29">
        <v>47.38</v>
      </c>
      <c r="X1002" s="26">
        <v>87602</v>
      </c>
      <c r="Y1002" s="35">
        <v>55.93</v>
      </c>
      <c r="Z1002" s="1" t="s">
        <v>3013</v>
      </c>
      <c r="AA1002" s="36">
        <v>3.3593999999999999</v>
      </c>
      <c r="AB1002" s="54">
        <v>9.4759999999999991</v>
      </c>
      <c r="AC1002" s="54">
        <v>37.904000000000003</v>
      </c>
      <c r="AD1002" s="36">
        <v>314.27359999999999</v>
      </c>
    </row>
    <row r="1003" spans="1:30" s="37" customFormat="1" ht="15.75" customHeight="1" x14ac:dyDescent="0.2">
      <c r="A1003" s="26">
        <v>3252</v>
      </c>
      <c r="B1003" s="27" t="s">
        <v>1923</v>
      </c>
      <c r="C1003" s="27" t="s">
        <v>26</v>
      </c>
      <c r="D1003" s="28">
        <v>0.01</v>
      </c>
      <c r="E1003" s="29">
        <v>11.34</v>
      </c>
      <c r="F1003" s="29">
        <v>5.01</v>
      </c>
      <c r="G1003" s="30" t="s">
        <v>39</v>
      </c>
      <c r="H1003" s="27" t="s">
        <v>3095</v>
      </c>
      <c r="I1003" s="27" t="s">
        <v>49</v>
      </c>
      <c r="J1003" s="27" t="s">
        <v>88</v>
      </c>
      <c r="K1003" s="27" t="s">
        <v>73</v>
      </c>
      <c r="L1003" s="31" t="s">
        <v>415</v>
      </c>
      <c r="M1003" s="32">
        <v>0.36</v>
      </c>
      <c r="N1003" s="27" t="s">
        <v>33</v>
      </c>
      <c r="O1003" s="27" t="s">
        <v>111</v>
      </c>
      <c r="P1003" s="27" t="s">
        <v>112</v>
      </c>
      <c r="Q1003" s="27" t="s">
        <v>1924</v>
      </c>
      <c r="R1003" s="33">
        <v>12306</v>
      </c>
      <c r="S1003" s="34">
        <v>42093</v>
      </c>
      <c r="T1003" s="34">
        <v>42095</v>
      </c>
      <c r="U1003" s="29">
        <v>-11.83</v>
      </c>
      <c r="V1003" s="26">
        <v>1</v>
      </c>
      <c r="W1003" s="29">
        <v>14.52</v>
      </c>
      <c r="X1003" s="26">
        <v>87296</v>
      </c>
      <c r="Y1003" s="35">
        <v>40.909999999999997</v>
      </c>
      <c r="Z1003" s="1" t="s">
        <v>3014</v>
      </c>
      <c r="AA1003" s="36">
        <v>0.1134</v>
      </c>
      <c r="AB1003" s="54">
        <v>9.2927999999999997</v>
      </c>
      <c r="AC1003" s="54">
        <v>5.2271999999999998</v>
      </c>
      <c r="AD1003" s="36">
        <v>21.226599999999998</v>
      </c>
    </row>
    <row r="1004" spans="1:30" s="37" customFormat="1" ht="15.75" customHeight="1" x14ac:dyDescent="0.2">
      <c r="A1004" s="26">
        <v>1083</v>
      </c>
      <c r="B1004" s="27" t="s">
        <v>1937</v>
      </c>
      <c r="C1004" s="27" t="s">
        <v>3094</v>
      </c>
      <c r="D1004" s="28">
        <v>7.0000000000000007E-2</v>
      </c>
      <c r="E1004" s="29">
        <v>55.99</v>
      </c>
      <c r="F1004" s="29">
        <v>5</v>
      </c>
      <c r="G1004" s="30" t="s">
        <v>87</v>
      </c>
      <c r="H1004" s="27" t="s">
        <v>94</v>
      </c>
      <c r="I1004" s="27" t="s">
        <v>41</v>
      </c>
      <c r="J1004" s="27" t="s">
        <v>135</v>
      </c>
      <c r="K1004" s="27" t="s">
        <v>43</v>
      </c>
      <c r="L1004" s="31" t="s">
        <v>1938</v>
      </c>
      <c r="M1004" s="32">
        <v>0.83</v>
      </c>
      <c r="N1004" s="27" t="s">
        <v>33</v>
      </c>
      <c r="O1004" s="27" t="s">
        <v>53</v>
      </c>
      <c r="P1004" s="27" t="s">
        <v>103</v>
      </c>
      <c r="Q1004" s="27" t="s">
        <v>878</v>
      </c>
      <c r="R1004" s="33">
        <v>62701</v>
      </c>
      <c r="S1004" s="34">
        <v>42094</v>
      </c>
      <c r="T1004" s="34">
        <v>42096</v>
      </c>
      <c r="U1004" s="29">
        <v>-232.99100000000001</v>
      </c>
      <c r="V1004" s="26">
        <v>1</v>
      </c>
      <c r="W1004" s="29">
        <v>54.08</v>
      </c>
      <c r="X1004" s="26">
        <v>88460</v>
      </c>
      <c r="Y1004" s="35">
        <v>20.9</v>
      </c>
      <c r="Z1004" s="1" t="s">
        <v>3012</v>
      </c>
      <c r="AA1004" s="36">
        <v>3.9193000000000007</v>
      </c>
      <c r="AB1004" s="54">
        <v>9.1936000000000018</v>
      </c>
      <c r="AC1004" s="54">
        <v>44.886399999999995</v>
      </c>
      <c r="AD1004" s="36">
        <v>278.15170000000001</v>
      </c>
    </row>
    <row r="1005" spans="1:30" s="37" customFormat="1" ht="15.75" customHeight="1" x14ac:dyDescent="0.2">
      <c r="A1005" s="26">
        <v>2066</v>
      </c>
      <c r="B1005" s="27" t="s">
        <v>1872</v>
      </c>
      <c r="C1005" s="27" t="s">
        <v>26</v>
      </c>
      <c r="D1005" s="28">
        <v>0.09</v>
      </c>
      <c r="E1005" s="29">
        <v>20.99</v>
      </c>
      <c r="F1005" s="29">
        <v>4.8099999999999996</v>
      </c>
      <c r="G1005" s="30" t="s">
        <v>87</v>
      </c>
      <c r="H1005" s="27" t="s">
        <v>71</v>
      </c>
      <c r="I1005" s="27" t="s">
        <v>41</v>
      </c>
      <c r="J1005" s="27" t="s">
        <v>135</v>
      </c>
      <c r="K1005" s="27" t="s">
        <v>144</v>
      </c>
      <c r="L1005" s="31" t="s">
        <v>1431</v>
      </c>
      <c r="M1005" s="32">
        <v>0.57999999999999996</v>
      </c>
      <c r="N1005" s="27" t="s">
        <v>33</v>
      </c>
      <c r="O1005" s="27" t="s">
        <v>34</v>
      </c>
      <c r="P1005" s="27" t="s">
        <v>97</v>
      </c>
      <c r="Q1005" s="27" t="s">
        <v>1874</v>
      </c>
      <c r="R1005" s="33">
        <v>28079</v>
      </c>
      <c r="S1005" s="34">
        <v>42094</v>
      </c>
      <c r="T1005" s="34">
        <v>42095</v>
      </c>
      <c r="U1005" s="29">
        <v>272.69400000000002</v>
      </c>
      <c r="V1005" s="26">
        <v>2</v>
      </c>
      <c r="W1005" s="29">
        <v>38.979999999999997</v>
      </c>
      <c r="X1005" s="26">
        <v>85834</v>
      </c>
      <c r="Y1005" s="35">
        <v>1.6199999999999999</v>
      </c>
      <c r="Z1005" s="1" t="s">
        <v>3011</v>
      </c>
      <c r="AA1005" s="36">
        <v>3.7781999999999996</v>
      </c>
      <c r="AB1005" s="54">
        <v>16.371600000000001</v>
      </c>
      <c r="AC1005" s="54">
        <v>11.304199999999998</v>
      </c>
      <c r="AD1005" s="36">
        <v>-242.30220000000006</v>
      </c>
    </row>
    <row r="1006" spans="1:30" s="37" customFormat="1" ht="15.75" customHeight="1" x14ac:dyDescent="0.2">
      <c r="A1006" s="26">
        <v>3177</v>
      </c>
      <c r="B1006" s="27" t="s">
        <v>1642</v>
      </c>
      <c r="C1006" s="27" t="s">
        <v>26</v>
      </c>
      <c r="D1006" s="28">
        <v>0.06</v>
      </c>
      <c r="E1006" s="29">
        <v>1.68</v>
      </c>
      <c r="F1006" s="29">
        <v>1</v>
      </c>
      <c r="G1006" s="30" t="s">
        <v>39</v>
      </c>
      <c r="H1006" s="27" t="s">
        <v>40</v>
      </c>
      <c r="I1006" s="27" t="s">
        <v>49</v>
      </c>
      <c r="J1006" s="27" t="s">
        <v>50</v>
      </c>
      <c r="K1006" s="27" t="s">
        <v>51</v>
      </c>
      <c r="L1006" s="31" t="s">
        <v>420</v>
      </c>
      <c r="M1006" s="32">
        <v>0.35</v>
      </c>
      <c r="N1006" s="27" t="s">
        <v>33</v>
      </c>
      <c r="O1006" s="27" t="s">
        <v>34</v>
      </c>
      <c r="P1006" s="27" t="s">
        <v>123</v>
      </c>
      <c r="Q1006" s="27" t="s">
        <v>1643</v>
      </c>
      <c r="R1006" s="33">
        <v>33458</v>
      </c>
      <c r="S1006" s="34">
        <v>42094</v>
      </c>
      <c r="T1006" s="34">
        <v>42096</v>
      </c>
      <c r="U1006" s="29">
        <v>-1319.5</v>
      </c>
      <c r="V1006" s="26">
        <v>5</v>
      </c>
      <c r="W1006" s="29">
        <v>8.65</v>
      </c>
      <c r="X1006" s="26">
        <v>90819</v>
      </c>
      <c r="Y1006" s="35">
        <v>55.92</v>
      </c>
      <c r="Z1006" s="1" t="s">
        <v>3011</v>
      </c>
      <c r="AA1006" s="36">
        <v>0.50399999999999989</v>
      </c>
      <c r="AB1006" s="54">
        <v>5.6225000000000005</v>
      </c>
      <c r="AC1006" s="54">
        <v>0.60549999999999993</v>
      </c>
      <c r="AD1006" s="36">
        <v>1326.6460000000002</v>
      </c>
    </row>
    <row r="1007" spans="1:30" s="37" customFormat="1" ht="15.75" customHeight="1" x14ac:dyDescent="0.2">
      <c r="A1007" s="26">
        <v>2859</v>
      </c>
      <c r="B1007" s="27" t="s">
        <v>1955</v>
      </c>
      <c r="C1007" s="27" t="s">
        <v>3094</v>
      </c>
      <c r="D1007" s="28">
        <v>0.03</v>
      </c>
      <c r="E1007" s="29">
        <v>142.86000000000001</v>
      </c>
      <c r="F1007" s="29">
        <v>19.989999999999998</v>
      </c>
      <c r="G1007" s="30" t="s">
        <v>39</v>
      </c>
      <c r="H1007" s="27" t="s">
        <v>94</v>
      </c>
      <c r="I1007" s="27" t="s">
        <v>49</v>
      </c>
      <c r="J1007" s="27" t="s">
        <v>78</v>
      </c>
      <c r="K1007" s="27" t="s">
        <v>73</v>
      </c>
      <c r="L1007" s="31" t="s">
        <v>1956</v>
      </c>
      <c r="M1007" s="32">
        <v>0.56000000000000005</v>
      </c>
      <c r="N1007" s="27" t="s">
        <v>33</v>
      </c>
      <c r="O1007" s="27" t="s">
        <v>34</v>
      </c>
      <c r="P1007" s="27" t="s">
        <v>123</v>
      </c>
      <c r="Q1007" s="27" t="s">
        <v>1957</v>
      </c>
      <c r="R1007" s="33">
        <v>32601</v>
      </c>
      <c r="S1007" s="34">
        <v>42095</v>
      </c>
      <c r="T1007" s="34">
        <v>42097</v>
      </c>
      <c r="U1007" s="29">
        <v>-8.3880999999999997</v>
      </c>
      <c r="V1007" s="26">
        <v>23</v>
      </c>
      <c r="W1007" s="29">
        <v>3292.02</v>
      </c>
      <c r="X1007" s="26">
        <v>88281</v>
      </c>
      <c r="Y1007" s="35">
        <v>60.919999999999995</v>
      </c>
      <c r="Z1007" s="1" t="s">
        <v>3011</v>
      </c>
      <c r="AA1007" s="36">
        <v>98.573400000000007</v>
      </c>
      <c r="AB1007" s="54">
        <v>1448.4887999999999</v>
      </c>
      <c r="AC1007" s="54">
        <v>80.15353043478261</v>
      </c>
      <c r="AD1007" s="36">
        <v>3181.8447000000001</v>
      </c>
    </row>
    <row r="1008" spans="1:30" s="37" customFormat="1" ht="15.75" customHeight="1" x14ac:dyDescent="0.2">
      <c r="A1008" s="26">
        <v>568</v>
      </c>
      <c r="B1008" s="27" t="s">
        <v>1482</v>
      </c>
      <c r="C1008" s="27" t="s">
        <v>116</v>
      </c>
      <c r="D1008" s="28">
        <v>0.08</v>
      </c>
      <c r="E1008" s="29">
        <v>67.28</v>
      </c>
      <c r="F1008" s="29">
        <v>19.989999999999998</v>
      </c>
      <c r="G1008" s="30" t="s">
        <v>87</v>
      </c>
      <c r="H1008" s="27" t="s">
        <v>40</v>
      </c>
      <c r="I1008" s="27" t="s">
        <v>49</v>
      </c>
      <c r="J1008" s="27" t="s">
        <v>72</v>
      </c>
      <c r="K1008" s="27" t="s">
        <v>73</v>
      </c>
      <c r="L1008" s="31" t="s">
        <v>1951</v>
      </c>
      <c r="M1008" s="32">
        <v>0.4</v>
      </c>
      <c r="N1008" s="27" t="s">
        <v>33</v>
      </c>
      <c r="O1008" s="27" t="s">
        <v>34</v>
      </c>
      <c r="P1008" s="27" t="s">
        <v>35</v>
      </c>
      <c r="Q1008" s="27" t="s">
        <v>1483</v>
      </c>
      <c r="R1008" s="33">
        <v>39701</v>
      </c>
      <c r="S1008" s="34">
        <v>42095</v>
      </c>
      <c r="T1008" s="34">
        <v>42097</v>
      </c>
      <c r="U1008" s="29">
        <v>224.85059999999999</v>
      </c>
      <c r="V1008" s="26">
        <v>16</v>
      </c>
      <c r="W1008" s="29">
        <v>1066.54</v>
      </c>
      <c r="X1008" s="26">
        <v>88882</v>
      </c>
      <c r="Y1008" s="35">
        <v>6.4300000000000006</v>
      </c>
      <c r="Z1008" s="1" t="s">
        <v>3011</v>
      </c>
      <c r="AA1008" s="36">
        <v>86.118400000000008</v>
      </c>
      <c r="AB1008" s="54">
        <v>639.92399999999998</v>
      </c>
      <c r="AC1008" s="54">
        <v>26.663499999999999</v>
      </c>
      <c r="AD1008" s="36">
        <v>735.5809999999999</v>
      </c>
    </row>
    <row r="1009" spans="1:30" s="37" customFormat="1" ht="15.75" customHeight="1" x14ac:dyDescent="0.2">
      <c r="A1009" s="26">
        <v>1849</v>
      </c>
      <c r="B1009" s="27" t="s">
        <v>1947</v>
      </c>
      <c r="C1009" s="27" t="s">
        <v>38</v>
      </c>
      <c r="D1009" s="28">
        <v>0.09</v>
      </c>
      <c r="E1009" s="29">
        <v>35.99</v>
      </c>
      <c r="F1009" s="29">
        <v>1.1000000000000001</v>
      </c>
      <c r="G1009" s="30" t="s">
        <v>39</v>
      </c>
      <c r="H1009" s="27" t="s">
        <v>40</v>
      </c>
      <c r="I1009" s="27" t="s">
        <v>41</v>
      </c>
      <c r="J1009" s="27" t="s">
        <v>135</v>
      </c>
      <c r="K1009" s="27" t="s">
        <v>73</v>
      </c>
      <c r="L1009" s="31" t="s">
        <v>274</v>
      </c>
      <c r="M1009" s="32">
        <v>0.55000000000000004</v>
      </c>
      <c r="N1009" s="27" t="s">
        <v>33</v>
      </c>
      <c r="O1009" s="27" t="s">
        <v>34</v>
      </c>
      <c r="P1009" s="27" t="s">
        <v>164</v>
      </c>
      <c r="Q1009" s="27" t="s">
        <v>1948</v>
      </c>
      <c r="R1009" s="33">
        <v>36330</v>
      </c>
      <c r="S1009" s="34">
        <v>42095</v>
      </c>
      <c r="T1009" s="34">
        <v>42097</v>
      </c>
      <c r="U1009" s="29">
        <v>19.350000000000001</v>
      </c>
      <c r="V1009" s="26">
        <v>8</v>
      </c>
      <c r="W1009" s="29">
        <v>222.71</v>
      </c>
      <c r="X1009" s="26">
        <v>89697</v>
      </c>
      <c r="Y1009" s="35">
        <v>55.940000000000005</v>
      </c>
      <c r="Z1009" s="1" t="s">
        <v>3011</v>
      </c>
      <c r="AA1009" s="36">
        <v>25.912800000000001</v>
      </c>
      <c r="AB1009" s="54">
        <v>100.2195</v>
      </c>
      <c r="AC1009" s="54">
        <v>15.311312500000001</v>
      </c>
      <c r="AD1009" s="36">
        <v>176.34719999999999</v>
      </c>
    </row>
    <row r="1010" spans="1:30" s="37" customFormat="1" ht="15.75" customHeight="1" x14ac:dyDescent="0.2">
      <c r="A1010" s="26">
        <v>1849</v>
      </c>
      <c r="B1010" s="27" t="s">
        <v>1947</v>
      </c>
      <c r="C1010" s="27" t="s">
        <v>38</v>
      </c>
      <c r="D1010" s="28">
        <v>0.01</v>
      </c>
      <c r="E1010" s="29">
        <v>125.99</v>
      </c>
      <c r="F1010" s="29">
        <v>2.5</v>
      </c>
      <c r="G1010" s="30" t="s">
        <v>39</v>
      </c>
      <c r="H1010" s="27" t="s">
        <v>40</v>
      </c>
      <c r="I1010" s="27" t="s">
        <v>41</v>
      </c>
      <c r="J1010" s="27" t="s">
        <v>135</v>
      </c>
      <c r="K1010" s="27" t="s">
        <v>73</v>
      </c>
      <c r="L1010" s="31" t="s">
        <v>948</v>
      </c>
      <c r="M1010" s="32">
        <v>0.6</v>
      </c>
      <c r="N1010" s="27" t="s">
        <v>33</v>
      </c>
      <c r="O1010" s="27" t="s">
        <v>34</v>
      </c>
      <c r="P1010" s="27" t="s">
        <v>164</v>
      </c>
      <c r="Q1010" s="27" t="s">
        <v>1948</v>
      </c>
      <c r="R1010" s="33">
        <v>36330</v>
      </c>
      <c r="S1010" s="34">
        <v>42095</v>
      </c>
      <c r="T1010" s="34">
        <v>42096</v>
      </c>
      <c r="U1010" s="29">
        <v>-967.83399999999995</v>
      </c>
      <c r="V1010" s="26">
        <v>2</v>
      </c>
      <c r="W1010" s="29">
        <v>220.52</v>
      </c>
      <c r="X1010" s="26">
        <v>89697</v>
      </c>
      <c r="Y1010" s="35">
        <v>35.9</v>
      </c>
      <c r="Z1010" s="1" t="s">
        <v>3011</v>
      </c>
      <c r="AA1010" s="36">
        <v>2.5198</v>
      </c>
      <c r="AB1010" s="54">
        <v>88.208000000000013</v>
      </c>
      <c r="AC1010" s="54">
        <v>66.156000000000006</v>
      </c>
      <c r="AD1010" s="36">
        <v>1183.3342</v>
      </c>
    </row>
    <row r="1011" spans="1:30" s="37" customFormat="1" ht="15.75" customHeight="1" x14ac:dyDescent="0.2">
      <c r="A1011" s="26">
        <v>623</v>
      </c>
      <c r="B1011" s="27" t="s">
        <v>1942</v>
      </c>
      <c r="C1011" s="27" t="s">
        <v>38</v>
      </c>
      <c r="D1011" s="28">
        <v>0.05</v>
      </c>
      <c r="E1011" s="29">
        <v>6.48</v>
      </c>
      <c r="F1011" s="29">
        <v>8.4</v>
      </c>
      <c r="G1011" s="30" t="s">
        <v>39</v>
      </c>
      <c r="H1011" s="27" t="s">
        <v>71</v>
      </c>
      <c r="I1011" s="27" t="s">
        <v>49</v>
      </c>
      <c r="J1011" s="27" t="s">
        <v>88</v>
      </c>
      <c r="K1011" s="27" t="s">
        <v>73</v>
      </c>
      <c r="L1011" s="31" t="s">
        <v>1943</v>
      </c>
      <c r="M1011" s="32">
        <v>0.37</v>
      </c>
      <c r="N1011" s="27" t="s">
        <v>33</v>
      </c>
      <c r="O1011" s="27" t="s">
        <v>111</v>
      </c>
      <c r="P1011" s="27" t="s">
        <v>1356</v>
      </c>
      <c r="Q1011" s="27" t="s">
        <v>1944</v>
      </c>
      <c r="R1011" s="33">
        <v>3101</v>
      </c>
      <c r="S1011" s="34">
        <v>42095</v>
      </c>
      <c r="T1011" s="34">
        <v>42097</v>
      </c>
      <c r="U1011" s="29">
        <v>-226.34639999999999</v>
      </c>
      <c r="V1011" s="26">
        <v>21</v>
      </c>
      <c r="W1011" s="29">
        <v>136.99</v>
      </c>
      <c r="X1011" s="26">
        <v>91433</v>
      </c>
      <c r="Y1011" s="35">
        <v>125.97999999999999</v>
      </c>
      <c r="Z1011" s="1" t="s">
        <v>3014</v>
      </c>
      <c r="AA1011" s="36">
        <v>6.8040000000000012</v>
      </c>
      <c r="AB1011" s="54">
        <v>86.303700000000006</v>
      </c>
      <c r="AC1011" s="54">
        <v>2.4136333333333333</v>
      </c>
      <c r="AD1011" s="36">
        <v>348.13239999999996</v>
      </c>
    </row>
    <row r="1012" spans="1:30" s="37" customFormat="1" ht="15.75" customHeight="1" x14ac:dyDescent="0.2">
      <c r="A1012" s="26">
        <v>3224</v>
      </c>
      <c r="B1012" s="27" t="s">
        <v>1939</v>
      </c>
      <c r="C1012" s="27" t="s">
        <v>26</v>
      </c>
      <c r="D1012" s="28">
        <v>0.06</v>
      </c>
      <c r="E1012" s="29">
        <v>60.98</v>
      </c>
      <c r="F1012" s="29">
        <v>30</v>
      </c>
      <c r="G1012" s="30" t="s">
        <v>27</v>
      </c>
      <c r="H1012" s="27" t="s">
        <v>3095</v>
      </c>
      <c r="I1012" s="27" t="s">
        <v>29</v>
      </c>
      <c r="J1012" s="27" t="s">
        <v>109</v>
      </c>
      <c r="K1012" s="27" t="s">
        <v>58</v>
      </c>
      <c r="L1012" s="31" t="s">
        <v>1940</v>
      </c>
      <c r="M1012" s="32">
        <v>0.7</v>
      </c>
      <c r="N1012" s="27" t="s">
        <v>33</v>
      </c>
      <c r="O1012" s="27" t="s">
        <v>34</v>
      </c>
      <c r="P1012" s="27" t="s">
        <v>400</v>
      </c>
      <c r="Q1012" s="27" t="s">
        <v>1941</v>
      </c>
      <c r="R1012" s="33">
        <v>37066</v>
      </c>
      <c r="S1012" s="34">
        <v>42095</v>
      </c>
      <c r="T1012" s="34">
        <v>42096</v>
      </c>
      <c r="U1012" s="29">
        <v>-74.087999999999994</v>
      </c>
      <c r="V1012" s="26">
        <v>2</v>
      </c>
      <c r="W1012" s="29">
        <v>125.9</v>
      </c>
      <c r="X1012" s="26">
        <v>86508</v>
      </c>
      <c r="Y1012" s="35">
        <v>5.12</v>
      </c>
      <c r="Z1012" s="1" t="s">
        <v>3011</v>
      </c>
      <c r="AA1012" s="36">
        <v>7.3175999999999997</v>
      </c>
      <c r="AB1012" s="54">
        <v>37.77000000000001</v>
      </c>
      <c r="AC1012" s="54">
        <v>44.064999999999998</v>
      </c>
      <c r="AD1012" s="36">
        <v>162.6704</v>
      </c>
    </row>
    <row r="1013" spans="1:30" s="37" customFormat="1" ht="15.75" customHeight="1" x14ac:dyDescent="0.2">
      <c r="A1013" s="26">
        <v>624</v>
      </c>
      <c r="B1013" s="27" t="s">
        <v>1945</v>
      </c>
      <c r="C1013" s="27" t="s">
        <v>38</v>
      </c>
      <c r="D1013" s="28">
        <v>0.05</v>
      </c>
      <c r="E1013" s="29">
        <v>55.99</v>
      </c>
      <c r="F1013" s="29">
        <v>5</v>
      </c>
      <c r="G1013" s="30" t="s">
        <v>39</v>
      </c>
      <c r="H1013" s="27" t="s">
        <v>71</v>
      </c>
      <c r="I1013" s="27" t="s">
        <v>41</v>
      </c>
      <c r="J1013" s="27" t="s">
        <v>135</v>
      </c>
      <c r="K1013" s="27" t="s">
        <v>43</v>
      </c>
      <c r="L1013" s="31" t="s">
        <v>1931</v>
      </c>
      <c r="M1013" s="32">
        <v>0.8</v>
      </c>
      <c r="N1013" s="27" t="s">
        <v>33</v>
      </c>
      <c r="O1013" s="27" t="s">
        <v>111</v>
      </c>
      <c r="P1013" s="27" t="s">
        <v>633</v>
      </c>
      <c r="Q1013" s="27" t="s">
        <v>1946</v>
      </c>
      <c r="R1013" s="33">
        <v>5701</v>
      </c>
      <c r="S1013" s="34">
        <v>42095</v>
      </c>
      <c r="T1013" s="34">
        <v>42095</v>
      </c>
      <c r="U1013" s="29">
        <v>-281.17583999999999</v>
      </c>
      <c r="V1013" s="26">
        <v>2</v>
      </c>
      <c r="W1013" s="29">
        <v>99.36</v>
      </c>
      <c r="X1013" s="26">
        <v>91433</v>
      </c>
      <c r="Y1013" s="35">
        <v>67.2</v>
      </c>
      <c r="Z1013" s="1" t="s">
        <v>3014</v>
      </c>
      <c r="AA1013" s="36">
        <v>5.5990000000000002</v>
      </c>
      <c r="AB1013" s="54">
        <v>19.871999999999996</v>
      </c>
      <c r="AC1013" s="54">
        <v>39.744</v>
      </c>
      <c r="AD1013" s="36">
        <v>369.93684000000002</v>
      </c>
    </row>
    <row r="1014" spans="1:30" s="37" customFormat="1" ht="15.75" customHeight="1" x14ac:dyDescent="0.2">
      <c r="A1014" s="26">
        <v>3246</v>
      </c>
      <c r="B1014" s="27" t="s">
        <v>1949</v>
      </c>
      <c r="C1014" s="27" t="s">
        <v>48</v>
      </c>
      <c r="D1014" s="28">
        <v>0.06</v>
      </c>
      <c r="E1014" s="29">
        <v>5.18</v>
      </c>
      <c r="F1014" s="29">
        <v>2.04</v>
      </c>
      <c r="G1014" s="30" t="s">
        <v>39</v>
      </c>
      <c r="H1014" s="27" t="s">
        <v>3095</v>
      </c>
      <c r="I1014" s="27" t="s">
        <v>49</v>
      </c>
      <c r="J1014" s="27" t="s">
        <v>88</v>
      </c>
      <c r="K1014" s="27" t="s">
        <v>51</v>
      </c>
      <c r="L1014" s="31" t="s">
        <v>833</v>
      </c>
      <c r="M1014" s="32">
        <v>0.36</v>
      </c>
      <c r="N1014" s="27" t="s">
        <v>33</v>
      </c>
      <c r="O1014" s="27" t="s">
        <v>111</v>
      </c>
      <c r="P1014" s="27" t="s">
        <v>1356</v>
      </c>
      <c r="Q1014" s="27" t="s">
        <v>1950</v>
      </c>
      <c r="R1014" s="33">
        <v>3051</v>
      </c>
      <c r="S1014" s="34">
        <v>42095</v>
      </c>
      <c r="T1014" s="34">
        <v>42095</v>
      </c>
      <c r="U1014" s="29">
        <v>1.9503999999999999</v>
      </c>
      <c r="V1014" s="26">
        <v>4</v>
      </c>
      <c r="W1014" s="29">
        <v>21.86</v>
      </c>
      <c r="X1014" s="26">
        <v>88330</v>
      </c>
      <c r="Y1014" s="35">
        <v>11.27</v>
      </c>
      <c r="Z1014" s="1" t="s">
        <v>3014</v>
      </c>
      <c r="AA1014" s="36">
        <v>1.2431999999999999</v>
      </c>
      <c r="AB1014" s="54">
        <v>13.990399999999999</v>
      </c>
      <c r="AC1014" s="54">
        <v>1.9673999999999998</v>
      </c>
      <c r="AD1014" s="36">
        <v>16.6264</v>
      </c>
    </row>
    <row r="1015" spans="1:30" s="37" customFormat="1" ht="15.75" customHeight="1" x14ac:dyDescent="0.2">
      <c r="A1015" s="26">
        <v>3306</v>
      </c>
      <c r="B1015" s="27" t="s">
        <v>1952</v>
      </c>
      <c r="C1015" s="27" t="s">
        <v>116</v>
      </c>
      <c r="D1015" s="28">
        <v>0.06</v>
      </c>
      <c r="E1015" s="29">
        <v>11.33</v>
      </c>
      <c r="F1015" s="29">
        <v>6.12</v>
      </c>
      <c r="G1015" s="30" t="s">
        <v>39</v>
      </c>
      <c r="H1015" s="27" t="s">
        <v>3095</v>
      </c>
      <c r="I1015" s="27" t="s">
        <v>49</v>
      </c>
      <c r="J1015" s="27" t="s">
        <v>95</v>
      </c>
      <c r="K1015" s="27" t="s">
        <v>144</v>
      </c>
      <c r="L1015" s="31" t="s">
        <v>1953</v>
      </c>
      <c r="M1015" s="32">
        <v>0.42</v>
      </c>
      <c r="N1015" s="27" t="s">
        <v>33</v>
      </c>
      <c r="O1015" s="27" t="s">
        <v>111</v>
      </c>
      <c r="P1015" s="27" t="s">
        <v>248</v>
      </c>
      <c r="Q1015" s="27" t="s">
        <v>1954</v>
      </c>
      <c r="R1015" s="33">
        <v>6320</v>
      </c>
      <c r="S1015" s="34">
        <v>42095</v>
      </c>
      <c r="T1015" s="34">
        <v>42097</v>
      </c>
      <c r="U1015" s="29">
        <v>-15.92</v>
      </c>
      <c r="V1015" s="26">
        <v>1</v>
      </c>
      <c r="W1015" s="29">
        <v>17.62</v>
      </c>
      <c r="X1015" s="26">
        <v>90461</v>
      </c>
      <c r="Y1015" s="35">
        <v>142.83000000000001</v>
      </c>
      <c r="Z1015" s="1" t="s">
        <v>3014</v>
      </c>
      <c r="AA1015" s="36">
        <v>0.67979999999999996</v>
      </c>
      <c r="AB1015" s="54">
        <v>10.219600000000002</v>
      </c>
      <c r="AC1015" s="54">
        <v>7.4004000000000003</v>
      </c>
      <c r="AD1015" s="36">
        <v>26.740200000000002</v>
      </c>
    </row>
    <row r="1016" spans="1:30" s="37" customFormat="1" ht="15.75" customHeight="1" x14ac:dyDescent="0.2">
      <c r="A1016" s="26">
        <v>198</v>
      </c>
      <c r="B1016" s="27" t="s">
        <v>1960</v>
      </c>
      <c r="C1016" s="27" t="s">
        <v>26</v>
      </c>
      <c r="D1016" s="28">
        <v>0</v>
      </c>
      <c r="E1016" s="29">
        <v>161.55000000000001</v>
      </c>
      <c r="F1016" s="29">
        <v>19.989999999999998</v>
      </c>
      <c r="G1016" s="30" t="s">
        <v>39</v>
      </c>
      <c r="H1016" s="27" t="s">
        <v>3095</v>
      </c>
      <c r="I1016" s="27" t="s">
        <v>49</v>
      </c>
      <c r="J1016" s="27" t="s">
        <v>78</v>
      </c>
      <c r="K1016" s="27" t="s">
        <v>73</v>
      </c>
      <c r="L1016" s="31" t="s">
        <v>79</v>
      </c>
      <c r="M1016" s="32">
        <v>0.66</v>
      </c>
      <c r="N1016" s="27" t="s">
        <v>33</v>
      </c>
      <c r="O1016" s="27" t="s">
        <v>53</v>
      </c>
      <c r="P1016" s="27" t="s">
        <v>289</v>
      </c>
      <c r="Q1016" s="27" t="s">
        <v>1163</v>
      </c>
      <c r="R1016" s="33">
        <v>48138</v>
      </c>
      <c r="S1016" s="34">
        <v>42096</v>
      </c>
      <c r="T1016" s="34">
        <v>42098</v>
      </c>
      <c r="U1016" s="29">
        <v>1014.92</v>
      </c>
      <c r="V1016" s="26">
        <v>77</v>
      </c>
      <c r="W1016" s="29">
        <v>12599.55</v>
      </c>
      <c r="X1016" s="26">
        <v>51072</v>
      </c>
      <c r="Y1016" s="35">
        <v>161.55000000000001</v>
      </c>
      <c r="Z1016" s="1" t="s">
        <v>3012</v>
      </c>
      <c r="AA1016" s="36">
        <v>0</v>
      </c>
      <c r="AB1016" s="54">
        <v>4283.8469999999998</v>
      </c>
      <c r="AC1016" s="54">
        <v>107.99614285714286</v>
      </c>
      <c r="AD1016" s="36">
        <v>11564.64</v>
      </c>
    </row>
    <row r="1017" spans="1:30" s="37" customFormat="1" ht="15.75" customHeight="1" x14ac:dyDescent="0.2">
      <c r="A1017" s="26">
        <v>1112</v>
      </c>
      <c r="B1017" s="27" t="s">
        <v>1969</v>
      </c>
      <c r="C1017" s="27" t="s">
        <v>3094</v>
      </c>
      <c r="D1017" s="28">
        <v>0.02</v>
      </c>
      <c r="E1017" s="29">
        <v>2550.14</v>
      </c>
      <c r="F1017" s="29">
        <v>29.7</v>
      </c>
      <c r="G1017" s="30" t="s">
        <v>27</v>
      </c>
      <c r="H1017" s="27" t="s">
        <v>94</v>
      </c>
      <c r="I1017" s="27" t="s">
        <v>41</v>
      </c>
      <c r="J1017" s="27" t="s">
        <v>57</v>
      </c>
      <c r="K1017" s="27" t="s">
        <v>58</v>
      </c>
      <c r="L1017" s="31" t="s">
        <v>1972</v>
      </c>
      <c r="M1017" s="32">
        <v>0.56999999999999995</v>
      </c>
      <c r="N1017" s="27" t="s">
        <v>33</v>
      </c>
      <c r="O1017" s="27" t="s">
        <v>60</v>
      </c>
      <c r="P1017" s="27" t="s">
        <v>90</v>
      </c>
      <c r="Q1017" s="27" t="s">
        <v>1971</v>
      </c>
      <c r="R1017" s="33">
        <v>92399</v>
      </c>
      <c r="S1017" s="34">
        <v>42096</v>
      </c>
      <c r="T1017" s="34">
        <v>42098</v>
      </c>
      <c r="U1017" s="29">
        <v>-5390.7388920000003</v>
      </c>
      <c r="V1017" s="26">
        <v>2</v>
      </c>
      <c r="W1017" s="29">
        <v>4698.21</v>
      </c>
      <c r="X1017" s="26">
        <v>90832</v>
      </c>
      <c r="Y1017" s="35">
        <v>161.55000000000001</v>
      </c>
      <c r="Z1017" s="1" t="s">
        <v>3013</v>
      </c>
      <c r="AA1017" s="36">
        <v>102.0056</v>
      </c>
      <c r="AB1017" s="54">
        <v>2020.2303000000002</v>
      </c>
      <c r="AC1017" s="54">
        <v>1338.9898499999999</v>
      </c>
      <c r="AD1017" s="36">
        <v>9957.2432919999992</v>
      </c>
    </row>
    <row r="1018" spans="1:30" s="37" customFormat="1" ht="15.75" customHeight="1" x14ac:dyDescent="0.2">
      <c r="A1018" s="26">
        <v>1112</v>
      </c>
      <c r="B1018" s="27" t="s">
        <v>1969</v>
      </c>
      <c r="C1018" s="27" t="s">
        <v>3094</v>
      </c>
      <c r="D1018" s="28">
        <v>0.03</v>
      </c>
      <c r="E1018" s="29">
        <v>300.98</v>
      </c>
      <c r="F1018" s="29">
        <v>54.92</v>
      </c>
      <c r="G1018" s="30" t="s">
        <v>27</v>
      </c>
      <c r="H1018" s="27" t="s">
        <v>94</v>
      </c>
      <c r="I1018" s="27" t="s">
        <v>29</v>
      </c>
      <c r="J1018" s="27" t="s">
        <v>117</v>
      </c>
      <c r="K1018" s="27" t="s">
        <v>31</v>
      </c>
      <c r="L1018" s="31" t="s">
        <v>1970</v>
      </c>
      <c r="M1018" s="32">
        <v>0.55000000000000004</v>
      </c>
      <c r="N1018" s="27" t="s">
        <v>33</v>
      </c>
      <c r="O1018" s="27" t="s">
        <v>60</v>
      </c>
      <c r="P1018" s="27" t="s">
        <v>90</v>
      </c>
      <c r="Q1018" s="27" t="s">
        <v>1971</v>
      </c>
      <c r="R1018" s="33">
        <v>92399</v>
      </c>
      <c r="S1018" s="34">
        <v>42096</v>
      </c>
      <c r="T1018" s="34">
        <v>42098</v>
      </c>
      <c r="U1018" s="29">
        <v>1272.5808</v>
      </c>
      <c r="V1018" s="26">
        <v>12</v>
      </c>
      <c r="W1018" s="29">
        <v>3527.82</v>
      </c>
      <c r="X1018" s="26">
        <v>90832</v>
      </c>
      <c r="Y1018" s="35">
        <v>90.199999999999989</v>
      </c>
      <c r="Z1018" s="1" t="s">
        <v>3013</v>
      </c>
      <c r="AA1018" s="36">
        <v>108.3528</v>
      </c>
      <c r="AB1018" s="54">
        <v>1587.519</v>
      </c>
      <c r="AC1018" s="54">
        <v>161.69175000000001</v>
      </c>
      <c r="AD1018" s="36">
        <v>2091.9664000000002</v>
      </c>
    </row>
    <row r="1019" spans="1:30" s="37" customFormat="1" ht="15.75" customHeight="1" x14ac:dyDescent="0.2">
      <c r="A1019" s="26">
        <v>197</v>
      </c>
      <c r="B1019" s="27" t="s">
        <v>1958</v>
      </c>
      <c r="C1019" s="27" t="s">
        <v>26</v>
      </c>
      <c r="D1019" s="28">
        <v>0</v>
      </c>
      <c r="E1019" s="29">
        <v>161.55000000000001</v>
      </c>
      <c r="F1019" s="29">
        <v>19.989999999999998</v>
      </c>
      <c r="G1019" s="30" t="s">
        <v>39</v>
      </c>
      <c r="H1019" s="27" t="s">
        <v>3095</v>
      </c>
      <c r="I1019" s="27" t="s">
        <v>49</v>
      </c>
      <c r="J1019" s="27" t="s">
        <v>78</v>
      </c>
      <c r="K1019" s="27" t="s">
        <v>73</v>
      </c>
      <c r="L1019" s="31" t="s">
        <v>79</v>
      </c>
      <c r="M1019" s="32">
        <v>0.66</v>
      </c>
      <c r="N1019" s="27" t="s">
        <v>33</v>
      </c>
      <c r="O1019" s="27" t="s">
        <v>53</v>
      </c>
      <c r="P1019" s="27" t="s">
        <v>537</v>
      </c>
      <c r="Q1019" s="27" t="s">
        <v>1959</v>
      </c>
      <c r="R1019" s="33">
        <v>66212</v>
      </c>
      <c r="S1019" s="34">
        <v>42096</v>
      </c>
      <c r="T1019" s="34">
        <v>42098</v>
      </c>
      <c r="U1019" s="29">
        <v>1167.1579999999999</v>
      </c>
      <c r="V1019" s="26">
        <v>19</v>
      </c>
      <c r="W1019" s="29">
        <v>3108.98</v>
      </c>
      <c r="X1019" s="26">
        <v>88921</v>
      </c>
      <c r="Y1019" s="35">
        <v>47.809999999999995</v>
      </c>
      <c r="Z1019" s="1" t="s">
        <v>3012</v>
      </c>
      <c r="AA1019" s="36">
        <v>0</v>
      </c>
      <c r="AB1019" s="54">
        <v>1057.0531999999998</v>
      </c>
      <c r="AC1019" s="54">
        <v>107.99614736842105</v>
      </c>
      <c r="AD1019" s="36">
        <v>1921.8320000000001</v>
      </c>
    </row>
    <row r="1020" spans="1:30" s="37" customFormat="1" ht="15.75" customHeight="1" x14ac:dyDescent="0.2">
      <c r="A1020" s="26">
        <v>228</v>
      </c>
      <c r="B1020" s="27" t="s">
        <v>1964</v>
      </c>
      <c r="C1020" s="27" t="s">
        <v>116</v>
      </c>
      <c r="D1020" s="28">
        <v>0.03</v>
      </c>
      <c r="E1020" s="29">
        <v>60.89</v>
      </c>
      <c r="F1020" s="29">
        <v>32.409999999999997</v>
      </c>
      <c r="G1020" s="30" t="s">
        <v>27</v>
      </c>
      <c r="H1020" s="27" t="s">
        <v>3095</v>
      </c>
      <c r="I1020" s="27" t="s">
        <v>29</v>
      </c>
      <c r="J1020" s="27" t="s">
        <v>109</v>
      </c>
      <c r="K1020" s="27" t="s">
        <v>58</v>
      </c>
      <c r="L1020" s="31" t="s">
        <v>1965</v>
      </c>
      <c r="M1020" s="32">
        <v>0.56000000000000005</v>
      </c>
      <c r="N1020" s="27" t="s">
        <v>33</v>
      </c>
      <c r="O1020" s="27" t="s">
        <v>34</v>
      </c>
      <c r="P1020" s="27" t="s">
        <v>97</v>
      </c>
      <c r="Q1020" s="27" t="s">
        <v>1966</v>
      </c>
      <c r="R1020" s="33">
        <v>28227</v>
      </c>
      <c r="S1020" s="34">
        <v>42096</v>
      </c>
      <c r="T1020" s="34">
        <v>42097</v>
      </c>
      <c r="U1020" s="29">
        <v>36.353999999999999</v>
      </c>
      <c r="V1020" s="26">
        <v>7</v>
      </c>
      <c r="W1020" s="29">
        <v>450.49</v>
      </c>
      <c r="X1020" s="26">
        <v>88527</v>
      </c>
      <c r="Y1020" s="35">
        <v>60.86</v>
      </c>
      <c r="Z1020" s="1" t="s">
        <v>3011</v>
      </c>
      <c r="AA1020" s="36">
        <v>12.786899999999999</v>
      </c>
      <c r="AB1020" s="54">
        <v>198.21559999999997</v>
      </c>
      <c r="AC1020" s="54">
        <v>36.039200000000001</v>
      </c>
      <c r="AD1020" s="36">
        <v>368.9391</v>
      </c>
    </row>
    <row r="1021" spans="1:30" s="37" customFormat="1" ht="15.75" customHeight="1" x14ac:dyDescent="0.2">
      <c r="A1021" s="26">
        <v>2667</v>
      </c>
      <c r="B1021" s="27" t="s">
        <v>1961</v>
      </c>
      <c r="C1021" s="27" t="s">
        <v>38</v>
      </c>
      <c r="D1021" s="28">
        <v>0.04</v>
      </c>
      <c r="E1021" s="29">
        <v>90.24</v>
      </c>
      <c r="F1021" s="29">
        <v>0.99</v>
      </c>
      <c r="G1021" s="30" t="s">
        <v>39</v>
      </c>
      <c r="H1021" s="27" t="s">
        <v>71</v>
      </c>
      <c r="I1021" s="27" t="s">
        <v>49</v>
      </c>
      <c r="J1021" s="27" t="s">
        <v>95</v>
      </c>
      <c r="K1021" s="27" t="s">
        <v>73</v>
      </c>
      <c r="L1021" s="31" t="s">
        <v>1962</v>
      </c>
      <c r="M1021" s="32">
        <v>0.56000000000000005</v>
      </c>
      <c r="N1021" s="27" t="s">
        <v>33</v>
      </c>
      <c r="O1021" s="27" t="s">
        <v>111</v>
      </c>
      <c r="P1021" s="27" t="s">
        <v>317</v>
      </c>
      <c r="Q1021" s="27" t="s">
        <v>1963</v>
      </c>
      <c r="R1021" s="33">
        <v>44107</v>
      </c>
      <c r="S1021" s="34">
        <v>42096</v>
      </c>
      <c r="T1021" s="34">
        <v>42098</v>
      </c>
      <c r="U1021" s="29">
        <v>246.2748</v>
      </c>
      <c r="V1021" s="26">
        <v>4</v>
      </c>
      <c r="W1021" s="29">
        <v>356.92</v>
      </c>
      <c r="X1021" s="26">
        <v>87831</v>
      </c>
      <c r="Y1021" s="35">
        <v>37.839999999999996</v>
      </c>
      <c r="Z1021" s="1" t="s">
        <v>3014</v>
      </c>
      <c r="AA1021" s="36">
        <v>14.4384</v>
      </c>
      <c r="AB1021" s="54">
        <v>157.04479999999998</v>
      </c>
      <c r="AC1021" s="54">
        <v>49.968800000000009</v>
      </c>
      <c r="AD1021" s="36">
        <v>95.216800000000035</v>
      </c>
    </row>
    <row r="1022" spans="1:30" s="37" customFormat="1" ht="15.75" customHeight="1" x14ac:dyDescent="0.2">
      <c r="A1022" s="26">
        <v>1777</v>
      </c>
      <c r="B1022" s="27" t="s">
        <v>172</v>
      </c>
      <c r="C1022" s="27" t="s">
        <v>3094</v>
      </c>
      <c r="D1022" s="28">
        <v>0.03</v>
      </c>
      <c r="E1022" s="29">
        <v>19.989999999999998</v>
      </c>
      <c r="F1022" s="29">
        <v>11.17</v>
      </c>
      <c r="G1022" s="30" t="s">
        <v>39</v>
      </c>
      <c r="H1022" s="27" t="s">
        <v>94</v>
      </c>
      <c r="I1022" s="27" t="s">
        <v>29</v>
      </c>
      <c r="J1022" s="27" t="s">
        <v>126</v>
      </c>
      <c r="K1022" s="27" t="s">
        <v>65</v>
      </c>
      <c r="L1022" s="31" t="s">
        <v>489</v>
      </c>
      <c r="M1022" s="32">
        <v>0.6</v>
      </c>
      <c r="N1022" s="27" t="s">
        <v>33</v>
      </c>
      <c r="O1022" s="27" t="s">
        <v>53</v>
      </c>
      <c r="P1022" s="27" t="s">
        <v>54</v>
      </c>
      <c r="Q1022" s="27" t="s">
        <v>174</v>
      </c>
      <c r="R1022" s="33">
        <v>46383</v>
      </c>
      <c r="S1022" s="34">
        <v>42096</v>
      </c>
      <c r="T1022" s="34">
        <v>42097</v>
      </c>
      <c r="U1022" s="29">
        <v>-20.8764</v>
      </c>
      <c r="V1022" s="26">
        <v>12</v>
      </c>
      <c r="W1022" s="29">
        <v>251.61</v>
      </c>
      <c r="X1022" s="26">
        <v>89942</v>
      </c>
      <c r="Y1022" s="35">
        <v>300.95000000000005</v>
      </c>
      <c r="Z1022" s="1" t="s">
        <v>3012</v>
      </c>
      <c r="AA1022" s="36">
        <v>7.1963999999999988</v>
      </c>
      <c r="AB1022" s="54">
        <v>100.64400000000001</v>
      </c>
      <c r="AC1022" s="54">
        <v>12.580500000000001</v>
      </c>
      <c r="AD1022" s="36">
        <v>254.12</v>
      </c>
    </row>
    <row r="1023" spans="1:30" s="37" customFormat="1" ht="15.75" customHeight="1" x14ac:dyDescent="0.2">
      <c r="A1023" s="26">
        <v>2957</v>
      </c>
      <c r="B1023" s="27" t="s">
        <v>1967</v>
      </c>
      <c r="C1023" s="27" t="s">
        <v>116</v>
      </c>
      <c r="D1023" s="28">
        <v>0.1</v>
      </c>
      <c r="E1023" s="29">
        <v>37.94</v>
      </c>
      <c r="F1023" s="29">
        <v>5.08</v>
      </c>
      <c r="G1023" s="30" t="s">
        <v>87</v>
      </c>
      <c r="H1023" s="27" t="s">
        <v>94</v>
      </c>
      <c r="I1023" s="27" t="s">
        <v>49</v>
      </c>
      <c r="J1023" s="27" t="s">
        <v>88</v>
      </c>
      <c r="K1023" s="27" t="s">
        <v>51</v>
      </c>
      <c r="L1023" s="31" t="s">
        <v>1113</v>
      </c>
      <c r="M1023" s="32">
        <v>0.38</v>
      </c>
      <c r="N1023" s="27" t="s">
        <v>33</v>
      </c>
      <c r="O1023" s="27" t="s">
        <v>53</v>
      </c>
      <c r="P1023" s="27" t="s">
        <v>357</v>
      </c>
      <c r="Q1023" s="27" t="s">
        <v>1968</v>
      </c>
      <c r="R1023" s="33">
        <v>53209</v>
      </c>
      <c r="S1023" s="34">
        <v>42096</v>
      </c>
      <c r="T1023" s="34">
        <v>42098</v>
      </c>
      <c r="U1023" s="29">
        <v>95.054400000000001</v>
      </c>
      <c r="V1023" s="26">
        <v>4</v>
      </c>
      <c r="W1023" s="29">
        <v>137.76</v>
      </c>
      <c r="X1023" s="26">
        <v>90264</v>
      </c>
      <c r="Y1023" s="35">
        <v>2550.12</v>
      </c>
      <c r="Z1023" s="1" t="s">
        <v>3012</v>
      </c>
      <c r="AA1023" s="36">
        <v>15.176</v>
      </c>
      <c r="AB1023" s="54">
        <v>85.411199999999994</v>
      </c>
      <c r="AC1023" s="54">
        <v>13.087199999999999</v>
      </c>
      <c r="AD1023" s="36">
        <v>22.44959999999999</v>
      </c>
    </row>
    <row r="1024" spans="1:30" s="37" customFormat="1" ht="15.75" customHeight="1" x14ac:dyDescent="0.2">
      <c r="A1024" s="26">
        <v>2667</v>
      </c>
      <c r="B1024" s="27" t="s">
        <v>1961</v>
      </c>
      <c r="C1024" s="27" t="s">
        <v>38</v>
      </c>
      <c r="D1024" s="28">
        <v>0.09</v>
      </c>
      <c r="E1024" s="29">
        <v>47.9</v>
      </c>
      <c r="F1024" s="29">
        <v>5.86</v>
      </c>
      <c r="G1024" s="30" t="s">
        <v>87</v>
      </c>
      <c r="H1024" s="27" t="s">
        <v>71</v>
      </c>
      <c r="I1024" s="27" t="s">
        <v>49</v>
      </c>
      <c r="J1024" s="27" t="s">
        <v>88</v>
      </c>
      <c r="K1024" s="27" t="s">
        <v>73</v>
      </c>
      <c r="L1024" s="31" t="s">
        <v>1309</v>
      </c>
      <c r="M1024" s="32">
        <v>0.37</v>
      </c>
      <c r="N1024" s="27" t="s">
        <v>33</v>
      </c>
      <c r="O1024" s="27" t="s">
        <v>111</v>
      </c>
      <c r="P1024" s="27" t="s">
        <v>317</v>
      </c>
      <c r="Q1024" s="27" t="s">
        <v>1963</v>
      </c>
      <c r="R1024" s="33">
        <v>44107</v>
      </c>
      <c r="S1024" s="34">
        <v>42096</v>
      </c>
      <c r="T1024" s="34">
        <v>42098</v>
      </c>
      <c r="U1024" s="29">
        <v>93.950400000000002</v>
      </c>
      <c r="V1024" s="26">
        <v>3</v>
      </c>
      <c r="W1024" s="29">
        <v>136.16</v>
      </c>
      <c r="X1024" s="26">
        <v>87831</v>
      </c>
      <c r="Y1024" s="35">
        <v>19.959999999999997</v>
      </c>
      <c r="Z1024" s="1" t="s">
        <v>3014</v>
      </c>
      <c r="AA1024" s="36">
        <v>12.933</v>
      </c>
      <c r="AB1024" s="54">
        <v>85.780799999999999</v>
      </c>
      <c r="AC1024" s="54">
        <v>16.793066666666665</v>
      </c>
      <c r="AD1024" s="36">
        <v>23.416599999999988</v>
      </c>
    </row>
    <row r="1025" spans="1:30" s="37" customFormat="1" ht="15.75" customHeight="1" x14ac:dyDescent="0.2">
      <c r="A1025" s="26">
        <v>1733</v>
      </c>
      <c r="B1025" s="27" t="s">
        <v>2001</v>
      </c>
      <c r="C1025" s="27" t="s">
        <v>3094</v>
      </c>
      <c r="D1025" s="28">
        <v>0.02</v>
      </c>
      <c r="E1025" s="29">
        <v>1270.99</v>
      </c>
      <c r="F1025" s="29">
        <v>19.989999999999998</v>
      </c>
      <c r="G1025" s="30" t="s">
        <v>39</v>
      </c>
      <c r="H1025" s="27" t="s">
        <v>3095</v>
      </c>
      <c r="I1025" s="27" t="s">
        <v>49</v>
      </c>
      <c r="J1025" s="27" t="s">
        <v>72</v>
      </c>
      <c r="K1025" s="27" t="s">
        <v>73</v>
      </c>
      <c r="L1025" s="31" t="s">
        <v>652</v>
      </c>
      <c r="M1025" s="32">
        <v>0.35</v>
      </c>
      <c r="N1025" s="27" t="s">
        <v>33</v>
      </c>
      <c r="O1025" s="27" t="s">
        <v>111</v>
      </c>
      <c r="P1025" s="27" t="s">
        <v>374</v>
      </c>
      <c r="Q1025" s="27" t="s">
        <v>67</v>
      </c>
      <c r="R1025" s="33">
        <v>20012</v>
      </c>
      <c r="S1025" s="34">
        <v>42098</v>
      </c>
      <c r="T1025" s="34">
        <v>42100</v>
      </c>
      <c r="U1025" s="29">
        <v>9228.2255999999998</v>
      </c>
      <c r="V1025" s="26">
        <v>36</v>
      </c>
      <c r="W1025" s="29">
        <v>45737.33</v>
      </c>
      <c r="X1025" s="26">
        <v>3841</v>
      </c>
      <c r="Y1025" s="35">
        <v>6.4200000000000008</v>
      </c>
      <c r="Z1025" s="1" t="s">
        <v>3014</v>
      </c>
      <c r="AA1025" s="36">
        <v>915.11280000000011</v>
      </c>
      <c r="AB1025" s="54">
        <v>29729.264500000001</v>
      </c>
      <c r="AC1025" s="54">
        <v>444.66848611111106</v>
      </c>
      <c r="AD1025" s="36">
        <v>35574.001600000003</v>
      </c>
    </row>
    <row r="1026" spans="1:30" s="37" customFormat="1" ht="15.75" customHeight="1" x14ac:dyDescent="0.2">
      <c r="A1026" s="26">
        <v>1734</v>
      </c>
      <c r="B1026" s="27" t="s">
        <v>2002</v>
      </c>
      <c r="C1026" s="27" t="s">
        <v>3094</v>
      </c>
      <c r="D1026" s="28">
        <v>0.02</v>
      </c>
      <c r="E1026" s="29">
        <v>1270.99</v>
      </c>
      <c r="F1026" s="29">
        <v>19.989999999999998</v>
      </c>
      <c r="G1026" s="30" t="s">
        <v>39</v>
      </c>
      <c r="H1026" s="27" t="s">
        <v>3095</v>
      </c>
      <c r="I1026" s="27" t="s">
        <v>49</v>
      </c>
      <c r="J1026" s="27" t="s">
        <v>72</v>
      </c>
      <c r="K1026" s="27" t="s">
        <v>73</v>
      </c>
      <c r="L1026" s="31" t="s">
        <v>652</v>
      </c>
      <c r="M1026" s="32">
        <v>0.35</v>
      </c>
      <c r="N1026" s="27" t="s">
        <v>33</v>
      </c>
      <c r="O1026" s="27" t="s">
        <v>111</v>
      </c>
      <c r="P1026" s="27" t="s">
        <v>112</v>
      </c>
      <c r="Q1026" s="27" t="s">
        <v>2003</v>
      </c>
      <c r="R1026" s="33">
        <v>10528</v>
      </c>
      <c r="S1026" s="34">
        <v>42098</v>
      </c>
      <c r="T1026" s="34">
        <v>42100</v>
      </c>
      <c r="U1026" s="29">
        <v>7889.6877000000004</v>
      </c>
      <c r="V1026" s="26">
        <v>9</v>
      </c>
      <c r="W1026" s="29">
        <v>11434.33</v>
      </c>
      <c r="X1026" s="26">
        <v>88443</v>
      </c>
      <c r="Y1026" s="35">
        <v>59.75</v>
      </c>
      <c r="Z1026" s="1" t="s">
        <v>3014</v>
      </c>
      <c r="AA1026" s="36">
        <v>228.77820000000003</v>
      </c>
      <c r="AB1026" s="54">
        <v>7432.3145000000004</v>
      </c>
      <c r="AC1026" s="54">
        <v>444.6683888888889</v>
      </c>
      <c r="AD1026" s="36">
        <v>3295.8741</v>
      </c>
    </row>
    <row r="1027" spans="1:30" s="37" customFormat="1" ht="15.75" customHeight="1" x14ac:dyDescent="0.2">
      <c r="A1027" s="26">
        <v>1734</v>
      </c>
      <c r="B1027" s="27" t="s">
        <v>2002</v>
      </c>
      <c r="C1027" s="27" t="s">
        <v>3094</v>
      </c>
      <c r="D1027" s="28">
        <v>0.05</v>
      </c>
      <c r="E1027" s="29">
        <v>205.99</v>
      </c>
      <c r="F1027" s="29">
        <v>8.99</v>
      </c>
      <c r="G1027" s="30" t="s">
        <v>87</v>
      </c>
      <c r="H1027" s="27" t="s">
        <v>3095</v>
      </c>
      <c r="I1027" s="27" t="s">
        <v>41</v>
      </c>
      <c r="J1027" s="27" t="s">
        <v>135</v>
      </c>
      <c r="K1027" s="27" t="s">
        <v>73</v>
      </c>
      <c r="L1027" s="31" t="s">
        <v>1032</v>
      </c>
      <c r="M1027" s="32">
        <v>0.6</v>
      </c>
      <c r="N1027" s="27" t="s">
        <v>33</v>
      </c>
      <c r="O1027" s="27" t="s">
        <v>111</v>
      </c>
      <c r="P1027" s="27" t="s">
        <v>112</v>
      </c>
      <c r="Q1027" s="27" t="s">
        <v>2003</v>
      </c>
      <c r="R1027" s="33">
        <v>10528</v>
      </c>
      <c r="S1027" s="34">
        <v>42098</v>
      </c>
      <c r="T1027" s="34">
        <v>42100</v>
      </c>
      <c r="U1027" s="29">
        <v>1545.8097600000001</v>
      </c>
      <c r="V1027" s="26">
        <v>19</v>
      </c>
      <c r="W1027" s="29">
        <v>3229.24</v>
      </c>
      <c r="X1027" s="26">
        <v>88443</v>
      </c>
      <c r="Y1027" s="35">
        <v>7.38</v>
      </c>
      <c r="Z1027" s="1" t="s">
        <v>3014</v>
      </c>
      <c r="AA1027" s="36">
        <v>195.69050000000004</v>
      </c>
      <c r="AB1027" s="54">
        <v>1291.6959999999999</v>
      </c>
      <c r="AC1027" s="54">
        <v>101.97599999999998</v>
      </c>
      <c r="AD1027" s="36">
        <v>1478.7497399999997</v>
      </c>
    </row>
    <row r="1028" spans="1:30" s="37" customFormat="1" ht="15.75" customHeight="1" x14ac:dyDescent="0.2">
      <c r="A1028" s="26">
        <v>1733</v>
      </c>
      <c r="B1028" s="27" t="s">
        <v>2001</v>
      </c>
      <c r="C1028" s="27" t="s">
        <v>3094</v>
      </c>
      <c r="D1028" s="28">
        <v>0.02</v>
      </c>
      <c r="E1028" s="29">
        <v>60.98</v>
      </c>
      <c r="F1028" s="29">
        <v>49</v>
      </c>
      <c r="G1028" s="30" t="s">
        <v>39</v>
      </c>
      <c r="H1028" s="27" t="s">
        <v>3095</v>
      </c>
      <c r="I1028" s="27" t="s">
        <v>49</v>
      </c>
      <c r="J1028" s="27" t="s">
        <v>95</v>
      </c>
      <c r="K1028" s="27" t="s">
        <v>65</v>
      </c>
      <c r="L1028" s="31" t="s">
        <v>1530</v>
      </c>
      <c r="M1028" s="32">
        <v>0.59</v>
      </c>
      <c r="N1028" s="27" t="s">
        <v>33</v>
      </c>
      <c r="O1028" s="27" t="s">
        <v>111</v>
      </c>
      <c r="P1028" s="27" t="s">
        <v>374</v>
      </c>
      <c r="Q1028" s="27" t="s">
        <v>67</v>
      </c>
      <c r="R1028" s="33">
        <v>20012</v>
      </c>
      <c r="S1028" s="34">
        <v>42098</v>
      </c>
      <c r="T1028" s="34">
        <v>42100</v>
      </c>
      <c r="U1028" s="29">
        <v>-662.52</v>
      </c>
      <c r="V1028" s="26">
        <v>34</v>
      </c>
      <c r="W1028" s="29">
        <v>2119.54</v>
      </c>
      <c r="X1028" s="26">
        <v>3841</v>
      </c>
      <c r="Y1028" s="35">
        <v>8.2900000000000009</v>
      </c>
      <c r="Z1028" s="1" t="s">
        <v>3014</v>
      </c>
      <c r="AA1028" s="36">
        <v>41.4664</v>
      </c>
      <c r="AB1028" s="54">
        <v>869.01140000000009</v>
      </c>
      <c r="AC1028" s="54">
        <v>36.780252941176464</v>
      </c>
      <c r="AD1028" s="36">
        <v>2691.5936000000002</v>
      </c>
    </row>
    <row r="1029" spans="1:30" s="37" customFormat="1" ht="15.75" customHeight="1" x14ac:dyDescent="0.2">
      <c r="A1029" s="26">
        <v>2548</v>
      </c>
      <c r="B1029" s="27" t="s">
        <v>1984</v>
      </c>
      <c r="C1029" s="27" t="s">
        <v>48</v>
      </c>
      <c r="D1029" s="28">
        <v>0</v>
      </c>
      <c r="E1029" s="29">
        <v>35.99</v>
      </c>
      <c r="F1029" s="29">
        <v>0.99</v>
      </c>
      <c r="G1029" s="30" t="s">
        <v>39</v>
      </c>
      <c r="H1029" s="27" t="s">
        <v>3095</v>
      </c>
      <c r="I1029" s="27" t="s">
        <v>41</v>
      </c>
      <c r="J1029" s="27" t="s">
        <v>135</v>
      </c>
      <c r="K1029" s="27" t="s">
        <v>43</v>
      </c>
      <c r="L1029" s="31" t="s">
        <v>1985</v>
      </c>
      <c r="M1029" s="32">
        <v>0.35</v>
      </c>
      <c r="N1029" s="27" t="s">
        <v>33</v>
      </c>
      <c r="O1029" s="27" t="s">
        <v>60</v>
      </c>
      <c r="P1029" s="27" t="s">
        <v>90</v>
      </c>
      <c r="Q1029" s="27" t="s">
        <v>100</v>
      </c>
      <c r="R1029" s="33">
        <v>90068</v>
      </c>
      <c r="S1029" s="34">
        <v>42098</v>
      </c>
      <c r="T1029" s="34">
        <v>42105</v>
      </c>
      <c r="U1029" s="29">
        <v>840.05100000000004</v>
      </c>
      <c r="V1029" s="26">
        <v>46</v>
      </c>
      <c r="W1029" s="29">
        <v>1477.57</v>
      </c>
      <c r="X1029" s="26">
        <v>46436</v>
      </c>
      <c r="Y1029" s="35">
        <v>2.12</v>
      </c>
      <c r="Z1029" s="1" t="s">
        <v>3013</v>
      </c>
      <c r="AA1029" s="36">
        <v>0</v>
      </c>
      <c r="AB1029" s="54">
        <v>960.42049999999995</v>
      </c>
      <c r="AC1029" s="54">
        <v>11.242380434782607</v>
      </c>
      <c r="AD1029" s="36">
        <v>636.52899999999988</v>
      </c>
    </row>
    <row r="1030" spans="1:30" s="37" customFormat="1" ht="15.75" customHeight="1" x14ac:dyDescent="0.2">
      <c r="A1030" s="26">
        <v>2441</v>
      </c>
      <c r="B1030" s="27" t="s">
        <v>1993</v>
      </c>
      <c r="C1030" s="27" t="s">
        <v>116</v>
      </c>
      <c r="D1030" s="28">
        <v>0.02</v>
      </c>
      <c r="E1030" s="29">
        <v>63.94</v>
      </c>
      <c r="F1030" s="29">
        <v>14.48</v>
      </c>
      <c r="G1030" s="30" t="s">
        <v>39</v>
      </c>
      <c r="H1030" s="27" t="s">
        <v>40</v>
      </c>
      <c r="I1030" s="27" t="s">
        <v>29</v>
      </c>
      <c r="J1030" s="27" t="s">
        <v>126</v>
      </c>
      <c r="K1030" s="27" t="s">
        <v>73</v>
      </c>
      <c r="L1030" s="31" t="s">
        <v>1994</v>
      </c>
      <c r="M1030" s="32">
        <v>0.46</v>
      </c>
      <c r="N1030" s="27" t="s">
        <v>33</v>
      </c>
      <c r="O1030" s="27" t="s">
        <v>34</v>
      </c>
      <c r="P1030" s="27" t="s">
        <v>123</v>
      </c>
      <c r="Q1030" s="27" t="s">
        <v>1995</v>
      </c>
      <c r="R1030" s="33">
        <v>32935</v>
      </c>
      <c r="S1030" s="34">
        <v>42098</v>
      </c>
      <c r="T1030" s="34">
        <v>42098</v>
      </c>
      <c r="U1030" s="29">
        <v>-100.17</v>
      </c>
      <c r="V1030" s="26">
        <v>11</v>
      </c>
      <c r="W1030" s="29">
        <v>709.7</v>
      </c>
      <c r="X1030" s="26">
        <v>89300</v>
      </c>
      <c r="Y1030" s="35">
        <v>10.34</v>
      </c>
      <c r="Z1030" s="1" t="s">
        <v>3011</v>
      </c>
      <c r="AA1030" s="36">
        <v>14.066799999999999</v>
      </c>
      <c r="AB1030" s="54">
        <v>383.23800000000006</v>
      </c>
      <c r="AC1030" s="54">
        <v>29.678363636363638</v>
      </c>
      <c r="AD1030" s="36">
        <v>781.32320000000004</v>
      </c>
    </row>
    <row r="1031" spans="1:30" s="37" customFormat="1" ht="15.75" customHeight="1" x14ac:dyDescent="0.2">
      <c r="A1031" s="26">
        <v>1734</v>
      </c>
      <c r="B1031" s="27" t="s">
        <v>2002</v>
      </c>
      <c r="C1031" s="27" t="s">
        <v>3094</v>
      </c>
      <c r="D1031" s="28">
        <v>0.02</v>
      </c>
      <c r="E1031" s="29">
        <v>60.98</v>
      </c>
      <c r="F1031" s="29">
        <v>49</v>
      </c>
      <c r="G1031" s="30" t="s">
        <v>39</v>
      </c>
      <c r="H1031" s="27" t="s">
        <v>3095</v>
      </c>
      <c r="I1031" s="27" t="s">
        <v>49</v>
      </c>
      <c r="J1031" s="27" t="s">
        <v>95</v>
      </c>
      <c r="K1031" s="27" t="s">
        <v>65</v>
      </c>
      <c r="L1031" s="31" t="s">
        <v>1530</v>
      </c>
      <c r="M1031" s="32">
        <v>0.59</v>
      </c>
      <c r="N1031" s="27" t="s">
        <v>33</v>
      </c>
      <c r="O1031" s="27" t="s">
        <v>111</v>
      </c>
      <c r="P1031" s="27" t="s">
        <v>112</v>
      </c>
      <c r="Q1031" s="27" t="s">
        <v>2003</v>
      </c>
      <c r="R1031" s="33">
        <v>10528</v>
      </c>
      <c r="S1031" s="34">
        <v>42098</v>
      </c>
      <c r="T1031" s="34">
        <v>42100</v>
      </c>
      <c r="U1031" s="29">
        <v>-596.26800000000003</v>
      </c>
      <c r="V1031" s="26">
        <v>9</v>
      </c>
      <c r="W1031" s="29">
        <v>561.05999999999995</v>
      </c>
      <c r="X1031" s="26">
        <v>88443</v>
      </c>
      <c r="Y1031" s="35">
        <v>35.99</v>
      </c>
      <c r="Z1031" s="1" t="s">
        <v>3014</v>
      </c>
      <c r="AA1031" s="36">
        <v>10.9764</v>
      </c>
      <c r="AB1031" s="54">
        <v>230.03459999999998</v>
      </c>
      <c r="AC1031" s="54">
        <v>36.780599999999993</v>
      </c>
      <c r="AD1031" s="36">
        <v>1097.3516</v>
      </c>
    </row>
    <row r="1032" spans="1:30" s="37" customFormat="1" ht="15.75" customHeight="1" x14ac:dyDescent="0.2">
      <c r="A1032" s="26">
        <v>911</v>
      </c>
      <c r="B1032" s="27" t="s">
        <v>902</v>
      </c>
      <c r="C1032" s="27" t="s">
        <v>38</v>
      </c>
      <c r="D1032" s="28">
        <v>0.01</v>
      </c>
      <c r="E1032" s="29">
        <v>59.76</v>
      </c>
      <c r="F1032" s="29">
        <v>9.7100000000000009</v>
      </c>
      <c r="G1032" s="30" t="s">
        <v>39</v>
      </c>
      <c r="H1032" s="27" t="s">
        <v>94</v>
      </c>
      <c r="I1032" s="27" t="s">
        <v>49</v>
      </c>
      <c r="J1032" s="27" t="s">
        <v>78</v>
      </c>
      <c r="K1032" s="27" t="s">
        <v>73</v>
      </c>
      <c r="L1032" s="31" t="s">
        <v>1973</v>
      </c>
      <c r="M1032" s="32">
        <v>0.56999999999999995</v>
      </c>
      <c r="N1032" s="27" t="s">
        <v>33</v>
      </c>
      <c r="O1032" s="27" t="s">
        <v>111</v>
      </c>
      <c r="P1032" s="27" t="s">
        <v>903</v>
      </c>
      <c r="Q1032" s="27" t="s">
        <v>904</v>
      </c>
      <c r="R1032" s="33">
        <v>26003</v>
      </c>
      <c r="S1032" s="34">
        <v>42098</v>
      </c>
      <c r="T1032" s="34">
        <v>42100</v>
      </c>
      <c r="U1032" s="29">
        <v>354.3288</v>
      </c>
      <c r="V1032" s="26">
        <v>8</v>
      </c>
      <c r="W1032" s="29">
        <v>513.52</v>
      </c>
      <c r="X1032" s="26">
        <v>90186</v>
      </c>
      <c r="Y1032" s="35">
        <v>35.99</v>
      </c>
      <c r="Z1032" s="1" t="s">
        <v>3014</v>
      </c>
      <c r="AA1032" s="36">
        <v>4.7808000000000002</v>
      </c>
      <c r="AB1032" s="54">
        <v>220.81360000000001</v>
      </c>
      <c r="AC1032" s="54">
        <v>36.588299999999997</v>
      </c>
      <c r="AD1032" s="36">
        <v>144.7004</v>
      </c>
    </row>
    <row r="1033" spans="1:30" s="37" customFormat="1" ht="15.75" customHeight="1" x14ac:dyDescent="0.2">
      <c r="A1033" s="26">
        <v>2551</v>
      </c>
      <c r="B1033" s="27" t="s">
        <v>1986</v>
      </c>
      <c r="C1033" s="27" t="s">
        <v>48</v>
      </c>
      <c r="D1033" s="28">
        <v>0</v>
      </c>
      <c r="E1033" s="29">
        <v>35.99</v>
      </c>
      <c r="F1033" s="29">
        <v>0.99</v>
      </c>
      <c r="G1033" s="30" t="s">
        <v>39</v>
      </c>
      <c r="H1033" s="27" t="s">
        <v>3095</v>
      </c>
      <c r="I1033" s="27" t="s">
        <v>41</v>
      </c>
      <c r="J1033" s="27" t="s">
        <v>135</v>
      </c>
      <c r="K1033" s="27" t="s">
        <v>43</v>
      </c>
      <c r="L1033" s="31" t="s">
        <v>1985</v>
      </c>
      <c r="M1033" s="32">
        <v>0.35</v>
      </c>
      <c r="N1033" s="27" t="s">
        <v>33</v>
      </c>
      <c r="O1033" s="27" t="s">
        <v>111</v>
      </c>
      <c r="P1033" s="27" t="s">
        <v>320</v>
      </c>
      <c r="Q1033" s="27" t="s">
        <v>1987</v>
      </c>
      <c r="R1033" s="33">
        <v>17403</v>
      </c>
      <c r="S1033" s="34">
        <v>42098</v>
      </c>
      <c r="T1033" s="34">
        <v>42105</v>
      </c>
      <c r="U1033" s="29">
        <v>265.96050000000002</v>
      </c>
      <c r="V1033" s="26">
        <v>12</v>
      </c>
      <c r="W1033" s="29">
        <v>385.45</v>
      </c>
      <c r="X1033" s="26">
        <v>88656</v>
      </c>
      <c r="Y1033" s="35">
        <v>4.9000000000000004</v>
      </c>
      <c r="Z1033" s="1" t="s">
        <v>3014</v>
      </c>
      <c r="AA1033" s="36">
        <v>0</v>
      </c>
      <c r="AB1033" s="54">
        <v>250.54249999999999</v>
      </c>
      <c r="AC1033" s="54">
        <v>11.242291666666665</v>
      </c>
      <c r="AD1033" s="36">
        <v>118.49949999999995</v>
      </c>
    </row>
    <row r="1034" spans="1:30" s="37" customFormat="1" ht="15.75" customHeight="1" x14ac:dyDescent="0.2">
      <c r="A1034" s="26">
        <v>117</v>
      </c>
      <c r="B1034" s="27" t="s">
        <v>141</v>
      </c>
      <c r="C1034" s="27" t="s">
        <v>116</v>
      </c>
      <c r="D1034" s="28">
        <v>0.01</v>
      </c>
      <c r="E1034" s="29">
        <v>4.91</v>
      </c>
      <c r="F1034" s="29">
        <v>0.5</v>
      </c>
      <c r="G1034" s="30" t="s">
        <v>39</v>
      </c>
      <c r="H1034" s="27" t="s">
        <v>71</v>
      </c>
      <c r="I1034" s="27" t="s">
        <v>49</v>
      </c>
      <c r="J1034" s="27" t="s">
        <v>152</v>
      </c>
      <c r="K1034" s="27" t="s">
        <v>73</v>
      </c>
      <c r="L1034" s="31" t="s">
        <v>973</v>
      </c>
      <c r="M1034" s="32">
        <v>0.36</v>
      </c>
      <c r="N1034" s="27" t="s">
        <v>33</v>
      </c>
      <c r="O1034" s="27" t="s">
        <v>60</v>
      </c>
      <c r="P1034" s="27" t="s">
        <v>67</v>
      </c>
      <c r="Q1034" s="27" t="s">
        <v>142</v>
      </c>
      <c r="R1034" s="33">
        <v>98103</v>
      </c>
      <c r="S1034" s="34">
        <v>42098</v>
      </c>
      <c r="T1034" s="34">
        <v>42100</v>
      </c>
      <c r="U1034" s="29">
        <v>112.06</v>
      </c>
      <c r="V1034" s="26">
        <v>47</v>
      </c>
      <c r="W1034" s="29">
        <v>228.46</v>
      </c>
      <c r="X1034" s="26">
        <v>13959</v>
      </c>
      <c r="Y1034" s="35">
        <v>3.91</v>
      </c>
      <c r="Z1034" s="1" t="s">
        <v>3013</v>
      </c>
      <c r="AA1034" s="36">
        <v>2.3077000000000001</v>
      </c>
      <c r="AB1034" s="54">
        <v>146.21440000000001</v>
      </c>
      <c r="AC1034" s="54">
        <v>1.7499063829787234</v>
      </c>
      <c r="AD1034" s="36">
        <v>113.59230000000001</v>
      </c>
    </row>
    <row r="1035" spans="1:30" s="37" customFormat="1" ht="15.75" customHeight="1" x14ac:dyDescent="0.2">
      <c r="A1035" s="26">
        <v>1918</v>
      </c>
      <c r="B1035" s="27" t="s">
        <v>1981</v>
      </c>
      <c r="C1035" s="27" t="s">
        <v>48</v>
      </c>
      <c r="D1035" s="28">
        <v>0.1</v>
      </c>
      <c r="E1035" s="29">
        <v>10.44</v>
      </c>
      <c r="F1035" s="29">
        <v>5.75</v>
      </c>
      <c r="G1035" s="30" t="s">
        <v>87</v>
      </c>
      <c r="H1035" s="27" t="s">
        <v>71</v>
      </c>
      <c r="I1035" s="27" t="s">
        <v>49</v>
      </c>
      <c r="J1035" s="27" t="s">
        <v>72</v>
      </c>
      <c r="K1035" s="27" t="s">
        <v>73</v>
      </c>
      <c r="L1035" s="31" t="s">
        <v>1982</v>
      </c>
      <c r="M1035" s="32">
        <v>0.39</v>
      </c>
      <c r="N1035" s="27" t="s">
        <v>33</v>
      </c>
      <c r="O1035" s="27" t="s">
        <v>34</v>
      </c>
      <c r="P1035" s="27" t="s">
        <v>45</v>
      </c>
      <c r="Q1035" s="27" t="s">
        <v>1983</v>
      </c>
      <c r="R1035" s="33">
        <v>72450</v>
      </c>
      <c r="S1035" s="34">
        <v>42098</v>
      </c>
      <c r="T1035" s="34">
        <v>42105</v>
      </c>
      <c r="U1035" s="29">
        <v>125.724</v>
      </c>
      <c r="V1035" s="26">
        <v>17</v>
      </c>
      <c r="W1035" s="29">
        <v>168.04</v>
      </c>
      <c r="X1035" s="26">
        <v>85898</v>
      </c>
      <c r="Y1035" s="35">
        <v>4.9000000000000004</v>
      </c>
      <c r="Z1035" s="1" t="s">
        <v>3011</v>
      </c>
      <c r="AA1035" s="36">
        <v>17.748000000000001</v>
      </c>
      <c r="AB1035" s="54">
        <v>102.50439999999999</v>
      </c>
      <c r="AC1035" s="54">
        <v>3.8550352941176471</v>
      </c>
      <c r="AD1035" s="36">
        <v>18.818000000000012</v>
      </c>
    </row>
    <row r="1036" spans="1:30" s="37" customFormat="1" ht="15.75" customHeight="1" x14ac:dyDescent="0.2">
      <c r="A1036" s="26">
        <v>1590</v>
      </c>
      <c r="B1036" s="27" t="s">
        <v>1988</v>
      </c>
      <c r="C1036" s="27" t="s">
        <v>116</v>
      </c>
      <c r="D1036" s="28">
        <v>0.03</v>
      </c>
      <c r="E1036" s="29">
        <v>19.04</v>
      </c>
      <c r="F1036" s="29">
        <v>6.38</v>
      </c>
      <c r="G1036" s="30" t="s">
        <v>87</v>
      </c>
      <c r="H1036" s="27" t="s">
        <v>94</v>
      </c>
      <c r="I1036" s="27" t="s">
        <v>29</v>
      </c>
      <c r="J1036" s="27" t="s">
        <v>126</v>
      </c>
      <c r="K1036" s="27" t="s">
        <v>73</v>
      </c>
      <c r="L1036" s="31" t="s">
        <v>1989</v>
      </c>
      <c r="M1036" s="32">
        <v>0.56000000000000005</v>
      </c>
      <c r="N1036" s="27" t="s">
        <v>33</v>
      </c>
      <c r="O1036" s="27" t="s">
        <v>111</v>
      </c>
      <c r="P1036" s="27" t="s">
        <v>317</v>
      </c>
      <c r="Q1036" s="27" t="s">
        <v>1990</v>
      </c>
      <c r="R1036" s="33">
        <v>44094</v>
      </c>
      <c r="S1036" s="34">
        <v>42098</v>
      </c>
      <c r="T1036" s="34">
        <v>42098</v>
      </c>
      <c r="U1036" s="29">
        <v>83.793599999999998</v>
      </c>
      <c r="V1036" s="26">
        <v>7</v>
      </c>
      <c r="W1036" s="29">
        <v>144.03</v>
      </c>
      <c r="X1036" s="26">
        <v>86668</v>
      </c>
      <c r="Y1036" s="35">
        <v>3.91</v>
      </c>
      <c r="Z1036" s="1" t="s">
        <v>3014</v>
      </c>
      <c r="AA1036" s="36">
        <v>3.9983999999999993</v>
      </c>
      <c r="AB1036" s="54">
        <v>63.37319999999999</v>
      </c>
      <c r="AC1036" s="54">
        <v>11.522400000000003</v>
      </c>
      <c r="AD1036" s="36">
        <v>49.858000000000004</v>
      </c>
    </row>
    <row r="1037" spans="1:30" s="37" customFormat="1" ht="15.75" customHeight="1" x14ac:dyDescent="0.2">
      <c r="A1037" s="26">
        <v>3400</v>
      </c>
      <c r="B1037" s="27" t="s">
        <v>1998</v>
      </c>
      <c r="C1037" s="27" t="s">
        <v>116</v>
      </c>
      <c r="D1037" s="28">
        <v>0.1</v>
      </c>
      <c r="E1037" s="29">
        <v>9.3800000000000008</v>
      </c>
      <c r="F1037" s="29">
        <v>4.93</v>
      </c>
      <c r="G1037" s="30" t="s">
        <v>87</v>
      </c>
      <c r="H1037" s="27" t="s">
        <v>3095</v>
      </c>
      <c r="I1037" s="27" t="s">
        <v>29</v>
      </c>
      <c r="J1037" s="27" t="s">
        <v>126</v>
      </c>
      <c r="K1037" s="27" t="s">
        <v>73</v>
      </c>
      <c r="L1037" s="31" t="s">
        <v>1999</v>
      </c>
      <c r="M1037" s="32">
        <v>0.56999999999999995</v>
      </c>
      <c r="N1037" s="27" t="s">
        <v>33</v>
      </c>
      <c r="O1037" s="27" t="s">
        <v>111</v>
      </c>
      <c r="P1037" s="27" t="s">
        <v>903</v>
      </c>
      <c r="Q1037" s="27" t="s">
        <v>2000</v>
      </c>
      <c r="R1037" s="33">
        <v>26554</v>
      </c>
      <c r="S1037" s="34">
        <v>42098</v>
      </c>
      <c r="T1037" s="34">
        <v>42098</v>
      </c>
      <c r="U1037" s="29">
        <v>-24.7104</v>
      </c>
      <c r="V1037" s="26">
        <v>15</v>
      </c>
      <c r="W1037" s="29">
        <v>135.78</v>
      </c>
      <c r="X1037" s="26">
        <v>87537</v>
      </c>
      <c r="Y1037" s="35">
        <v>19.009999999999998</v>
      </c>
      <c r="Z1037" s="1" t="s">
        <v>3014</v>
      </c>
      <c r="AA1037" s="36">
        <v>14.070000000000002</v>
      </c>
      <c r="AB1037" s="54">
        <v>58.385400000000004</v>
      </c>
      <c r="AC1037" s="54">
        <v>5.1596399999999996</v>
      </c>
      <c r="AD1037" s="36">
        <v>141.49039999999999</v>
      </c>
    </row>
    <row r="1038" spans="1:30" s="37" customFormat="1" ht="15.75" customHeight="1" x14ac:dyDescent="0.2">
      <c r="A1038" s="26">
        <v>321</v>
      </c>
      <c r="B1038" s="27" t="s">
        <v>1977</v>
      </c>
      <c r="C1038" s="27" t="s">
        <v>48</v>
      </c>
      <c r="D1038" s="28">
        <v>0.04</v>
      </c>
      <c r="E1038" s="29">
        <v>8.33</v>
      </c>
      <c r="F1038" s="29">
        <v>1.99</v>
      </c>
      <c r="G1038" s="30" t="s">
        <v>39</v>
      </c>
      <c r="H1038" s="27" t="s">
        <v>40</v>
      </c>
      <c r="I1038" s="27" t="s">
        <v>41</v>
      </c>
      <c r="J1038" s="27" t="s">
        <v>42</v>
      </c>
      <c r="K1038" s="27" t="s">
        <v>43</v>
      </c>
      <c r="L1038" s="31" t="s">
        <v>1174</v>
      </c>
      <c r="M1038" s="32">
        <v>0.52</v>
      </c>
      <c r="N1038" s="27" t="s">
        <v>33</v>
      </c>
      <c r="O1038" s="27" t="s">
        <v>111</v>
      </c>
      <c r="P1038" s="27" t="s">
        <v>418</v>
      </c>
      <c r="Q1038" s="27" t="s">
        <v>1978</v>
      </c>
      <c r="R1038" s="33">
        <v>20854</v>
      </c>
      <c r="S1038" s="34">
        <v>42098</v>
      </c>
      <c r="T1038" s="34">
        <v>42103</v>
      </c>
      <c r="U1038" s="29">
        <v>9.9268000000000001</v>
      </c>
      <c r="V1038" s="26">
        <v>11</v>
      </c>
      <c r="W1038" s="29">
        <v>89.76</v>
      </c>
      <c r="X1038" s="26">
        <v>91057</v>
      </c>
      <c r="Y1038" s="35">
        <v>5.5100000000000007</v>
      </c>
      <c r="Z1038" s="1" t="s">
        <v>3014</v>
      </c>
      <c r="AA1038" s="36">
        <v>3.6652</v>
      </c>
      <c r="AB1038" s="54">
        <v>43.084800000000001</v>
      </c>
      <c r="AC1038" s="54">
        <v>4.2431999999999999</v>
      </c>
      <c r="AD1038" s="36">
        <v>74.177999999999997</v>
      </c>
    </row>
    <row r="1039" spans="1:30" s="37" customFormat="1" ht="15.75" customHeight="1" x14ac:dyDescent="0.2">
      <c r="A1039" s="26">
        <v>117</v>
      </c>
      <c r="B1039" s="27" t="s">
        <v>141</v>
      </c>
      <c r="C1039" s="27" t="s">
        <v>116</v>
      </c>
      <c r="D1039" s="28">
        <v>0.09</v>
      </c>
      <c r="E1039" s="29">
        <v>4</v>
      </c>
      <c r="F1039" s="29">
        <v>1.3</v>
      </c>
      <c r="G1039" s="30" t="s">
        <v>87</v>
      </c>
      <c r="H1039" s="27" t="s">
        <v>71</v>
      </c>
      <c r="I1039" s="27" t="s">
        <v>49</v>
      </c>
      <c r="J1039" s="27" t="s">
        <v>88</v>
      </c>
      <c r="K1039" s="27" t="s">
        <v>51</v>
      </c>
      <c r="L1039" s="31" t="s">
        <v>371</v>
      </c>
      <c r="M1039" s="32">
        <v>0.37</v>
      </c>
      <c r="N1039" s="27" t="s">
        <v>33</v>
      </c>
      <c r="O1039" s="27" t="s">
        <v>60</v>
      </c>
      <c r="P1039" s="27" t="s">
        <v>67</v>
      </c>
      <c r="Q1039" s="27" t="s">
        <v>142</v>
      </c>
      <c r="R1039" s="33">
        <v>98103</v>
      </c>
      <c r="S1039" s="34">
        <v>42098</v>
      </c>
      <c r="T1039" s="34">
        <v>42100</v>
      </c>
      <c r="U1039" s="29">
        <v>16.79</v>
      </c>
      <c r="V1039" s="26">
        <v>19</v>
      </c>
      <c r="W1039" s="29">
        <v>77.61</v>
      </c>
      <c r="X1039" s="26">
        <v>13959</v>
      </c>
      <c r="Y1039" s="35">
        <v>63.919999999999995</v>
      </c>
      <c r="Z1039" s="1" t="s">
        <v>3013</v>
      </c>
      <c r="AA1039" s="36">
        <v>6.84</v>
      </c>
      <c r="AB1039" s="54">
        <v>48.894300000000001</v>
      </c>
      <c r="AC1039" s="54">
        <v>1.5113526315789474</v>
      </c>
      <c r="AD1039" s="36">
        <v>52.68</v>
      </c>
    </row>
    <row r="1040" spans="1:30" s="37" customFormat="1" ht="15.75" customHeight="1" x14ac:dyDescent="0.2">
      <c r="A1040" s="26">
        <v>2014</v>
      </c>
      <c r="B1040" s="27" t="s">
        <v>1788</v>
      </c>
      <c r="C1040" s="27" t="s">
        <v>26</v>
      </c>
      <c r="D1040" s="28">
        <v>0.06</v>
      </c>
      <c r="E1040" s="29">
        <v>6.48</v>
      </c>
      <c r="F1040" s="29">
        <v>7.49</v>
      </c>
      <c r="G1040" s="30" t="s">
        <v>39</v>
      </c>
      <c r="H1040" s="27" t="s">
        <v>71</v>
      </c>
      <c r="I1040" s="27" t="s">
        <v>49</v>
      </c>
      <c r="J1040" s="27" t="s">
        <v>88</v>
      </c>
      <c r="K1040" s="27" t="s">
        <v>73</v>
      </c>
      <c r="L1040" s="31" t="s">
        <v>1921</v>
      </c>
      <c r="M1040" s="32">
        <v>0.37</v>
      </c>
      <c r="N1040" s="27" t="s">
        <v>33</v>
      </c>
      <c r="O1040" s="27" t="s">
        <v>53</v>
      </c>
      <c r="P1040" s="27" t="s">
        <v>213</v>
      </c>
      <c r="Q1040" s="27" t="s">
        <v>1789</v>
      </c>
      <c r="R1040" s="33">
        <v>51503</v>
      </c>
      <c r="S1040" s="34">
        <v>42098</v>
      </c>
      <c r="T1040" s="34">
        <v>42098</v>
      </c>
      <c r="U1040" s="29">
        <v>-191.49</v>
      </c>
      <c r="V1040" s="26">
        <v>12</v>
      </c>
      <c r="W1040" s="29">
        <v>74.930000000000007</v>
      </c>
      <c r="X1040" s="26">
        <v>88368</v>
      </c>
      <c r="Y1040" s="35">
        <v>5.01</v>
      </c>
      <c r="Z1040" s="1" t="s">
        <v>3012</v>
      </c>
      <c r="AA1040" s="36">
        <v>4.6656000000000004</v>
      </c>
      <c r="AB1040" s="54">
        <v>47.205900000000007</v>
      </c>
      <c r="AC1040" s="54">
        <v>2.310341666666667</v>
      </c>
      <c r="AD1040" s="36">
        <v>254.26439999999999</v>
      </c>
    </row>
    <row r="1041" spans="1:30" s="37" customFormat="1" ht="15.75" customHeight="1" x14ac:dyDescent="0.2">
      <c r="A1041" s="26">
        <v>114</v>
      </c>
      <c r="B1041" s="27" t="s">
        <v>137</v>
      </c>
      <c r="C1041" s="27" t="s">
        <v>116</v>
      </c>
      <c r="D1041" s="28">
        <v>0.01</v>
      </c>
      <c r="E1041" s="29">
        <v>4.91</v>
      </c>
      <c r="F1041" s="29">
        <v>0.5</v>
      </c>
      <c r="G1041" s="30" t="s">
        <v>39</v>
      </c>
      <c r="H1041" s="27" t="s">
        <v>71</v>
      </c>
      <c r="I1041" s="27" t="s">
        <v>49</v>
      </c>
      <c r="J1041" s="27" t="s">
        <v>152</v>
      </c>
      <c r="K1041" s="27" t="s">
        <v>73</v>
      </c>
      <c r="L1041" s="31" t="s">
        <v>973</v>
      </c>
      <c r="M1041" s="32">
        <v>0.36</v>
      </c>
      <c r="N1041" s="27" t="s">
        <v>33</v>
      </c>
      <c r="O1041" s="27" t="s">
        <v>60</v>
      </c>
      <c r="P1041" s="27" t="s">
        <v>139</v>
      </c>
      <c r="Q1041" s="27" t="s">
        <v>140</v>
      </c>
      <c r="R1041" s="33">
        <v>97035</v>
      </c>
      <c r="S1041" s="34">
        <v>42098</v>
      </c>
      <c r="T1041" s="34">
        <v>42100</v>
      </c>
      <c r="U1041" s="29">
        <v>40.247700000000002</v>
      </c>
      <c r="V1041" s="26">
        <v>12</v>
      </c>
      <c r="W1041" s="29">
        <v>58.33</v>
      </c>
      <c r="X1041" s="26">
        <v>89584</v>
      </c>
      <c r="Y1041" s="35">
        <v>9.2800000000000011</v>
      </c>
      <c r="Z1041" s="1" t="s">
        <v>3013</v>
      </c>
      <c r="AA1041" s="36">
        <v>0.58920000000000006</v>
      </c>
      <c r="AB1041" s="54">
        <v>37.331200000000003</v>
      </c>
      <c r="AC1041" s="54">
        <v>1.7498999999999998</v>
      </c>
      <c r="AD1041" s="36">
        <v>16.993099999999998</v>
      </c>
    </row>
    <row r="1042" spans="1:30" s="37" customFormat="1" ht="15.75" customHeight="1" x14ac:dyDescent="0.2">
      <c r="A1042" s="26">
        <v>1593</v>
      </c>
      <c r="B1042" s="27" t="s">
        <v>1991</v>
      </c>
      <c r="C1042" s="27" t="s">
        <v>116</v>
      </c>
      <c r="D1042" s="28">
        <v>0.02</v>
      </c>
      <c r="E1042" s="29">
        <v>5.53</v>
      </c>
      <c r="F1042" s="29">
        <v>6.98</v>
      </c>
      <c r="G1042" s="30" t="s">
        <v>39</v>
      </c>
      <c r="H1042" s="27" t="s">
        <v>94</v>
      </c>
      <c r="I1042" s="27" t="s">
        <v>49</v>
      </c>
      <c r="J1042" s="27" t="s">
        <v>72</v>
      </c>
      <c r="K1042" s="27" t="s">
        <v>73</v>
      </c>
      <c r="L1042" s="31" t="s">
        <v>1992</v>
      </c>
      <c r="M1042" s="32">
        <v>0.39</v>
      </c>
      <c r="N1042" s="27" t="s">
        <v>33</v>
      </c>
      <c r="O1042" s="27" t="s">
        <v>53</v>
      </c>
      <c r="P1042" s="27" t="s">
        <v>207</v>
      </c>
      <c r="Q1042" s="27" t="s">
        <v>550</v>
      </c>
      <c r="R1042" s="33">
        <v>74006</v>
      </c>
      <c r="S1042" s="34">
        <v>42098</v>
      </c>
      <c r="T1042" s="34">
        <v>42100</v>
      </c>
      <c r="U1042" s="29">
        <v>-77.823719999999994</v>
      </c>
      <c r="V1042" s="26">
        <v>8</v>
      </c>
      <c r="W1042" s="29">
        <v>48.81</v>
      </c>
      <c r="X1042" s="26">
        <v>86668</v>
      </c>
      <c r="Y1042" s="35">
        <v>60.959999999999994</v>
      </c>
      <c r="Z1042" s="1" t="s">
        <v>3012</v>
      </c>
      <c r="AA1042" s="36">
        <v>0.88480000000000003</v>
      </c>
      <c r="AB1042" s="54">
        <v>29.774100000000001</v>
      </c>
      <c r="AC1042" s="54">
        <v>2.3794875000000002</v>
      </c>
      <c r="AD1042" s="36">
        <v>118.76891999999999</v>
      </c>
    </row>
    <row r="1043" spans="1:30" s="37" customFormat="1" ht="15.75" customHeight="1" x14ac:dyDescent="0.2">
      <c r="A1043" s="26">
        <v>2442</v>
      </c>
      <c r="B1043" s="27" t="s">
        <v>1996</v>
      </c>
      <c r="C1043" s="27" t="s">
        <v>116</v>
      </c>
      <c r="D1043" s="28">
        <v>0.01</v>
      </c>
      <c r="E1043" s="29">
        <v>5.0199999999999996</v>
      </c>
      <c r="F1043" s="29">
        <v>5.14</v>
      </c>
      <c r="G1043" s="30" t="s">
        <v>39</v>
      </c>
      <c r="H1043" s="27" t="s">
        <v>40</v>
      </c>
      <c r="I1043" s="27" t="s">
        <v>41</v>
      </c>
      <c r="J1043" s="27" t="s">
        <v>42</v>
      </c>
      <c r="K1043" s="27" t="s">
        <v>43</v>
      </c>
      <c r="L1043" s="31" t="s">
        <v>391</v>
      </c>
      <c r="M1043" s="32">
        <v>0.79</v>
      </c>
      <c r="N1043" s="27" t="s">
        <v>33</v>
      </c>
      <c r="O1043" s="27" t="s">
        <v>34</v>
      </c>
      <c r="P1043" s="27" t="s">
        <v>123</v>
      </c>
      <c r="Q1043" s="27" t="s">
        <v>1997</v>
      </c>
      <c r="R1043" s="33">
        <v>32953</v>
      </c>
      <c r="S1043" s="34">
        <v>42098</v>
      </c>
      <c r="T1043" s="34">
        <v>42100</v>
      </c>
      <c r="U1043" s="29">
        <v>-3.948</v>
      </c>
      <c r="V1043" s="26">
        <v>5</v>
      </c>
      <c r="W1043" s="29">
        <v>27.42</v>
      </c>
      <c r="X1043" s="26">
        <v>89300</v>
      </c>
      <c r="Y1043" s="35">
        <v>1270.97</v>
      </c>
      <c r="Z1043" s="1" t="s">
        <v>3011</v>
      </c>
      <c r="AA1043" s="36">
        <v>0.251</v>
      </c>
      <c r="AB1043" s="54">
        <v>5.7581999999999995</v>
      </c>
      <c r="AC1043" s="54">
        <v>4.3323600000000004</v>
      </c>
      <c r="AD1043" s="36">
        <v>25.977000000000004</v>
      </c>
    </row>
    <row r="1044" spans="1:30" s="37" customFormat="1" ht="15.75" customHeight="1" x14ac:dyDescent="0.2">
      <c r="A1044" s="26">
        <v>114</v>
      </c>
      <c r="B1044" s="27" t="s">
        <v>137</v>
      </c>
      <c r="C1044" s="27" t="s">
        <v>116</v>
      </c>
      <c r="D1044" s="28">
        <v>0.09</v>
      </c>
      <c r="E1044" s="29">
        <v>4</v>
      </c>
      <c r="F1044" s="29">
        <v>1.3</v>
      </c>
      <c r="G1044" s="30" t="s">
        <v>87</v>
      </c>
      <c r="H1044" s="27" t="s">
        <v>71</v>
      </c>
      <c r="I1044" s="27" t="s">
        <v>49</v>
      </c>
      <c r="J1044" s="27" t="s">
        <v>88</v>
      </c>
      <c r="K1044" s="27" t="s">
        <v>51</v>
      </c>
      <c r="L1044" s="31" t="s">
        <v>371</v>
      </c>
      <c r="M1044" s="32">
        <v>0.37</v>
      </c>
      <c r="N1044" s="27" t="s">
        <v>33</v>
      </c>
      <c r="O1044" s="27" t="s">
        <v>60</v>
      </c>
      <c r="P1044" s="27" t="s">
        <v>139</v>
      </c>
      <c r="Q1044" s="27" t="s">
        <v>140</v>
      </c>
      <c r="R1044" s="33">
        <v>97035</v>
      </c>
      <c r="S1044" s="34">
        <v>42098</v>
      </c>
      <c r="T1044" s="34">
        <v>42100</v>
      </c>
      <c r="U1044" s="29">
        <v>14.0898</v>
      </c>
      <c r="V1044" s="26">
        <v>5</v>
      </c>
      <c r="W1044" s="29">
        <v>20.420000000000002</v>
      </c>
      <c r="X1044" s="26">
        <v>89584</v>
      </c>
      <c r="Y1044" s="35">
        <v>60.959999999999994</v>
      </c>
      <c r="Z1044" s="1" t="s">
        <v>3013</v>
      </c>
      <c r="AA1044" s="36">
        <v>1.7999999999999998</v>
      </c>
      <c r="AB1044" s="54">
        <v>12.864600000000001</v>
      </c>
      <c r="AC1044" s="54">
        <v>1.5110800000000002</v>
      </c>
      <c r="AD1044" s="36">
        <v>3.2302</v>
      </c>
    </row>
    <row r="1045" spans="1:30" s="37" customFormat="1" ht="15.75" customHeight="1" x14ac:dyDescent="0.2">
      <c r="A1045" s="26">
        <v>2685</v>
      </c>
      <c r="B1045" s="27" t="s">
        <v>1974</v>
      </c>
      <c r="C1045" s="27" t="s">
        <v>38</v>
      </c>
      <c r="D1045" s="28">
        <v>0</v>
      </c>
      <c r="E1045" s="29">
        <v>7.38</v>
      </c>
      <c r="F1045" s="29">
        <v>11.51</v>
      </c>
      <c r="G1045" s="30" t="s">
        <v>39</v>
      </c>
      <c r="H1045" s="27" t="s">
        <v>3095</v>
      </c>
      <c r="I1045" s="27" t="s">
        <v>49</v>
      </c>
      <c r="J1045" s="27" t="s">
        <v>72</v>
      </c>
      <c r="K1045" s="27" t="s">
        <v>73</v>
      </c>
      <c r="L1045" s="31" t="s">
        <v>1975</v>
      </c>
      <c r="M1045" s="32">
        <v>0.36</v>
      </c>
      <c r="N1045" s="27" t="s">
        <v>33</v>
      </c>
      <c r="O1045" s="27" t="s">
        <v>111</v>
      </c>
      <c r="P1045" s="27" t="s">
        <v>112</v>
      </c>
      <c r="Q1045" s="27" t="s">
        <v>1976</v>
      </c>
      <c r="R1045" s="33">
        <v>11803</v>
      </c>
      <c r="S1045" s="34">
        <v>42098</v>
      </c>
      <c r="T1045" s="34">
        <v>42099</v>
      </c>
      <c r="U1045" s="29">
        <v>-66.171000000000006</v>
      </c>
      <c r="V1045" s="26">
        <v>2</v>
      </c>
      <c r="W1045" s="29">
        <v>17.64</v>
      </c>
      <c r="X1045" s="26">
        <v>89147</v>
      </c>
      <c r="Y1045" s="35">
        <v>1270.97</v>
      </c>
      <c r="Z1045" s="1" t="s">
        <v>3014</v>
      </c>
      <c r="AA1045" s="36">
        <v>0</v>
      </c>
      <c r="AB1045" s="54">
        <v>11.2896</v>
      </c>
      <c r="AC1045" s="54">
        <v>3.1751999999999998</v>
      </c>
      <c r="AD1045" s="36">
        <v>72.301000000000016</v>
      </c>
    </row>
    <row r="1046" spans="1:30" s="37" customFormat="1" ht="15.75" customHeight="1" x14ac:dyDescent="0.2">
      <c r="A1046" s="26">
        <v>975</v>
      </c>
      <c r="B1046" s="27" t="s">
        <v>1979</v>
      </c>
      <c r="C1046" s="27" t="s">
        <v>48</v>
      </c>
      <c r="D1046" s="28">
        <v>0.1</v>
      </c>
      <c r="E1046" s="29">
        <v>2.2200000000000002</v>
      </c>
      <c r="F1046" s="29">
        <v>5</v>
      </c>
      <c r="G1046" s="30" t="s">
        <v>39</v>
      </c>
      <c r="H1046" s="27" t="s">
        <v>94</v>
      </c>
      <c r="I1046" s="27" t="s">
        <v>49</v>
      </c>
      <c r="J1046" s="27" t="s">
        <v>95</v>
      </c>
      <c r="K1046" s="27" t="s">
        <v>73</v>
      </c>
      <c r="L1046" s="31" t="s">
        <v>1980</v>
      </c>
      <c r="M1046" s="32">
        <v>0.55000000000000004</v>
      </c>
      <c r="N1046" s="27" t="s">
        <v>33</v>
      </c>
      <c r="O1046" s="27" t="s">
        <v>111</v>
      </c>
      <c r="P1046" s="27" t="s">
        <v>403</v>
      </c>
      <c r="Q1046" s="27" t="s">
        <v>788</v>
      </c>
      <c r="R1046" s="33">
        <v>2108</v>
      </c>
      <c r="S1046" s="34">
        <v>42098</v>
      </c>
      <c r="T1046" s="34">
        <v>42103</v>
      </c>
      <c r="U1046" s="29">
        <v>-21.319199999999999</v>
      </c>
      <c r="V1046" s="26">
        <v>3</v>
      </c>
      <c r="W1046" s="29">
        <v>8.8000000000000007</v>
      </c>
      <c r="X1046" s="26">
        <v>87260</v>
      </c>
      <c r="Y1046" s="35">
        <v>205.94</v>
      </c>
      <c r="Z1046" s="1" t="s">
        <v>3014</v>
      </c>
      <c r="AA1046" s="36">
        <v>0.66600000000000015</v>
      </c>
      <c r="AB1046" s="54">
        <v>3.96</v>
      </c>
      <c r="AC1046" s="54">
        <v>1.6133333333333335</v>
      </c>
      <c r="AD1046" s="36">
        <v>24.453199999999999</v>
      </c>
    </row>
    <row r="1047" spans="1:30" s="37" customFormat="1" ht="15.75" customHeight="1" x14ac:dyDescent="0.2">
      <c r="A1047" s="26">
        <v>2603</v>
      </c>
      <c r="B1047" s="27" t="s">
        <v>2004</v>
      </c>
      <c r="C1047" s="27" t="s">
        <v>26</v>
      </c>
      <c r="D1047" s="28">
        <v>7.0000000000000007E-2</v>
      </c>
      <c r="E1047" s="29">
        <v>200.99</v>
      </c>
      <c r="F1047" s="29">
        <v>4.2</v>
      </c>
      <c r="G1047" s="30" t="s">
        <v>39</v>
      </c>
      <c r="H1047" s="27" t="s">
        <v>94</v>
      </c>
      <c r="I1047" s="27" t="s">
        <v>41</v>
      </c>
      <c r="J1047" s="27" t="s">
        <v>135</v>
      </c>
      <c r="K1047" s="27" t="s">
        <v>73</v>
      </c>
      <c r="L1047" s="31" t="s">
        <v>794</v>
      </c>
      <c r="M1047" s="32">
        <v>0.59</v>
      </c>
      <c r="N1047" s="27" t="s">
        <v>33</v>
      </c>
      <c r="O1047" s="27" t="s">
        <v>111</v>
      </c>
      <c r="P1047" s="27" t="s">
        <v>397</v>
      </c>
      <c r="Q1047" s="27" t="s">
        <v>2005</v>
      </c>
      <c r="R1047" s="33">
        <v>7601</v>
      </c>
      <c r="S1047" s="34">
        <v>42099</v>
      </c>
      <c r="T1047" s="34">
        <v>42100</v>
      </c>
      <c r="U1047" s="29">
        <v>2225.0761200000002</v>
      </c>
      <c r="V1047" s="26">
        <v>22</v>
      </c>
      <c r="W1047" s="29">
        <v>3705.14</v>
      </c>
      <c r="X1047" s="26">
        <v>87383</v>
      </c>
      <c r="Y1047" s="35">
        <v>200.92000000000002</v>
      </c>
      <c r="Z1047" s="1" t="s">
        <v>3014</v>
      </c>
      <c r="AA1047" s="36">
        <v>309.52460000000002</v>
      </c>
      <c r="AB1047" s="54">
        <v>1519.1074000000001</v>
      </c>
      <c r="AC1047" s="54">
        <v>99.365118181818175</v>
      </c>
      <c r="AD1047" s="36">
        <v>1166.3392799999997</v>
      </c>
    </row>
    <row r="1048" spans="1:30" s="37" customFormat="1" ht="15.75" customHeight="1" x14ac:dyDescent="0.2">
      <c r="A1048" s="26">
        <v>635</v>
      </c>
      <c r="B1048" s="27" t="s">
        <v>2008</v>
      </c>
      <c r="C1048" s="27" t="s">
        <v>38</v>
      </c>
      <c r="D1048" s="28">
        <v>0.03</v>
      </c>
      <c r="E1048" s="29">
        <v>370.98</v>
      </c>
      <c r="F1048" s="29">
        <v>99</v>
      </c>
      <c r="G1048" s="30" t="s">
        <v>27</v>
      </c>
      <c r="H1048" s="27" t="s">
        <v>94</v>
      </c>
      <c r="I1048" s="27" t="s">
        <v>49</v>
      </c>
      <c r="J1048" s="27" t="s">
        <v>78</v>
      </c>
      <c r="K1048" s="27" t="s">
        <v>58</v>
      </c>
      <c r="L1048" s="31" t="s">
        <v>2010</v>
      </c>
      <c r="M1048" s="32">
        <v>0.65</v>
      </c>
      <c r="N1048" s="27" t="s">
        <v>33</v>
      </c>
      <c r="O1048" s="27" t="s">
        <v>53</v>
      </c>
      <c r="P1048" s="27" t="s">
        <v>84</v>
      </c>
      <c r="Q1048" s="27" t="s">
        <v>2009</v>
      </c>
      <c r="R1048" s="33">
        <v>55106</v>
      </c>
      <c r="S1048" s="34">
        <v>42099</v>
      </c>
      <c r="T1048" s="34">
        <v>42100</v>
      </c>
      <c r="U1048" s="29">
        <v>-124.2864</v>
      </c>
      <c r="V1048" s="26">
        <v>6</v>
      </c>
      <c r="W1048" s="29">
        <v>2309.4899999999998</v>
      </c>
      <c r="X1048" s="26">
        <v>89284</v>
      </c>
      <c r="Y1048" s="35">
        <v>297.47000000000003</v>
      </c>
      <c r="Z1048" s="1" t="s">
        <v>3012</v>
      </c>
      <c r="AA1048" s="36">
        <v>66.776399999999995</v>
      </c>
      <c r="AB1048" s="54">
        <v>808.3214999999999</v>
      </c>
      <c r="AC1048" s="54">
        <v>250.19475</v>
      </c>
      <c r="AD1048" s="36">
        <v>2268</v>
      </c>
    </row>
    <row r="1049" spans="1:30" s="37" customFormat="1" ht="15.75" customHeight="1" x14ac:dyDescent="0.2">
      <c r="A1049" s="26">
        <v>1891</v>
      </c>
      <c r="B1049" s="27" t="s">
        <v>2017</v>
      </c>
      <c r="C1049" s="27" t="s">
        <v>3094</v>
      </c>
      <c r="D1049" s="28">
        <v>0.03</v>
      </c>
      <c r="E1049" s="29">
        <v>320.64</v>
      </c>
      <c r="F1049" s="29">
        <v>29.2</v>
      </c>
      <c r="G1049" s="30" t="s">
        <v>27</v>
      </c>
      <c r="H1049" s="27" t="s">
        <v>71</v>
      </c>
      <c r="I1049" s="27" t="s">
        <v>29</v>
      </c>
      <c r="J1049" s="27" t="s">
        <v>30</v>
      </c>
      <c r="K1049" s="27" t="s">
        <v>31</v>
      </c>
      <c r="L1049" s="31" t="s">
        <v>2018</v>
      </c>
      <c r="M1049" s="32">
        <v>0.66</v>
      </c>
      <c r="N1049" s="27" t="s">
        <v>33</v>
      </c>
      <c r="O1049" s="27" t="s">
        <v>111</v>
      </c>
      <c r="P1049" s="27" t="s">
        <v>317</v>
      </c>
      <c r="Q1049" s="27" t="s">
        <v>2019</v>
      </c>
      <c r="R1049" s="33">
        <v>45801</v>
      </c>
      <c r="S1049" s="34">
        <v>42099</v>
      </c>
      <c r="T1049" s="34">
        <v>42101</v>
      </c>
      <c r="U1049" s="29">
        <v>429.75435599999997</v>
      </c>
      <c r="V1049" s="26">
        <v>7</v>
      </c>
      <c r="W1049" s="29">
        <v>2233.46</v>
      </c>
      <c r="X1049" s="26">
        <v>90630</v>
      </c>
      <c r="Y1049" s="35">
        <v>2.0700000000000003</v>
      </c>
      <c r="Z1049" s="1" t="s">
        <v>3014</v>
      </c>
      <c r="AA1049" s="36">
        <v>67.334399999999988</v>
      </c>
      <c r="AB1049" s="54">
        <v>759.37639999999999</v>
      </c>
      <c r="AC1049" s="54">
        <v>210.58337142857144</v>
      </c>
      <c r="AD1049" s="36">
        <v>1707.1712440000001</v>
      </c>
    </row>
    <row r="1050" spans="1:30" s="37" customFormat="1" ht="15.75" customHeight="1" x14ac:dyDescent="0.2">
      <c r="A1050" s="26">
        <v>2604</v>
      </c>
      <c r="B1050" s="27" t="s">
        <v>2006</v>
      </c>
      <c r="C1050" s="27" t="s">
        <v>26</v>
      </c>
      <c r="D1050" s="28">
        <v>0.01</v>
      </c>
      <c r="E1050" s="29">
        <v>297.48</v>
      </c>
      <c r="F1050" s="29">
        <v>18.059999999999999</v>
      </c>
      <c r="G1050" s="30" t="s">
        <v>27</v>
      </c>
      <c r="H1050" s="27" t="s">
        <v>94</v>
      </c>
      <c r="I1050" s="27" t="s">
        <v>41</v>
      </c>
      <c r="J1050" s="27" t="s">
        <v>57</v>
      </c>
      <c r="K1050" s="27" t="s">
        <v>58</v>
      </c>
      <c r="L1050" s="31" t="s">
        <v>387</v>
      </c>
      <c r="M1050" s="32">
        <v>0.6</v>
      </c>
      <c r="N1050" s="27" t="s">
        <v>33</v>
      </c>
      <c r="O1050" s="27" t="s">
        <v>111</v>
      </c>
      <c r="P1050" s="27" t="s">
        <v>397</v>
      </c>
      <c r="Q1050" s="27" t="s">
        <v>2007</v>
      </c>
      <c r="R1050" s="33">
        <v>8830</v>
      </c>
      <c r="S1050" s="34">
        <v>42099</v>
      </c>
      <c r="T1050" s="34">
        <v>42100</v>
      </c>
      <c r="U1050" s="29">
        <v>-338.18083200000001</v>
      </c>
      <c r="V1050" s="26">
        <v>3</v>
      </c>
      <c r="W1050" s="29">
        <v>945.36</v>
      </c>
      <c r="X1050" s="26">
        <v>87383</v>
      </c>
      <c r="Y1050" s="35">
        <v>370.95000000000005</v>
      </c>
      <c r="Z1050" s="1" t="s">
        <v>3014</v>
      </c>
      <c r="AA1050" s="36">
        <v>8.9244000000000003</v>
      </c>
      <c r="AB1050" s="54">
        <v>378.14400000000001</v>
      </c>
      <c r="AC1050" s="54">
        <v>189.072</v>
      </c>
      <c r="AD1050" s="36">
        <v>1256.5564320000001</v>
      </c>
    </row>
    <row r="1051" spans="1:30" s="37" customFormat="1" ht="15.75" customHeight="1" x14ac:dyDescent="0.2">
      <c r="A1051" s="26">
        <v>1246</v>
      </c>
      <c r="B1051" s="27" t="s">
        <v>2011</v>
      </c>
      <c r="C1051" s="27" t="s">
        <v>38</v>
      </c>
      <c r="D1051" s="28">
        <v>0.1</v>
      </c>
      <c r="E1051" s="29">
        <v>22.38</v>
      </c>
      <c r="F1051" s="29">
        <v>15.1</v>
      </c>
      <c r="G1051" s="30" t="s">
        <v>39</v>
      </c>
      <c r="H1051" s="27" t="s">
        <v>71</v>
      </c>
      <c r="I1051" s="27" t="s">
        <v>49</v>
      </c>
      <c r="J1051" s="27" t="s">
        <v>72</v>
      </c>
      <c r="K1051" s="27" t="s">
        <v>73</v>
      </c>
      <c r="L1051" s="31" t="s">
        <v>1085</v>
      </c>
      <c r="M1051" s="32">
        <v>0.38</v>
      </c>
      <c r="N1051" s="27" t="s">
        <v>33</v>
      </c>
      <c r="O1051" s="27" t="s">
        <v>111</v>
      </c>
      <c r="P1051" s="27" t="s">
        <v>112</v>
      </c>
      <c r="Q1051" s="27" t="s">
        <v>113</v>
      </c>
      <c r="R1051" s="33">
        <v>10009</v>
      </c>
      <c r="S1051" s="34">
        <v>42099</v>
      </c>
      <c r="T1051" s="34">
        <v>42100</v>
      </c>
      <c r="U1051" s="29">
        <v>-107.51349999999999</v>
      </c>
      <c r="V1051" s="26">
        <v>26</v>
      </c>
      <c r="W1051" s="29">
        <v>564.98</v>
      </c>
      <c r="X1051" s="26">
        <v>36452</v>
      </c>
      <c r="Y1051" s="35">
        <v>22.279999999999998</v>
      </c>
      <c r="Z1051" s="1" t="s">
        <v>3014</v>
      </c>
      <c r="AA1051" s="36">
        <v>58.188000000000002</v>
      </c>
      <c r="AB1051" s="54">
        <v>350.2876</v>
      </c>
      <c r="AC1051" s="54">
        <v>8.2574000000000005</v>
      </c>
      <c r="AD1051" s="36">
        <v>599.20550000000003</v>
      </c>
    </row>
    <row r="1052" spans="1:30" s="37" customFormat="1" ht="15.75" customHeight="1" x14ac:dyDescent="0.2">
      <c r="A1052" s="26">
        <v>2960</v>
      </c>
      <c r="B1052" s="27" t="s">
        <v>2020</v>
      </c>
      <c r="C1052" s="27" t="s">
        <v>3094</v>
      </c>
      <c r="D1052" s="28">
        <v>0.1</v>
      </c>
      <c r="E1052" s="29">
        <v>36.549999999999997</v>
      </c>
      <c r="F1052" s="29">
        <v>13.89</v>
      </c>
      <c r="G1052" s="30" t="s">
        <v>39</v>
      </c>
      <c r="H1052" s="27" t="s">
        <v>94</v>
      </c>
      <c r="I1052" s="27" t="s">
        <v>49</v>
      </c>
      <c r="J1052" s="27" t="s">
        <v>50</v>
      </c>
      <c r="K1052" s="27" t="s">
        <v>51</v>
      </c>
      <c r="L1052" s="31" t="s">
        <v>1353</v>
      </c>
      <c r="M1052" s="32">
        <v>0.41</v>
      </c>
      <c r="N1052" s="27" t="s">
        <v>33</v>
      </c>
      <c r="O1052" s="27" t="s">
        <v>34</v>
      </c>
      <c r="P1052" s="27" t="s">
        <v>45</v>
      </c>
      <c r="Q1052" s="27" t="s">
        <v>2021</v>
      </c>
      <c r="R1052" s="33">
        <v>72956</v>
      </c>
      <c r="S1052" s="34">
        <v>42099</v>
      </c>
      <c r="T1052" s="34">
        <v>42101</v>
      </c>
      <c r="U1052" s="29">
        <v>-89.572000000000003</v>
      </c>
      <c r="V1052" s="26">
        <v>11</v>
      </c>
      <c r="W1052" s="29">
        <v>379.72</v>
      </c>
      <c r="X1052" s="26">
        <v>90646</v>
      </c>
      <c r="Y1052" s="35">
        <v>6.94</v>
      </c>
      <c r="Z1052" s="1" t="s">
        <v>3011</v>
      </c>
      <c r="AA1052" s="36">
        <v>40.204999999999998</v>
      </c>
      <c r="AB1052" s="54">
        <v>224.03480000000005</v>
      </c>
      <c r="AC1052" s="54">
        <v>14.1532</v>
      </c>
      <c r="AD1052" s="36">
        <v>415.197</v>
      </c>
    </row>
    <row r="1053" spans="1:30" s="37" customFormat="1" ht="15.75" customHeight="1" x14ac:dyDescent="0.2">
      <c r="A1053" s="26">
        <v>1459</v>
      </c>
      <c r="B1053" s="27" t="s">
        <v>2015</v>
      </c>
      <c r="C1053" s="27" t="s">
        <v>38</v>
      </c>
      <c r="D1053" s="28">
        <v>0.05</v>
      </c>
      <c r="E1053" s="29">
        <v>85.99</v>
      </c>
      <c r="F1053" s="29">
        <v>0.99</v>
      </c>
      <c r="G1053" s="30" t="s">
        <v>39</v>
      </c>
      <c r="H1053" s="27" t="s">
        <v>40</v>
      </c>
      <c r="I1053" s="27" t="s">
        <v>41</v>
      </c>
      <c r="J1053" s="27" t="s">
        <v>135</v>
      </c>
      <c r="K1053" s="27" t="s">
        <v>51</v>
      </c>
      <c r="L1053" s="31" t="s">
        <v>1176</v>
      </c>
      <c r="M1053" s="32">
        <v>0.55000000000000004</v>
      </c>
      <c r="N1053" s="27" t="s">
        <v>33</v>
      </c>
      <c r="O1053" s="27" t="s">
        <v>34</v>
      </c>
      <c r="P1053" s="27" t="s">
        <v>271</v>
      </c>
      <c r="Q1053" s="27" t="s">
        <v>2016</v>
      </c>
      <c r="R1053" s="33">
        <v>29687</v>
      </c>
      <c r="S1053" s="34">
        <v>42099</v>
      </c>
      <c r="T1053" s="34">
        <v>42101</v>
      </c>
      <c r="U1053" s="29">
        <v>36.216000000000001</v>
      </c>
      <c r="V1053" s="26">
        <v>4</v>
      </c>
      <c r="W1053" s="29">
        <v>291.64</v>
      </c>
      <c r="X1053" s="26">
        <v>86734</v>
      </c>
      <c r="Y1053" s="35">
        <v>22.279999999999998</v>
      </c>
      <c r="Z1053" s="1" t="s">
        <v>3011</v>
      </c>
      <c r="AA1053" s="36">
        <v>17.198</v>
      </c>
      <c r="AB1053" s="54">
        <v>131.23799999999997</v>
      </c>
      <c r="AC1053" s="54">
        <v>40.100500000000004</v>
      </c>
      <c r="AD1053" s="36">
        <v>237.23599999999999</v>
      </c>
    </row>
    <row r="1054" spans="1:30" s="37" customFormat="1" ht="15.75" customHeight="1" x14ac:dyDescent="0.2">
      <c r="A1054" s="26">
        <v>1247</v>
      </c>
      <c r="B1054" s="27" t="s">
        <v>2013</v>
      </c>
      <c r="C1054" s="27" t="s">
        <v>38</v>
      </c>
      <c r="D1054" s="28">
        <v>0.1</v>
      </c>
      <c r="E1054" s="29">
        <v>22.38</v>
      </c>
      <c r="F1054" s="29">
        <v>15.1</v>
      </c>
      <c r="G1054" s="30" t="s">
        <v>39</v>
      </c>
      <c r="H1054" s="27" t="s">
        <v>71</v>
      </c>
      <c r="I1054" s="27" t="s">
        <v>49</v>
      </c>
      <c r="J1054" s="27" t="s">
        <v>72</v>
      </c>
      <c r="K1054" s="27" t="s">
        <v>73</v>
      </c>
      <c r="L1054" s="31" t="s">
        <v>1085</v>
      </c>
      <c r="M1054" s="32">
        <v>0.38</v>
      </c>
      <c r="N1054" s="27" t="s">
        <v>33</v>
      </c>
      <c r="O1054" s="27" t="s">
        <v>53</v>
      </c>
      <c r="P1054" s="27" t="s">
        <v>187</v>
      </c>
      <c r="Q1054" s="27" t="s">
        <v>2014</v>
      </c>
      <c r="R1054" s="33">
        <v>78641</v>
      </c>
      <c r="S1054" s="34">
        <v>42099</v>
      </c>
      <c r="T1054" s="34">
        <v>42100</v>
      </c>
      <c r="U1054" s="29">
        <v>-107.51349999999999</v>
      </c>
      <c r="V1054" s="26">
        <v>7</v>
      </c>
      <c r="W1054" s="29">
        <v>152.11000000000001</v>
      </c>
      <c r="X1054" s="26">
        <v>91555</v>
      </c>
      <c r="Y1054" s="35">
        <v>6.94</v>
      </c>
      <c r="Z1054" s="1" t="s">
        <v>3012</v>
      </c>
      <c r="AA1054" s="36">
        <v>15.666</v>
      </c>
      <c r="AB1054" s="54">
        <v>94.308200000000014</v>
      </c>
      <c r="AC1054" s="54">
        <v>8.2574000000000005</v>
      </c>
      <c r="AD1054" s="36">
        <v>228.85750000000002</v>
      </c>
    </row>
    <row r="1055" spans="1:30" s="37" customFormat="1" ht="15.75" customHeight="1" x14ac:dyDescent="0.2">
      <c r="A1055" s="26">
        <v>1246</v>
      </c>
      <c r="B1055" s="27" t="s">
        <v>2011</v>
      </c>
      <c r="C1055" s="27" t="s">
        <v>38</v>
      </c>
      <c r="D1055" s="28">
        <v>0.04</v>
      </c>
      <c r="E1055" s="29">
        <v>6.98</v>
      </c>
      <c r="F1055" s="29">
        <v>2.83</v>
      </c>
      <c r="G1055" s="30" t="s">
        <v>39</v>
      </c>
      <c r="H1055" s="27" t="s">
        <v>71</v>
      </c>
      <c r="I1055" s="27" t="s">
        <v>29</v>
      </c>
      <c r="J1055" s="27" t="s">
        <v>126</v>
      </c>
      <c r="K1055" s="27" t="s">
        <v>43</v>
      </c>
      <c r="L1055" s="31" t="s">
        <v>2012</v>
      </c>
      <c r="M1055" s="32">
        <v>0.37</v>
      </c>
      <c r="N1055" s="27" t="s">
        <v>33</v>
      </c>
      <c r="O1055" s="27" t="s">
        <v>111</v>
      </c>
      <c r="P1055" s="27" t="s">
        <v>112</v>
      </c>
      <c r="Q1055" s="27" t="s">
        <v>113</v>
      </c>
      <c r="R1055" s="33">
        <v>10009</v>
      </c>
      <c r="S1055" s="34">
        <v>42099</v>
      </c>
      <c r="T1055" s="34">
        <v>42101</v>
      </c>
      <c r="U1055" s="29">
        <v>46.01</v>
      </c>
      <c r="V1055" s="26">
        <v>18</v>
      </c>
      <c r="W1055" s="29">
        <v>129.47999999999999</v>
      </c>
      <c r="X1055" s="26">
        <v>36452</v>
      </c>
      <c r="Y1055" s="35">
        <v>85.94</v>
      </c>
      <c r="Z1055" s="1" t="s">
        <v>3014</v>
      </c>
      <c r="AA1055" s="36">
        <v>5.0255999999999998</v>
      </c>
      <c r="AB1055" s="54">
        <v>81.572399999999988</v>
      </c>
      <c r="AC1055" s="54">
        <v>2.6615333333333329</v>
      </c>
      <c r="AD1055" s="36">
        <v>75.614399999999989</v>
      </c>
    </row>
    <row r="1056" spans="1:30" s="37" customFormat="1" ht="15.75" customHeight="1" x14ac:dyDescent="0.2">
      <c r="A1056" s="26">
        <v>1247</v>
      </c>
      <c r="B1056" s="27" t="s">
        <v>2013</v>
      </c>
      <c r="C1056" s="27" t="s">
        <v>38</v>
      </c>
      <c r="D1056" s="28">
        <v>0.04</v>
      </c>
      <c r="E1056" s="29">
        <v>6.98</v>
      </c>
      <c r="F1056" s="29">
        <v>2.83</v>
      </c>
      <c r="G1056" s="30" t="s">
        <v>39</v>
      </c>
      <c r="H1056" s="27" t="s">
        <v>71</v>
      </c>
      <c r="I1056" s="27" t="s">
        <v>29</v>
      </c>
      <c r="J1056" s="27" t="s">
        <v>126</v>
      </c>
      <c r="K1056" s="27" t="s">
        <v>43</v>
      </c>
      <c r="L1056" s="31" t="s">
        <v>2012</v>
      </c>
      <c r="M1056" s="32">
        <v>0.37</v>
      </c>
      <c r="N1056" s="27" t="s">
        <v>33</v>
      </c>
      <c r="O1056" s="27" t="s">
        <v>53</v>
      </c>
      <c r="P1056" s="27" t="s">
        <v>187</v>
      </c>
      <c r="Q1056" s="27" t="s">
        <v>2014</v>
      </c>
      <c r="R1056" s="33">
        <v>78641</v>
      </c>
      <c r="S1056" s="34">
        <v>42099</v>
      </c>
      <c r="T1056" s="34">
        <v>42101</v>
      </c>
      <c r="U1056" s="29">
        <v>24.819299999999998</v>
      </c>
      <c r="V1056" s="26">
        <v>5</v>
      </c>
      <c r="W1056" s="29">
        <v>35.97</v>
      </c>
      <c r="X1056" s="26">
        <v>91555</v>
      </c>
      <c r="Y1056" s="35">
        <v>320.61</v>
      </c>
      <c r="Z1056" s="1" t="s">
        <v>3012</v>
      </c>
      <c r="AA1056" s="36">
        <v>1.3959999999999999</v>
      </c>
      <c r="AB1056" s="54">
        <v>22.661100000000001</v>
      </c>
      <c r="AC1056" s="54">
        <v>2.6617799999999998</v>
      </c>
      <c r="AD1056" s="36">
        <v>6.9247000000000014</v>
      </c>
    </row>
    <row r="1057" spans="1:30" s="37" customFormat="1" ht="15.75" customHeight="1" x14ac:dyDescent="0.2">
      <c r="A1057" s="26">
        <v>635</v>
      </c>
      <c r="B1057" s="27" t="s">
        <v>2008</v>
      </c>
      <c r="C1057" s="27" t="s">
        <v>38</v>
      </c>
      <c r="D1057" s="28">
        <v>0.01</v>
      </c>
      <c r="E1057" s="29">
        <v>2.08</v>
      </c>
      <c r="F1057" s="29">
        <v>5.33</v>
      </c>
      <c r="G1057" s="30" t="s">
        <v>39</v>
      </c>
      <c r="H1057" s="27" t="s">
        <v>94</v>
      </c>
      <c r="I1057" s="27" t="s">
        <v>29</v>
      </c>
      <c r="J1057" s="27" t="s">
        <v>126</v>
      </c>
      <c r="K1057" s="27" t="s">
        <v>73</v>
      </c>
      <c r="L1057" s="31" t="s">
        <v>459</v>
      </c>
      <c r="M1057" s="32">
        <v>0.43</v>
      </c>
      <c r="N1057" s="27" t="s">
        <v>33</v>
      </c>
      <c r="O1057" s="27" t="s">
        <v>53</v>
      </c>
      <c r="P1057" s="27" t="s">
        <v>84</v>
      </c>
      <c r="Q1057" s="27" t="s">
        <v>2009</v>
      </c>
      <c r="R1057" s="33">
        <v>55106</v>
      </c>
      <c r="S1057" s="34">
        <v>42099</v>
      </c>
      <c r="T1057" s="34">
        <v>42099</v>
      </c>
      <c r="U1057" s="29">
        <v>-103.7124</v>
      </c>
      <c r="V1057" s="26">
        <v>12</v>
      </c>
      <c r="W1057" s="29">
        <v>28.32</v>
      </c>
      <c r="X1057" s="26">
        <v>89284</v>
      </c>
      <c r="Y1057" s="35">
        <v>36.449999999999996</v>
      </c>
      <c r="Z1057" s="1" t="s">
        <v>3012</v>
      </c>
      <c r="AA1057" s="36">
        <v>0.24960000000000004</v>
      </c>
      <c r="AB1057" s="54">
        <v>16.142400000000002</v>
      </c>
      <c r="AC1057" s="54">
        <v>1.0147999999999999</v>
      </c>
      <c r="AD1057" s="36">
        <v>126.4528</v>
      </c>
    </row>
    <row r="1058" spans="1:30" s="37" customFormat="1" ht="15.75" customHeight="1" x14ac:dyDescent="0.2">
      <c r="A1058" s="26">
        <v>102</v>
      </c>
      <c r="B1058" s="27" t="s">
        <v>2042</v>
      </c>
      <c r="C1058" s="27" t="s">
        <v>116</v>
      </c>
      <c r="D1058" s="28">
        <v>0.04</v>
      </c>
      <c r="E1058" s="29">
        <v>300.98</v>
      </c>
      <c r="F1058" s="29">
        <v>54.92</v>
      </c>
      <c r="G1058" s="30" t="s">
        <v>27</v>
      </c>
      <c r="H1058" s="27" t="s">
        <v>40</v>
      </c>
      <c r="I1058" s="27" t="s">
        <v>29</v>
      </c>
      <c r="J1058" s="27" t="s">
        <v>117</v>
      </c>
      <c r="K1058" s="27" t="s">
        <v>31</v>
      </c>
      <c r="L1058" s="31" t="s">
        <v>1970</v>
      </c>
      <c r="M1058" s="32">
        <v>0.55000000000000004</v>
      </c>
      <c r="N1058" s="27" t="s">
        <v>33</v>
      </c>
      <c r="O1058" s="27" t="s">
        <v>111</v>
      </c>
      <c r="P1058" s="27" t="s">
        <v>403</v>
      </c>
      <c r="Q1058" s="27" t="s">
        <v>788</v>
      </c>
      <c r="R1058" s="33">
        <v>2129</v>
      </c>
      <c r="S1058" s="34">
        <v>42100</v>
      </c>
      <c r="T1058" s="34">
        <v>42101</v>
      </c>
      <c r="U1058" s="29">
        <v>2023.75</v>
      </c>
      <c r="V1058" s="26">
        <v>31</v>
      </c>
      <c r="W1058" s="29">
        <v>9459.94</v>
      </c>
      <c r="X1058" s="26">
        <v>42599</v>
      </c>
      <c r="Y1058" s="35">
        <v>2.1500000000000004</v>
      </c>
      <c r="Z1058" s="1" t="s">
        <v>3014</v>
      </c>
      <c r="AA1058" s="36">
        <v>373.21520000000004</v>
      </c>
      <c r="AB1058" s="54">
        <v>4256.973</v>
      </c>
      <c r="AC1058" s="54">
        <v>167.83764516129034</v>
      </c>
      <c r="AD1058" s="36">
        <v>7008.0547999999999</v>
      </c>
    </row>
    <row r="1059" spans="1:30" s="37" customFormat="1" ht="15.75" customHeight="1" x14ac:dyDescent="0.2">
      <c r="A1059" s="26">
        <v>107</v>
      </c>
      <c r="B1059" s="27" t="s">
        <v>2043</v>
      </c>
      <c r="C1059" s="27" t="s">
        <v>116</v>
      </c>
      <c r="D1059" s="28">
        <v>0.04</v>
      </c>
      <c r="E1059" s="29">
        <v>300.98</v>
      </c>
      <c r="F1059" s="29">
        <v>54.92</v>
      </c>
      <c r="G1059" s="30" t="s">
        <v>27</v>
      </c>
      <c r="H1059" s="27" t="s">
        <v>40</v>
      </c>
      <c r="I1059" s="27" t="s">
        <v>29</v>
      </c>
      <c r="J1059" s="27" t="s">
        <v>117</v>
      </c>
      <c r="K1059" s="27" t="s">
        <v>31</v>
      </c>
      <c r="L1059" s="31" t="s">
        <v>1970</v>
      </c>
      <c r="M1059" s="32">
        <v>0.55000000000000004</v>
      </c>
      <c r="N1059" s="27" t="s">
        <v>33</v>
      </c>
      <c r="O1059" s="27" t="s">
        <v>111</v>
      </c>
      <c r="P1059" s="27" t="s">
        <v>1356</v>
      </c>
      <c r="Q1059" s="27" t="s">
        <v>2044</v>
      </c>
      <c r="R1059" s="33">
        <v>3820</v>
      </c>
      <c r="S1059" s="34">
        <v>42100</v>
      </c>
      <c r="T1059" s="34">
        <v>42101</v>
      </c>
      <c r="U1059" s="29">
        <v>1684.4763</v>
      </c>
      <c r="V1059" s="26">
        <v>8</v>
      </c>
      <c r="W1059" s="29">
        <v>2441.27</v>
      </c>
      <c r="X1059" s="26">
        <v>88204</v>
      </c>
      <c r="Y1059" s="35">
        <v>170.97</v>
      </c>
      <c r="Z1059" s="1" t="s">
        <v>3014</v>
      </c>
      <c r="AA1059" s="36">
        <v>96.313600000000008</v>
      </c>
      <c r="AB1059" s="54">
        <v>1098.5714999999998</v>
      </c>
      <c r="AC1059" s="54">
        <v>167.83731250000002</v>
      </c>
      <c r="AD1059" s="36">
        <v>605.56009999999992</v>
      </c>
    </row>
    <row r="1060" spans="1:30" s="37" customFormat="1" ht="15.75" customHeight="1" x14ac:dyDescent="0.2">
      <c r="A1060" s="26">
        <v>929</v>
      </c>
      <c r="B1060" s="27" t="s">
        <v>2024</v>
      </c>
      <c r="C1060" s="27" t="s">
        <v>26</v>
      </c>
      <c r="D1060" s="28">
        <v>0.01</v>
      </c>
      <c r="E1060" s="29">
        <v>170.98</v>
      </c>
      <c r="F1060" s="29">
        <v>35.89</v>
      </c>
      <c r="G1060" s="30" t="s">
        <v>27</v>
      </c>
      <c r="H1060" s="27" t="s">
        <v>3095</v>
      </c>
      <c r="I1060" s="27" t="s">
        <v>29</v>
      </c>
      <c r="J1060" s="27" t="s">
        <v>117</v>
      </c>
      <c r="K1060" s="27" t="s">
        <v>31</v>
      </c>
      <c r="L1060" s="31" t="s">
        <v>1469</v>
      </c>
      <c r="M1060" s="32">
        <v>0.66</v>
      </c>
      <c r="N1060" s="27" t="s">
        <v>33</v>
      </c>
      <c r="O1060" s="27" t="s">
        <v>111</v>
      </c>
      <c r="P1060" s="27" t="s">
        <v>397</v>
      </c>
      <c r="Q1060" s="27" t="s">
        <v>2025</v>
      </c>
      <c r="R1060" s="33">
        <v>8857</v>
      </c>
      <c r="S1060" s="34">
        <v>42100</v>
      </c>
      <c r="T1060" s="34">
        <v>42102</v>
      </c>
      <c r="U1060" s="29">
        <v>538.52</v>
      </c>
      <c r="V1060" s="26">
        <v>10</v>
      </c>
      <c r="W1060" s="29">
        <v>1719.07</v>
      </c>
      <c r="X1060" s="26">
        <v>87134</v>
      </c>
      <c r="Y1060" s="35">
        <v>2.8800000000000003</v>
      </c>
      <c r="Z1060" s="1" t="s">
        <v>3014</v>
      </c>
      <c r="AA1060" s="36">
        <v>17.097999999999999</v>
      </c>
      <c r="AB1060" s="54">
        <v>584.48379999999997</v>
      </c>
      <c r="AC1060" s="54">
        <v>113.45862</v>
      </c>
      <c r="AD1060" s="36">
        <v>1127.5619999999999</v>
      </c>
    </row>
    <row r="1061" spans="1:30" s="37" customFormat="1" ht="15.75" customHeight="1" x14ac:dyDescent="0.2">
      <c r="A1061" s="26">
        <v>3279</v>
      </c>
      <c r="B1061" s="27" t="s">
        <v>1636</v>
      </c>
      <c r="C1061" s="27" t="s">
        <v>38</v>
      </c>
      <c r="D1061" s="28">
        <v>0.01</v>
      </c>
      <c r="E1061" s="29">
        <v>125.99</v>
      </c>
      <c r="F1061" s="29">
        <v>7.69</v>
      </c>
      <c r="G1061" s="30" t="s">
        <v>39</v>
      </c>
      <c r="H1061" s="27" t="s">
        <v>71</v>
      </c>
      <c r="I1061" s="27" t="s">
        <v>41</v>
      </c>
      <c r="J1061" s="27" t="s">
        <v>135</v>
      </c>
      <c r="K1061" s="27" t="s">
        <v>73</v>
      </c>
      <c r="L1061" s="31" t="s">
        <v>1049</v>
      </c>
      <c r="M1061" s="32">
        <v>0.57999999999999996</v>
      </c>
      <c r="N1061" s="27" t="s">
        <v>33</v>
      </c>
      <c r="O1061" s="27" t="s">
        <v>34</v>
      </c>
      <c r="P1061" s="27" t="s">
        <v>271</v>
      </c>
      <c r="Q1061" s="27" t="s">
        <v>1637</v>
      </c>
      <c r="R1061" s="33">
        <v>29203</v>
      </c>
      <c r="S1061" s="34">
        <v>42100</v>
      </c>
      <c r="T1061" s="34">
        <v>42100</v>
      </c>
      <c r="U1061" s="29">
        <v>8.3219999999999992</v>
      </c>
      <c r="V1061" s="26">
        <v>11</v>
      </c>
      <c r="W1061" s="29">
        <v>1212.8800000000001</v>
      </c>
      <c r="X1061" s="26">
        <v>90766</v>
      </c>
      <c r="Y1061" s="35">
        <v>55.99</v>
      </c>
      <c r="Z1061" s="1" t="s">
        <v>3011</v>
      </c>
      <c r="AA1061" s="36">
        <v>13.8589</v>
      </c>
      <c r="AB1061" s="54">
        <v>509.40960000000007</v>
      </c>
      <c r="AC1061" s="54">
        <v>63.951854545454545</v>
      </c>
      <c r="AD1061" s="36">
        <v>1183.0091000000002</v>
      </c>
    </row>
    <row r="1062" spans="1:30" s="37" customFormat="1" ht="15.75" customHeight="1" x14ac:dyDescent="0.2">
      <c r="A1062" s="26">
        <v>2334</v>
      </c>
      <c r="B1062" s="27" t="s">
        <v>2038</v>
      </c>
      <c r="C1062" s="27" t="s">
        <v>48</v>
      </c>
      <c r="D1062" s="28">
        <v>0.06</v>
      </c>
      <c r="E1062" s="29">
        <v>60.65</v>
      </c>
      <c r="F1062" s="29">
        <v>12.23</v>
      </c>
      <c r="G1062" s="30" t="s">
        <v>39</v>
      </c>
      <c r="H1062" s="27" t="s">
        <v>40</v>
      </c>
      <c r="I1062" s="27" t="s">
        <v>29</v>
      </c>
      <c r="J1062" s="27" t="s">
        <v>126</v>
      </c>
      <c r="K1062" s="27" t="s">
        <v>144</v>
      </c>
      <c r="L1062" s="31" t="s">
        <v>1181</v>
      </c>
      <c r="M1062" s="32">
        <v>0.64</v>
      </c>
      <c r="N1062" s="27" t="s">
        <v>33</v>
      </c>
      <c r="O1062" s="27" t="s">
        <v>53</v>
      </c>
      <c r="P1062" s="27" t="s">
        <v>357</v>
      </c>
      <c r="Q1062" s="27" t="s">
        <v>2039</v>
      </c>
      <c r="R1062" s="33">
        <v>53220</v>
      </c>
      <c r="S1062" s="34">
        <v>42100</v>
      </c>
      <c r="T1062" s="34">
        <v>42102</v>
      </c>
      <c r="U1062" s="29">
        <v>427.00650000000002</v>
      </c>
      <c r="V1062" s="26">
        <v>10</v>
      </c>
      <c r="W1062" s="29">
        <v>618.85</v>
      </c>
      <c r="X1062" s="26">
        <v>89608</v>
      </c>
      <c r="Y1062" s="35">
        <v>5.1099999999999994</v>
      </c>
      <c r="Z1062" s="1" t="s">
        <v>3012</v>
      </c>
      <c r="AA1062" s="36">
        <v>36.39</v>
      </c>
      <c r="AB1062" s="54">
        <v>222.786</v>
      </c>
      <c r="AC1062" s="54">
        <v>39.606400000000001</v>
      </c>
      <c r="AD1062" s="36">
        <v>143.2235</v>
      </c>
    </row>
    <row r="1063" spans="1:30" s="37" customFormat="1" ht="15.75" customHeight="1" x14ac:dyDescent="0.2">
      <c r="A1063" s="26">
        <v>3279</v>
      </c>
      <c r="B1063" s="27" t="s">
        <v>1636</v>
      </c>
      <c r="C1063" s="27" t="s">
        <v>38</v>
      </c>
      <c r="D1063" s="28">
        <v>0.06</v>
      </c>
      <c r="E1063" s="29">
        <v>89.83</v>
      </c>
      <c r="F1063" s="29">
        <v>35</v>
      </c>
      <c r="G1063" s="30" t="s">
        <v>39</v>
      </c>
      <c r="H1063" s="27" t="s">
        <v>71</v>
      </c>
      <c r="I1063" s="27" t="s">
        <v>49</v>
      </c>
      <c r="J1063" s="27" t="s">
        <v>78</v>
      </c>
      <c r="K1063" s="27" t="s">
        <v>65</v>
      </c>
      <c r="L1063" s="31" t="s">
        <v>2035</v>
      </c>
      <c r="M1063" s="32">
        <v>0.83</v>
      </c>
      <c r="N1063" s="27" t="s">
        <v>33</v>
      </c>
      <c r="O1063" s="27" t="s">
        <v>34</v>
      </c>
      <c r="P1063" s="27" t="s">
        <v>271</v>
      </c>
      <c r="Q1063" s="27" t="s">
        <v>1637</v>
      </c>
      <c r="R1063" s="33">
        <v>29203</v>
      </c>
      <c r="S1063" s="34">
        <v>42100</v>
      </c>
      <c r="T1063" s="34">
        <v>42102</v>
      </c>
      <c r="U1063" s="29">
        <v>31.11</v>
      </c>
      <c r="V1063" s="26">
        <v>4</v>
      </c>
      <c r="W1063" s="29">
        <v>366.26</v>
      </c>
      <c r="X1063" s="26">
        <v>90766</v>
      </c>
      <c r="Y1063" s="35">
        <v>12.790000000000001</v>
      </c>
      <c r="Z1063" s="1" t="s">
        <v>3011</v>
      </c>
      <c r="AA1063" s="36">
        <v>21.559199999999997</v>
      </c>
      <c r="AB1063" s="54">
        <v>62.264200000000017</v>
      </c>
      <c r="AC1063" s="54">
        <v>75.998949999999994</v>
      </c>
      <c r="AD1063" s="36">
        <v>278.5908</v>
      </c>
    </row>
    <row r="1064" spans="1:30" s="37" customFormat="1" ht="15.75" customHeight="1" x14ac:dyDescent="0.2">
      <c r="A1064" s="26">
        <v>1113</v>
      </c>
      <c r="B1064" s="27" t="s">
        <v>2026</v>
      </c>
      <c r="C1064" s="27" t="s">
        <v>26</v>
      </c>
      <c r="D1064" s="28">
        <v>0</v>
      </c>
      <c r="E1064" s="29">
        <v>55.99</v>
      </c>
      <c r="F1064" s="29">
        <v>5</v>
      </c>
      <c r="G1064" s="30" t="s">
        <v>39</v>
      </c>
      <c r="H1064" s="27" t="s">
        <v>94</v>
      </c>
      <c r="I1064" s="27" t="s">
        <v>41</v>
      </c>
      <c r="J1064" s="27" t="s">
        <v>135</v>
      </c>
      <c r="K1064" s="27" t="s">
        <v>43</v>
      </c>
      <c r="L1064" s="31" t="s">
        <v>1931</v>
      </c>
      <c r="M1064" s="32">
        <v>0.8</v>
      </c>
      <c r="N1064" s="27" t="s">
        <v>33</v>
      </c>
      <c r="O1064" s="27" t="s">
        <v>60</v>
      </c>
      <c r="P1064" s="27" t="s">
        <v>61</v>
      </c>
      <c r="Q1064" s="27" t="s">
        <v>2027</v>
      </c>
      <c r="R1064" s="33">
        <v>80004</v>
      </c>
      <c r="S1064" s="34">
        <v>42100</v>
      </c>
      <c r="T1064" s="34">
        <v>42102</v>
      </c>
      <c r="U1064" s="29">
        <v>-187.11</v>
      </c>
      <c r="V1064" s="26">
        <v>5</v>
      </c>
      <c r="W1064" s="29">
        <v>258.93</v>
      </c>
      <c r="X1064" s="26">
        <v>90833</v>
      </c>
      <c r="Y1064" s="35">
        <v>45.97</v>
      </c>
      <c r="Z1064" s="1" t="s">
        <v>3013</v>
      </c>
      <c r="AA1064" s="36">
        <v>0</v>
      </c>
      <c r="AB1064" s="54">
        <v>51.785999999999987</v>
      </c>
      <c r="AC1064" s="54">
        <v>41.428800000000003</v>
      </c>
      <c r="AD1064" s="36">
        <v>441.04</v>
      </c>
    </row>
    <row r="1065" spans="1:30" s="37" customFormat="1" ht="15.75" customHeight="1" x14ac:dyDescent="0.2">
      <c r="A1065" s="26">
        <v>1620</v>
      </c>
      <c r="B1065" s="27" t="s">
        <v>2032</v>
      </c>
      <c r="C1065" s="27" t="s">
        <v>38</v>
      </c>
      <c r="D1065" s="28">
        <v>0.02</v>
      </c>
      <c r="E1065" s="29">
        <v>45.99</v>
      </c>
      <c r="F1065" s="29">
        <v>4.99</v>
      </c>
      <c r="G1065" s="30" t="s">
        <v>87</v>
      </c>
      <c r="H1065" s="27" t="s">
        <v>40</v>
      </c>
      <c r="I1065" s="27" t="s">
        <v>41</v>
      </c>
      <c r="J1065" s="27" t="s">
        <v>135</v>
      </c>
      <c r="K1065" s="27" t="s">
        <v>73</v>
      </c>
      <c r="L1065" s="31" t="s">
        <v>2033</v>
      </c>
      <c r="M1065" s="32">
        <v>0.56999999999999995</v>
      </c>
      <c r="N1065" s="27" t="s">
        <v>33</v>
      </c>
      <c r="O1065" s="27" t="s">
        <v>111</v>
      </c>
      <c r="P1065" s="27" t="s">
        <v>320</v>
      </c>
      <c r="Q1065" s="27" t="s">
        <v>2034</v>
      </c>
      <c r="R1065" s="33">
        <v>17602</v>
      </c>
      <c r="S1065" s="34">
        <v>42100</v>
      </c>
      <c r="T1065" s="34">
        <v>42101</v>
      </c>
      <c r="U1065" s="29">
        <v>3.96</v>
      </c>
      <c r="V1065" s="26">
        <v>4</v>
      </c>
      <c r="W1065" s="29">
        <v>163.01</v>
      </c>
      <c r="X1065" s="26">
        <v>90248</v>
      </c>
      <c r="Y1065" s="35">
        <v>89.77</v>
      </c>
      <c r="Z1065" s="1" t="s">
        <v>3014</v>
      </c>
      <c r="AA1065" s="36">
        <v>3.6792000000000002</v>
      </c>
      <c r="AB1065" s="54">
        <v>70.094300000000004</v>
      </c>
      <c r="AC1065" s="54">
        <v>23.228924999999997</v>
      </c>
      <c r="AD1065" s="36">
        <v>150.38079999999999</v>
      </c>
    </row>
    <row r="1066" spans="1:30" s="37" customFormat="1" ht="15.75" customHeight="1" x14ac:dyDescent="0.2">
      <c r="A1066" s="26">
        <v>1618</v>
      </c>
      <c r="B1066" s="27" t="s">
        <v>2030</v>
      </c>
      <c r="C1066" s="27" t="s">
        <v>38</v>
      </c>
      <c r="D1066" s="28">
        <v>0.09</v>
      </c>
      <c r="E1066" s="29">
        <v>12.88</v>
      </c>
      <c r="F1066" s="29">
        <v>4.59</v>
      </c>
      <c r="G1066" s="30" t="s">
        <v>39</v>
      </c>
      <c r="H1066" s="27" t="s">
        <v>40</v>
      </c>
      <c r="I1066" s="27" t="s">
        <v>49</v>
      </c>
      <c r="J1066" s="27" t="s">
        <v>568</v>
      </c>
      <c r="K1066" s="27" t="s">
        <v>51</v>
      </c>
      <c r="L1066" s="31" t="s">
        <v>2031</v>
      </c>
      <c r="M1066" s="32">
        <v>0.82</v>
      </c>
      <c r="N1066" s="27" t="s">
        <v>33</v>
      </c>
      <c r="O1066" s="27" t="s">
        <v>53</v>
      </c>
      <c r="P1066" s="27" t="s">
        <v>54</v>
      </c>
      <c r="Q1066" s="27" t="s">
        <v>1822</v>
      </c>
      <c r="R1066" s="33">
        <v>46322</v>
      </c>
      <c r="S1066" s="34">
        <v>42100</v>
      </c>
      <c r="T1066" s="34">
        <v>42100</v>
      </c>
      <c r="U1066" s="29">
        <v>-175.13</v>
      </c>
      <c r="V1066" s="26">
        <v>13</v>
      </c>
      <c r="W1066" s="29">
        <v>158.13</v>
      </c>
      <c r="X1066" s="26">
        <v>90248</v>
      </c>
      <c r="Y1066" s="35">
        <v>13.33</v>
      </c>
      <c r="Z1066" s="1" t="s">
        <v>3012</v>
      </c>
      <c r="AA1066" s="36">
        <v>15.069599999999999</v>
      </c>
      <c r="AB1066" s="54">
        <v>28.463400000000007</v>
      </c>
      <c r="AC1066" s="54">
        <v>9.9743538461538446</v>
      </c>
      <c r="AD1066" s="36">
        <v>313.60039999999998</v>
      </c>
    </row>
    <row r="1067" spans="1:30" s="37" customFormat="1" ht="15.75" customHeight="1" x14ac:dyDescent="0.2">
      <c r="A1067" s="26">
        <v>3279</v>
      </c>
      <c r="B1067" s="27" t="s">
        <v>1636</v>
      </c>
      <c r="C1067" s="27" t="s">
        <v>38</v>
      </c>
      <c r="D1067" s="28">
        <v>0.1</v>
      </c>
      <c r="E1067" s="29">
        <v>13.43</v>
      </c>
      <c r="F1067" s="29">
        <v>5.5</v>
      </c>
      <c r="G1067" s="30" t="s">
        <v>39</v>
      </c>
      <c r="H1067" s="27" t="s">
        <v>71</v>
      </c>
      <c r="I1067" s="27" t="s">
        <v>49</v>
      </c>
      <c r="J1067" s="27" t="s">
        <v>78</v>
      </c>
      <c r="K1067" s="27" t="s">
        <v>73</v>
      </c>
      <c r="L1067" s="31" t="s">
        <v>559</v>
      </c>
      <c r="M1067" s="32">
        <v>0.56999999999999995</v>
      </c>
      <c r="N1067" s="27" t="s">
        <v>33</v>
      </c>
      <c r="O1067" s="27" t="s">
        <v>34</v>
      </c>
      <c r="P1067" s="27" t="s">
        <v>271</v>
      </c>
      <c r="Q1067" s="27" t="s">
        <v>1637</v>
      </c>
      <c r="R1067" s="33">
        <v>29203</v>
      </c>
      <c r="S1067" s="34">
        <v>42100</v>
      </c>
      <c r="T1067" s="34">
        <v>42102</v>
      </c>
      <c r="U1067" s="29">
        <v>358.29539999999997</v>
      </c>
      <c r="V1067" s="26">
        <v>12</v>
      </c>
      <c r="W1067" s="29">
        <v>157.99</v>
      </c>
      <c r="X1067" s="26">
        <v>90766</v>
      </c>
      <c r="Y1067" s="35">
        <v>125.97999999999999</v>
      </c>
      <c r="Z1067" s="1" t="s">
        <v>3011</v>
      </c>
      <c r="AA1067" s="36">
        <v>16.116</v>
      </c>
      <c r="AB1067" s="54">
        <v>67.935700000000011</v>
      </c>
      <c r="AC1067" s="54">
        <v>7.5045249999999992</v>
      </c>
      <c r="AD1067" s="36">
        <v>-221.92139999999995</v>
      </c>
    </row>
    <row r="1068" spans="1:30" s="37" customFormat="1" ht="15.75" customHeight="1" x14ac:dyDescent="0.2">
      <c r="A1068" s="26">
        <v>2240</v>
      </c>
      <c r="B1068" s="27" t="s">
        <v>2036</v>
      </c>
      <c r="C1068" s="27" t="s">
        <v>48</v>
      </c>
      <c r="D1068" s="28">
        <v>0.01</v>
      </c>
      <c r="E1068" s="29">
        <v>13.43</v>
      </c>
      <c r="F1068" s="29">
        <v>5.5</v>
      </c>
      <c r="G1068" s="30" t="s">
        <v>87</v>
      </c>
      <c r="H1068" s="27" t="s">
        <v>94</v>
      </c>
      <c r="I1068" s="27" t="s">
        <v>49</v>
      </c>
      <c r="J1068" s="27" t="s">
        <v>78</v>
      </c>
      <c r="K1068" s="27" t="s">
        <v>73</v>
      </c>
      <c r="L1068" s="31" t="s">
        <v>559</v>
      </c>
      <c r="M1068" s="32">
        <v>0.56999999999999995</v>
      </c>
      <c r="N1068" s="27" t="s">
        <v>33</v>
      </c>
      <c r="O1068" s="27" t="s">
        <v>34</v>
      </c>
      <c r="P1068" s="27" t="s">
        <v>123</v>
      </c>
      <c r="Q1068" s="27" t="s">
        <v>2037</v>
      </c>
      <c r="R1068" s="33">
        <v>33801</v>
      </c>
      <c r="S1068" s="34">
        <v>42100</v>
      </c>
      <c r="T1068" s="34">
        <v>42107</v>
      </c>
      <c r="U1068" s="29">
        <v>-313.02179999999998</v>
      </c>
      <c r="V1068" s="26">
        <v>7</v>
      </c>
      <c r="W1068" s="29">
        <v>99.75</v>
      </c>
      <c r="X1068" s="26">
        <v>89102</v>
      </c>
      <c r="Y1068" s="35">
        <v>13.42</v>
      </c>
      <c r="Z1068" s="1" t="s">
        <v>3011</v>
      </c>
      <c r="AA1068" s="36">
        <v>0.94010000000000005</v>
      </c>
      <c r="AB1068" s="54">
        <v>42.892500000000005</v>
      </c>
      <c r="AC1068" s="54">
        <v>8.1224999999999987</v>
      </c>
      <c r="AD1068" s="36">
        <v>406.33170000000001</v>
      </c>
    </row>
    <row r="1069" spans="1:30" s="37" customFormat="1" ht="15.75" customHeight="1" x14ac:dyDescent="0.2">
      <c r="A1069" s="26">
        <v>2481</v>
      </c>
      <c r="B1069" s="27" t="s">
        <v>2028</v>
      </c>
      <c r="C1069" s="27" t="s">
        <v>26</v>
      </c>
      <c r="D1069" s="28">
        <v>7.0000000000000007E-2</v>
      </c>
      <c r="E1069" s="29">
        <v>5.18</v>
      </c>
      <c r="F1069" s="29">
        <v>5.74</v>
      </c>
      <c r="G1069" s="30" t="s">
        <v>87</v>
      </c>
      <c r="H1069" s="27" t="s">
        <v>94</v>
      </c>
      <c r="I1069" s="27" t="s">
        <v>49</v>
      </c>
      <c r="J1069" s="27" t="s">
        <v>72</v>
      </c>
      <c r="K1069" s="27" t="s">
        <v>73</v>
      </c>
      <c r="L1069" s="31" t="s">
        <v>850</v>
      </c>
      <c r="M1069" s="32">
        <v>0.36</v>
      </c>
      <c r="N1069" s="27" t="s">
        <v>33</v>
      </c>
      <c r="O1069" s="27" t="s">
        <v>34</v>
      </c>
      <c r="P1069" s="27" t="s">
        <v>168</v>
      </c>
      <c r="Q1069" s="27" t="s">
        <v>2029</v>
      </c>
      <c r="R1069" s="33">
        <v>70506</v>
      </c>
      <c r="S1069" s="34">
        <v>42100</v>
      </c>
      <c r="T1069" s="34">
        <v>42102</v>
      </c>
      <c r="U1069" s="29">
        <v>-188.03399999999999</v>
      </c>
      <c r="V1069" s="26">
        <v>14</v>
      </c>
      <c r="W1069" s="29">
        <v>79.61</v>
      </c>
      <c r="X1069" s="26">
        <v>91000</v>
      </c>
      <c r="Y1069" s="35">
        <v>60.589999999999996</v>
      </c>
      <c r="Z1069" s="1" t="s">
        <v>3011</v>
      </c>
      <c r="AA1069" s="36">
        <v>5.0764000000000005</v>
      </c>
      <c r="AB1069" s="54">
        <v>50.950400000000002</v>
      </c>
      <c r="AC1069" s="54">
        <v>2.0471142857142857</v>
      </c>
      <c r="AD1069" s="36">
        <v>256.82759999999996</v>
      </c>
    </row>
    <row r="1070" spans="1:30" s="37" customFormat="1" ht="15.75" customHeight="1" x14ac:dyDescent="0.2">
      <c r="A1070" s="26">
        <v>786</v>
      </c>
      <c r="B1070" s="27" t="s">
        <v>2045</v>
      </c>
      <c r="C1070" s="27" t="s">
        <v>116</v>
      </c>
      <c r="D1070" s="28">
        <v>0</v>
      </c>
      <c r="E1070" s="29">
        <v>8.34</v>
      </c>
      <c r="F1070" s="29">
        <v>4.82</v>
      </c>
      <c r="G1070" s="30" t="s">
        <v>39</v>
      </c>
      <c r="H1070" s="27" t="s">
        <v>71</v>
      </c>
      <c r="I1070" s="27" t="s">
        <v>49</v>
      </c>
      <c r="J1070" s="27" t="s">
        <v>88</v>
      </c>
      <c r="K1070" s="27" t="s">
        <v>73</v>
      </c>
      <c r="L1070" s="31" t="s">
        <v>961</v>
      </c>
      <c r="M1070" s="32">
        <v>0.4</v>
      </c>
      <c r="N1070" s="27" t="s">
        <v>33</v>
      </c>
      <c r="O1070" s="27" t="s">
        <v>60</v>
      </c>
      <c r="P1070" s="27" t="s">
        <v>90</v>
      </c>
      <c r="Q1070" s="27" t="s">
        <v>2046</v>
      </c>
      <c r="R1070" s="33">
        <v>92691</v>
      </c>
      <c r="S1070" s="34">
        <v>42100</v>
      </c>
      <c r="T1070" s="34">
        <v>42101</v>
      </c>
      <c r="U1070" s="29">
        <v>-5.05</v>
      </c>
      <c r="V1070" s="26">
        <v>9</v>
      </c>
      <c r="W1070" s="29">
        <v>76.23</v>
      </c>
      <c r="X1070" s="26">
        <v>91513</v>
      </c>
      <c r="Y1070" s="35">
        <v>4.79</v>
      </c>
      <c r="Z1070" s="1" t="s">
        <v>3013</v>
      </c>
      <c r="AA1070" s="36">
        <v>0</v>
      </c>
      <c r="AB1070" s="54">
        <v>45.738</v>
      </c>
      <c r="AC1070" s="54">
        <v>3.3880000000000003</v>
      </c>
      <c r="AD1070" s="36">
        <v>76.460000000000008</v>
      </c>
    </row>
    <row r="1071" spans="1:30" s="37" customFormat="1" ht="15.75" customHeight="1" x14ac:dyDescent="0.2">
      <c r="A1071" s="26">
        <v>1113</v>
      </c>
      <c r="B1071" s="27" t="s">
        <v>2026</v>
      </c>
      <c r="C1071" s="27" t="s">
        <v>26</v>
      </c>
      <c r="D1071" s="28">
        <v>0.01</v>
      </c>
      <c r="E1071" s="29">
        <v>2.89</v>
      </c>
      <c r="F1071" s="29">
        <v>0.5</v>
      </c>
      <c r="G1071" s="30" t="s">
        <v>39</v>
      </c>
      <c r="H1071" s="27" t="s">
        <v>94</v>
      </c>
      <c r="I1071" s="27" t="s">
        <v>49</v>
      </c>
      <c r="J1071" s="27" t="s">
        <v>152</v>
      </c>
      <c r="K1071" s="27" t="s">
        <v>73</v>
      </c>
      <c r="L1071" s="31" t="s">
        <v>729</v>
      </c>
      <c r="M1071" s="32">
        <v>0.38</v>
      </c>
      <c r="N1071" s="27" t="s">
        <v>33</v>
      </c>
      <c r="O1071" s="27" t="s">
        <v>60</v>
      </c>
      <c r="P1071" s="27" t="s">
        <v>61</v>
      </c>
      <c r="Q1071" s="27" t="s">
        <v>2027</v>
      </c>
      <c r="R1071" s="33">
        <v>80004</v>
      </c>
      <c r="S1071" s="34">
        <v>42100</v>
      </c>
      <c r="T1071" s="34">
        <v>42101</v>
      </c>
      <c r="U1071" s="29">
        <v>29.725200000000001</v>
      </c>
      <c r="V1071" s="26">
        <v>14</v>
      </c>
      <c r="W1071" s="29">
        <v>43.08</v>
      </c>
      <c r="X1071" s="26">
        <v>90833</v>
      </c>
      <c r="Y1071" s="35">
        <v>300.94</v>
      </c>
      <c r="Z1071" s="1" t="s">
        <v>3013</v>
      </c>
      <c r="AA1071" s="36">
        <v>0.40460000000000002</v>
      </c>
      <c r="AB1071" s="54">
        <v>26.709599999999998</v>
      </c>
      <c r="AC1071" s="54">
        <v>1.1693142857142858</v>
      </c>
      <c r="AD1071" s="36">
        <v>12.450199999999999</v>
      </c>
    </row>
    <row r="1072" spans="1:30" s="37" customFormat="1" ht="15.75" customHeight="1" x14ac:dyDescent="0.2">
      <c r="A1072" s="26">
        <v>2874</v>
      </c>
      <c r="B1072" s="27" t="s">
        <v>2040</v>
      </c>
      <c r="C1072" s="27" t="s">
        <v>48</v>
      </c>
      <c r="D1072" s="28">
        <v>0.05</v>
      </c>
      <c r="E1072" s="29">
        <v>4.84</v>
      </c>
      <c r="F1072" s="29">
        <v>0.71</v>
      </c>
      <c r="G1072" s="30" t="s">
        <v>39</v>
      </c>
      <c r="H1072" s="27" t="s">
        <v>71</v>
      </c>
      <c r="I1072" s="27" t="s">
        <v>49</v>
      </c>
      <c r="J1072" s="27" t="s">
        <v>50</v>
      </c>
      <c r="K1072" s="27" t="s">
        <v>51</v>
      </c>
      <c r="L1072" s="31" t="s">
        <v>52</v>
      </c>
      <c r="M1072" s="32">
        <v>0.52</v>
      </c>
      <c r="N1072" s="27" t="s">
        <v>33</v>
      </c>
      <c r="O1072" s="27" t="s">
        <v>53</v>
      </c>
      <c r="P1072" s="27" t="s">
        <v>133</v>
      </c>
      <c r="Q1072" s="27" t="s">
        <v>2041</v>
      </c>
      <c r="R1072" s="33">
        <v>68128</v>
      </c>
      <c r="S1072" s="34">
        <v>42100</v>
      </c>
      <c r="T1072" s="34">
        <v>42109</v>
      </c>
      <c r="U1072" s="29">
        <v>13.4481</v>
      </c>
      <c r="V1072" s="26">
        <v>4</v>
      </c>
      <c r="W1072" s="29">
        <v>19.489999999999998</v>
      </c>
      <c r="X1072" s="26">
        <v>89873</v>
      </c>
      <c r="Y1072" s="35">
        <v>300.94</v>
      </c>
      <c r="Z1072" s="1" t="s">
        <v>3012</v>
      </c>
      <c r="AA1072" s="36">
        <v>0.96799999999999997</v>
      </c>
      <c r="AB1072" s="54">
        <v>9.3551999999999982</v>
      </c>
      <c r="AC1072" s="54">
        <v>2.5337000000000001</v>
      </c>
      <c r="AD1072" s="36">
        <v>4.3638999999999974</v>
      </c>
    </row>
    <row r="1073" spans="1:30" s="37" customFormat="1" ht="15.75" customHeight="1" x14ac:dyDescent="0.2">
      <c r="A1073" s="26">
        <v>925</v>
      </c>
      <c r="B1073" s="27" t="s">
        <v>2022</v>
      </c>
      <c r="C1073" s="27" t="s">
        <v>26</v>
      </c>
      <c r="D1073" s="28">
        <v>0.03</v>
      </c>
      <c r="E1073" s="29">
        <v>2.1800000000000002</v>
      </c>
      <c r="F1073" s="29">
        <v>1.38</v>
      </c>
      <c r="G1073" s="30" t="s">
        <v>39</v>
      </c>
      <c r="H1073" s="27" t="s">
        <v>3095</v>
      </c>
      <c r="I1073" s="27" t="s">
        <v>49</v>
      </c>
      <c r="J1073" s="27" t="s">
        <v>176</v>
      </c>
      <c r="K1073" s="27" t="s">
        <v>51</v>
      </c>
      <c r="L1073" s="31" t="s">
        <v>2023</v>
      </c>
      <c r="M1073" s="32">
        <v>0.44</v>
      </c>
      <c r="N1073" s="27" t="s">
        <v>33</v>
      </c>
      <c r="O1073" s="27" t="s">
        <v>111</v>
      </c>
      <c r="P1073" s="27" t="s">
        <v>331</v>
      </c>
      <c r="Q1073" s="27" t="s">
        <v>370</v>
      </c>
      <c r="R1073" s="33">
        <v>4330</v>
      </c>
      <c r="S1073" s="34">
        <v>42100</v>
      </c>
      <c r="T1073" s="34">
        <v>42100</v>
      </c>
      <c r="U1073" s="29">
        <v>-7.04</v>
      </c>
      <c r="V1073" s="26">
        <v>7</v>
      </c>
      <c r="W1073" s="29">
        <v>15.73</v>
      </c>
      <c r="X1073" s="26">
        <v>87134</v>
      </c>
      <c r="Y1073" s="35">
        <v>8.34</v>
      </c>
      <c r="Z1073" s="1" t="s">
        <v>3014</v>
      </c>
      <c r="AA1073" s="36">
        <v>0.45779999999999998</v>
      </c>
      <c r="AB1073" s="54">
        <v>8.8088000000000015</v>
      </c>
      <c r="AC1073" s="54">
        <v>0.98874285714285726</v>
      </c>
      <c r="AD1073" s="36">
        <v>20.932200000000002</v>
      </c>
    </row>
    <row r="1074" spans="1:30" s="37" customFormat="1" ht="15.75" customHeight="1" x14ac:dyDescent="0.2">
      <c r="A1074" s="26">
        <v>2196</v>
      </c>
      <c r="B1074" s="27" t="s">
        <v>2060</v>
      </c>
      <c r="C1074" s="27" t="s">
        <v>116</v>
      </c>
      <c r="D1074" s="28">
        <v>0.1</v>
      </c>
      <c r="E1074" s="29">
        <v>140.85</v>
      </c>
      <c r="F1074" s="29">
        <v>19.989999999999998</v>
      </c>
      <c r="G1074" s="30" t="s">
        <v>39</v>
      </c>
      <c r="H1074" s="27" t="s">
        <v>3095</v>
      </c>
      <c r="I1074" s="27" t="s">
        <v>49</v>
      </c>
      <c r="J1074" s="27" t="s">
        <v>78</v>
      </c>
      <c r="K1074" s="27" t="s">
        <v>73</v>
      </c>
      <c r="L1074" s="31" t="s">
        <v>2063</v>
      </c>
      <c r="M1074" s="32">
        <v>0.73</v>
      </c>
      <c r="N1074" s="27" t="s">
        <v>33</v>
      </c>
      <c r="O1074" s="27" t="s">
        <v>111</v>
      </c>
      <c r="P1074" s="27" t="s">
        <v>112</v>
      </c>
      <c r="Q1074" s="27" t="s">
        <v>2062</v>
      </c>
      <c r="R1074" s="33">
        <v>14701</v>
      </c>
      <c r="S1074" s="34">
        <v>42101</v>
      </c>
      <c r="T1074" s="34">
        <v>42103</v>
      </c>
      <c r="U1074" s="29">
        <v>9.9911999999999992</v>
      </c>
      <c r="V1074" s="26">
        <v>19</v>
      </c>
      <c r="W1074" s="29">
        <v>2465.75</v>
      </c>
      <c r="X1074" s="26">
        <v>89175</v>
      </c>
      <c r="Y1074" s="35">
        <v>65.89</v>
      </c>
      <c r="Z1074" s="1" t="s">
        <v>3014</v>
      </c>
      <c r="AA1074" s="36">
        <v>267.61500000000001</v>
      </c>
      <c r="AB1074" s="54">
        <v>665.75250000000005</v>
      </c>
      <c r="AC1074" s="54">
        <v>94.736710526315775</v>
      </c>
      <c r="AD1074" s="36">
        <v>2168.1538</v>
      </c>
    </row>
    <row r="1075" spans="1:30" s="37" customFormat="1" ht="15.75" customHeight="1" x14ac:dyDescent="0.2">
      <c r="A1075" s="26">
        <v>2196</v>
      </c>
      <c r="B1075" s="27" t="s">
        <v>2060</v>
      </c>
      <c r="C1075" s="27" t="s">
        <v>116</v>
      </c>
      <c r="D1075" s="28">
        <v>0.1</v>
      </c>
      <c r="E1075" s="29">
        <v>179.99</v>
      </c>
      <c r="F1075" s="29">
        <v>19.989999999999998</v>
      </c>
      <c r="G1075" s="30" t="s">
        <v>39</v>
      </c>
      <c r="H1075" s="27" t="s">
        <v>3095</v>
      </c>
      <c r="I1075" s="27" t="s">
        <v>41</v>
      </c>
      <c r="J1075" s="27" t="s">
        <v>42</v>
      </c>
      <c r="K1075" s="27" t="s">
        <v>73</v>
      </c>
      <c r="L1075" s="31" t="s">
        <v>715</v>
      </c>
      <c r="M1075" s="32">
        <v>0.48</v>
      </c>
      <c r="N1075" s="27" t="s">
        <v>33</v>
      </c>
      <c r="O1075" s="27" t="s">
        <v>111</v>
      </c>
      <c r="P1075" s="27" t="s">
        <v>112</v>
      </c>
      <c r="Q1075" s="27" t="s">
        <v>2062</v>
      </c>
      <c r="R1075" s="33">
        <v>14701</v>
      </c>
      <c r="S1075" s="34">
        <v>42101</v>
      </c>
      <c r="T1075" s="34">
        <v>42102</v>
      </c>
      <c r="U1075" s="29">
        <v>1208.9903999999999</v>
      </c>
      <c r="V1075" s="26">
        <v>14</v>
      </c>
      <c r="W1075" s="29">
        <v>2458.0500000000002</v>
      </c>
      <c r="X1075" s="26">
        <v>89175</v>
      </c>
      <c r="Y1075" s="35">
        <v>77.42</v>
      </c>
      <c r="Z1075" s="1" t="s">
        <v>3014</v>
      </c>
      <c r="AA1075" s="36">
        <v>251.98600000000005</v>
      </c>
      <c r="AB1075" s="54">
        <v>1278.1860000000001</v>
      </c>
      <c r="AC1075" s="54">
        <v>84.27600000000001</v>
      </c>
      <c r="AD1075" s="36">
        <v>977.08360000000016</v>
      </c>
    </row>
    <row r="1076" spans="1:30" s="37" customFormat="1" ht="15.75" customHeight="1" x14ac:dyDescent="0.2">
      <c r="A1076" s="26">
        <v>1413</v>
      </c>
      <c r="B1076" s="27" t="s">
        <v>938</v>
      </c>
      <c r="C1076" s="27" t="s">
        <v>116</v>
      </c>
      <c r="D1076" s="28">
        <v>0</v>
      </c>
      <c r="E1076" s="29">
        <v>65.989999999999995</v>
      </c>
      <c r="F1076" s="29">
        <v>5.26</v>
      </c>
      <c r="G1076" s="30" t="s">
        <v>39</v>
      </c>
      <c r="H1076" s="27" t="s">
        <v>94</v>
      </c>
      <c r="I1076" s="27" t="s">
        <v>41</v>
      </c>
      <c r="J1076" s="27" t="s">
        <v>135</v>
      </c>
      <c r="K1076" s="27" t="s">
        <v>73</v>
      </c>
      <c r="L1076" s="31" t="s">
        <v>2058</v>
      </c>
      <c r="M1076" s="32">
        <v>0.59</v>
      </c>
      <c r="N1076" s="27" t="s">
        <v>33</v>
      </c>
      <c r="O1076" s="27" t="s">
        <v>111</v>
      </c>
      <c r="P1076" s="27" t="s">
        <v>403</v>
      </c>
      <c r="Q1076" s="27" t="s">
        <v>788</v>
      </c>
      <c r="R1076" s="33">
        <v>2113</v>
      </c>
      <c r="S1076" s="34">
        <v>42101</v>
      </c>
      <c r="T1076" s="34">
        <v>42102</v>
      </c>
      <c r="U1076" s="29">
        <v>542.25</v>
      </c>
      <c r="V1076" s="26">
        <v>36</v>
      </c>
      <c r="W1076" s="29">
        <v>2144.92</v>
      </c>
      <c r="X1076" s="26">
        <v>10277</v>
      </c>
      <c r="Y1076" s="35">
        <v>5.5600000000000005</v>
      </c>
      <c r="Z1076" s="1" t="s">
        <v>3014</v>
      </c>
      <c r="AA1076" s="36">
        <v>0</v>
      </c>
      <c r="AB1076" s="54">
        <v>879.41720000000009</v>
      </c>
      <c r="AC1076" s="54">
        <v>35.152855555555554</v>
      </c>
      <c r="AD1076" s="36">
        <v>1597.41</v>
      </c>
    </row>
    <row r="1077" spans="1:30" s="37" customFormat="1" ht="15.75" customHeight="1" x14ac:dyDescent="0.2">
      <c r="A1077" s="26">
        <v>2073</v>
      </c>
      <c r="B1077" s="27" t="s">
        <v>2064</v>
      </c>
      <c r="C1077" s="27" t="s">
        <v>3094</v>
      </c>
      <c r="D1077" s="28">
        <v>0.05</v>
      </c>
      <c r="E1077" s="29">
        <v>291.73</v>
      </c>
      <c r="F1077" s="29">
        <v>48.8</v>
      </c>
      <c r="G1077" s="30" t="s">
        <v>27</v>
      </c>
      <c r="H1077" s="27" t="s">
        <v>40</v>
      </c>
      <c r="I1077" s="27" t="s">
        <v>29</v>
      </c>
      <c r="J1077" s="27" t="s">
        <v>109</v>
      </c>
      <c r="K1077" s="27" t="s">
        <v>58</v>
      </c>
      <c r="L1077" s="31" t="s">
        <v>110</v>
      </c>
      <c r="M1077" s="32">
        <v>0.56000000000000005</v>
      </c>
      <c r="N1077" s="27" t="s">
        <v>33</v>
      </c>
      <c r="O1077" s="27" t="s">
        <v>53</v>
      </c>
      <c r="P1077" s="27" t="s">
        <v>289</v>
      </c>
      <c r="Q1077" s="27" t="s">
        <v>2065</v>
      </c>
      <c r="R1077" s="33">
        <v>48135</v>
      </c>
      <c r="S1077" s="34">
        <v>42101</v>
      </c>
      <c r="T1077" s="34">
        <v>42103</v>
      </c>
      <c r="U1077" s="29">
        <v>550.38080000000002</v>
      </c>
      <c r="V1077" s="26">
        <v>6</v>
      </c>
      <c r="W1077" s="29">
        <v>1818.41</v>
      </c>
      <c r="X1077" s="26">
        <v>88557</v>
      </c>
      <c r="Y1077" s="35">
        <v>40.86</v>
      </c>
      <c r="Z1077" s="1" t="s">
        <v>3012</v>
      </c>
      <c r="AA1077" s="36">
        <v>87.519000000000005</v>
      </c>
      <c r="AB1077" s="54">
        <v>800.10039999999992</v>
      </c>
      <c r="AC1077" s="54">
        <v>169.71826666666669</v>
      </c>
      <c r="AD1077" s="36">
        <v>1131.7102</v>
      </c>
    </row>
    <row r="1078" spans="1:30" s="37" customFormat="1" ht="15.75" customHeight="1" x14ac:dyDescent="0.2">
      <c r="A1078" s="26">
        <v>698</v>
      </c>
      <c r="B1078" s="27" t="s">
        <v>1043</v>
      </c>
      <c r="C1078" s="27" t="s">
        <v>48</v>
      </c>
      <c r="D1078" s="28">
        <v>0.1</v>
      </c>
      <c r="E1078" s="29">
        <v>40.479999999999997</v>
      </c>
      <c r="F1078" s="29">
        <v>19.989999999999998</v>
      </c>
      <c r="G1078" s="30" t="s">
        <v>39</v>
      </c>
      <c r="H1078" s="27" t="s">
        <v>94</v>
      </c>
      <c r="I1078" s="27" t="s">
        <v>41</v>
      </c>
      <c r="J1078" s="27" t="s">
        <v>42</v>
      </c>
      <c r="K1078" s="27" t="s">
        <v>73</v>
      </c>
      <c r="L1078" s="31" t="s">
        <v>2054</v>
      </c>
      <c r="M1078" s="32">
        <v>0.77</v>
      </c>
      <c r="N1078" s="27" t="s">
        <v>33</v>
      </c>
      <c r="O1078" s="27" t="s">
        <v>60</v>
      </c>
      <c r="P1078" s="27" t="s">
        <v>67</v>
      </c>
      <c r="Q1078" s="27" t="s">
        <v>142</v>
      </c>
      <c r="R1078" s="33">
        <v>98105</v>
      </c>
      <c r="S1078" s="34">
        <v>42101</v>
      </c>
      <c r="T1078" s="34">
        <v>42103</v>
      </c>
      <c r="U1078" s="29">
        <v>-580.32000000000005</v>
      </c>
      <c r="V1078" s="26">
        <v>36</v>
      </c>
      <c r="W1078" s="29">
        <v>1423.35</v>
      </c>
      <c r="X1078" s="26">
        <v>8994</v>
      </c>
      <c r="Y1078" s="35">
        <v>5.5600000000000005</v>
      </c>
      <c r="Z1078" s="1" t="s">
        <v>3013</v>
      </c>
      <c r="AA1078" s="36">
        <v>145.72800000000001</v>
      </c>
      <c r="AB1078" s="54">
        <v>327.37049999999994</v>
      </c>
      <c r="AC1078" s="54">
        <v>30.443874999999995</v>
      </c>
      <c r="AD1078" s="36">
        <v>1837.952</v>
      </c>
    </row>
    <row r="1079" spans="1:30" s="37" customFormat="1" ht="15.75" customHeight="1" x14ac:dyDescent="0.2">
      <c r="A1079" s="26">
        <v>272</v>
      </c>
      <c r="B1079" s="27" t="s">
        <v>2053</v>
      </c>
      <c r="C1079" s="27" t="s">
        <v>48</v>
      </c>
      <c r="D1079" s="28">
        <v>0.03</v>
      </c>
      <c r="E1079" s="29">
        <v>40.89</v>
      </c>
      <c r="F1079" s="29">
        <v>18.98</v>
      </c>
      <c r="G1079" s="30" t="s">
        <v>39</v>
      </c>
      <c r="H1079" s="27" t="s">
        <v>71</v>
      </c>
      <c r="I1079" s="27" t="s">
        <v>29</v>
      </c>
      <c r="J1079" s="27" t="s">
        <v>126</v>
      </c>
      <c r="K1079" s="27" t="s">
        <v>73</v>
      </c>
      <c r="L1079" s="31" t="s">
        <v>2052</v>
      </c>
      <c r="M1079" s="32">
        <v>0.56999999999999995</v>
      </c>
      <c r="N1079" s="27" t="s">
        <v>33</v>
      </c>
      <c r="O1079" s="27" t="s">
        <v>34</v>
      </c>
      <c r="P1079" s="27" t="s">
        <v>97</v>
      </c>
      <c r="Q1079" s="27" t="s">
        <v>673</v>
      </c>
      <c r="R1079" s="33">
        <v>28204</v>
      </c>
      <c r="S1079" s="34">
        <v>42101</v>
      </c>
      <c r="T1079" s="34">
        <v>42108</v>
      </c>
      <c r="U1079" s="29">
        <v>52.916600000000003</v>
      </c>
      <c r="V1079" s="26">
        <v>21</v>
      </c>
      <c r="W1079" s="29">
        <v>885.23</v>
      </c>
      <c r="X1079" s="26">
        <v>5509</v>
      </c>
      <c r="Y1079" s="35">
        <v>40.86</v>
      </c>
      <c r="Z1079" s="1" t="s">
        <v>3011</v>
      </c>
      <c r="AA1079" s="36">
        <v>25.760699999999996</v>
      </c>
      <c r="AB1079" s="54">
        <v>380.64890000000003</v>
      </c>
      <c r="AC1079" s="54">
        <v>24.027671428571431</v>
      </c>
      <c r="AD1079" s="36">
        <v>787.57270000000005</v>
      </c>
    </row>
    <row r="1080" spans="1:30" s="37" customFormat="1" ht="15.75" customHeight="1" x14ac:dyDescent="0.2">
      <c r="A1080" s="26">
        <v>1410</v>
      </c>
      <c r="B1080" s="27" t="s">
        <v>2057</v>
      </c>
      <c r="C1080" s="27" t="s">
        <v>116</v>
      </c>
      <c r="D1080" s="28">
        <v>0</v>
      </c>
      <c r="E1080" s="29">
        <v>65.989999999999995</v>
      </c>
      <c r="F1080" s="29">
        <v>5.26</v>
      </c>
      <c r="G1080" s="30" t="s">
        <v>39</v>
      </c>
      <c r="H1080" s="27" t="s">
        <v>94</v>
      </c>
      <c r="I1080" s="27" t="s">
        <v>41</v>
      </c>
      <c r="J1080" s="27" t="s">
        <v>135</v>
      </c>
      <c r="K1080" s="27" t="s">
        <v>73</v>
      </c>
      <c r="L1080" s="31" t="s">
        <v>2058</v>
      </c>
      <c r="M1080" s="32">
        <v>0.59</v>
      </c>
      <c r="N1080" s="27" t="s">
        <v>33</v>
      </c>
      <c r="O1080" s="27" t="s">
        <v>60</v>
      </c>
      <c r="P1080" s="27" t="s">
        <v>90</v>
      </c>
      <c r="Q1080" s="27" t="s">
        <v>2059</v>
      </c>
      <c r="R1080" s="33">
        <v>92553</v>
      </c>
      <c r="S1080" s="34">
        <v>42101</v>
      </c>
      <c r="T1080" s="34">
        <v>42102</v>
      </c>
      <c r="U1080" s="29">
        <v>369.99869999999999</v>
      </c>
      <c r="V1080" s="26">
        <v>9</v>
      </c>
      <c r="W1080" s="29">
        <v>536.23</v>
      </c>
      <c r="X1080" s="26">
        <v>87086</v>
      </c>
      <c r="Y1080" s="35">
        <v>40.379999999999995</v>
      </c>
      <c r="Z1080" s="1" t="s">
        <v>3013</v>
      </c>
      <c r="AA1080" s="36">
        <v>0</v>
      </c>
      <c r="AB1080" s="54">
        <v>219.85430000000002</v>
      </c>
      <c r="AC1080" s="54">
        <v>35.152855555555554</v>
      </c>
      <c r="AD1080" s="36">
        <v>160.97130000000004</v>
      </c>
    </row>
    <row r="1081" spans="1:30" s="37" customFormat="1" ht="15.75" customHeight="1" x14ac:dyDescent="0.2">
      <c r="A1081" s="26">
        <v>696</v>
      </c>
      <c r="B1081" s="27" t="s">
        <v>1883</v>
      </c>
      <c r="C1081" s="27" t="s">
        <v>48</v>
      </c>
      <c r="D1081" s="28">
        <v>0.1</v>
      </c>
      <c r="E1081" s="29">
        <v>40.479999999999997</v>
      </c>
      <c r="F1081" s="29">
        <v>19.989999999999998</v>
      </c>
      <c r="G1081" s="30" t="s">
        <v>39</v>
      </c>
      <c r="H1081" s="27" t="s">
        <v>94</v>
      </c>
      <c r="I1081" s="27" t="s">
        <v>41</v>
      </c>
      <c r="J1081" s="27" t="s">
        <v>42</v>
      </c>
      <c r="K1081" s="27" t="s">
        <v>73</v>
      </c>
      <c r="L1081" s="31" t="s">
        <v>2054</v>
      </c>
      <c r="M1081" s="32">
        <v>0.77</v>
      </c>
      <c r="N1081" s="27" t="s">
        <v>33</v>
      </c>
      <c r="O1081" s="27" t="s">
        <v>53</v>
      </c>
      <c r="P1081" s="27" t="s">
        <v>54</v>
      </c>
      <c r="Q1081" s="27" t="s">
        <v>1884</v>
      </c>
      <c r="R1081" s="33">
        <v>46307</v>
      </c>
      <c r="S1081" s="34">
        <v>42101</v>
      </c>
      <c r="T1081" s="34">
        <v>42103</v>
      </c>
      <c r="U1081" s="29">
        <v>-580.32000000000005</v>
      </c>
      <c r="V1081" s="26">
        <v>9</v>
      </c>
      <c r="W1081" s="29">
        <v>355.84</v>
      </c>
      <c r="X1081" s="26">
        <v>89848</v>
      </c>
      <c r="Y1081" s="35">
        <v>40.379999999999995</v>
      </c>
      <c r="Z1081" s="1" t="s">
        <v>3012</v>
      </c>
      <c r="AA1081" s="36">
        <v>36.432000000000002</v>
      </c>
      <c r="AB1081" s="54">
        <v>81.843199999999982</v>
      </c>
      <c r="AC1081" s="54">
        <v>30.444088888888889</v>
      </c>
      <c r="AD1081" s="36">
        <v>879.73800000000006</v>
      </c>
    </row>
    <row r="1082" spans="1:30" s="37" customFormat="1" ht="15.75" customHeight="1" x14ac:dyDescent="0.2">
      <c r="A1082" s="26">
        <v>2196</v>
      </c>
      <c r="B1082" s="27" t="s">
        <v>2060</v>
      </c>
      <c r="C1082" s="27" t="s">
        <v>116</v>
      </c>
      <c r="D1082" s="28">
        <v>0.03</v>
      </c>
      <c r="E1082" s="29">
        <v>27.48</v>
      </c>
      <c r="F1082" s="29">
        <v>4</v>
      </c>
      <c r="G1082" s="30" t="s">
        <v>39</v>
      </c>
      <c r="H1082" s="27" t="s">
        <v>3095</v>
      </c>
      <c r="I1082" s="27" t="s">
        <v>41</v>
      </c>
      <c r="J1082" s="27" t="s">
        <v>42</v>
      </c>
      <c r="K1082" s="27" t="s">
        <v>73</v>
      </c>
      <c r="L1082" s="31" t="s">
        <v>2061</v>
      </c>
      <c r="M1082" s="32">
        <v>0.75</v>
      </c>
      <c r="N1082" s="27" t="s">
        <v>33</v>
      </c>
      <c r="O1082" s="27" t="s">
        <v>111</v>
      </c>
      <c r="P1082" s="27" t="s">
        <v>112</v>
      </c>
      <c r="Q1082" s="27" t="s">
        <v>2062</v>
      </c>
      <c r="R1082" s="33">
        <v>14701</v>
      </c>
      <c r="S1082" s="34">
        <v>42101</v>
      </c>
      <c r="T1082" s="34">
        <v>42102</v>
      </c>
      <c r="U1082" s="29">
        <v>-88.840800000000002</v>
      </c>
      <c r="V1082" s="26">
        <v>11</v>
      </c>
      <c r="W1082" s="29">
        <v>294.97000000000003</v>
      </c>
      <c r="X1082" s="26">
        <v>89175</v>
      </c>
      <c r="Y1082" s="35">
        <v>17.610000000000003</v>
      </c>
      <c r="Z1082" s="1" t="s">
        <v>3014</v>
      </c>
      <c r="AA1082" s="36">
        <v>9.0684000000000005</v>
      </c>
      <c r="AB1082" s="54">
        <v>73.742500000000007</v>
      </c>
      <c r="AC1082" s="54">
        <v>20.111590909090911</v>
      </c>
      <c r="AD1082" s="36">
        <v>370.74240000000003</v>
      </c>
    </row>
    <row r="1083" spans="1:30" s="37" customFormat="1" ht="15.75" customHeight="1" x14ac:dyDescent="0.2">
      <c r="A1083" s="26">
        <v>1730</v>
      </c>
      <c r="B1083" s="27" t="s">
        <v>2047</v>
      </c>
      <c r="C1083" s="27" t="s">
        <v>38</v>
      </c>
      <c r="D1083" s="28">
        <v>0.1</v>
      </c>
      <c r="E1083" s="29">
        <v>65.989999999999995</v>
      </c>
      <c r="F1083" s="29">
        <v>3.99</v>
      </c>
      <c r="G1083" s="30" t="s">
        <v>87</v>
      </c>
      <c r="H1083" s="27" t="s">
        <v>3095</v>
      </c>
      <c r="I1083" s="27" t="s">
        <v>41</v>
      </c>
      <c r="J1083" s="27" t="s">
        <v>135</v>
      </c>
      <c r="K1083" s="27" t="s">
        <v>73</v>
      </c>
      <c r="L1083" s="31" t="s">
        <v>1634</v>
      </c>
      <c r="M1083" s="32">
        <v>0.59</v>
      </c>
      <c r="N1083" s="27" t="s">
        <v>33</v>
      </c>
      <c r="O1083" s="27" t="s">
        <v>60</v>
      </c>
      <c r="P1083" s="27" t="s">
        <v>490</v>
      </c>
      <c r="Q1083" s="27" t="s">
        <v>1498</v>
      </c>
      <c r="R1083" s="33">
        <v>83843</v>
      </c>
      <c r="S1083" s="34">
        <v>42101</v>
      </c>
      <c r="T1083" s="34">
        <v>42103</v>
      </c>
      <c r="U1083" s="29">
        <v>-88.624799999999993</v>
      </c>
      <c r="V1083" s="26">
        <v>5</v>
      </c>
      <c r="W1083" s="29">
        <v>272.86</v>
      </c>
      <c r="X1083" s="26">
        <v>90653</v>
      </c>
      <c r="Y1083" s="35">
        <v>65.989999999999995</v>
      </c>
      <c r="Z1083" s="1" t="s">
        <v>3013</v>
      </c>
      <c r="AA1083" s="36">
        <v>32.995000000000005</v>
      </c>
      <c r="AB1083" s="54">
        <v>111.87260000000002</v>
      </c>
      <c r="AC1083" s="54">
        <v>32.197479999999999</v>
      </c>
      <c r="AD1083" s="36">
        <v>324.49979999999999</v>
      </c>
    </row>
    <row r="1084" spans="1:30" s="37" customFormat="1" ht="15.75" customHeight="1" x14ac:dyDescent="0.2">
      <c r="A1084" s="26">
        <v>268</v>
      </c>
      <c r="B1084" s="27" t="s">
        <v>2050</v>
      </c>
      <c r="C1084" s="27" t="s">
        <v>48</v>
      </c>
      <c r="D1084" s="28">
        <v>0.03</v>
      </c>
      <c r="E1084" s="29">
        <v>40.89</v>
      </c>
      <c r="F1084" s="29">
        <v>18.98</v>
      </c>
      <c r="G1084" s="30" t="s">
        <v>39</v>
      </c>
      <c r="H1084" s="27" t="s">
        <v>71</v>
      </c>
      <c r="I1084" s="27" t="s">
        <v>29</v>
      </c>
      <c r="J1084" s="27" t="s">
        <v>126</v>
      </c>
      <c r="K1084" s="27" t="s">
        <v>73</v>
      </c>
      <c r="L1084" s="31" t="s">
        <v>2052</v>
      </c>
      <c r="M1084" s="32">
        <v>0.56999999999999995</v>
      </c>
      <c r="N1084" s="27" t="s">
        <v>33</v>
      </c>
      <c r="O1084" s="27" t="s">
        <v>60</v>
      </c>
      <c r="P1084" s="27" t="s">
        <v>588</v>
      </c>
      <c r="Q1084" s="27" t="s">
        <v>2051</v>
      </c>
      <c r="R1084" s="33">
        <v>86001</v>
      </c>
      <c r="S1084" s="34">
        <v>42101</v>
      </c>
      <c r="T1084" s="34">
        <v>42108</v>
      </c>
      <c r="U1084" s="29">
        <v>78.98</v>
      </c>
      <c r="V1084" s="26">
        <v>5</v>
      </c>
      <c r="W1084" s="29">
        <v>210.77</v>
      </c>
      <c r="X1084" s="26">
        <v>88941</v>
      </c>
      <c r="Y1084" s="35">
        <v>65.989999999999995</v>
      </c>
      <c r="Z1084" s="1" t="s">
        <v>3013</v>
      </c>
      <c r="AA1084" s="36">
        <v>6.1334999999999997</v>
      </c>
      <c r="AB1084" s="54">
        <v>90.631100000000018</v>
      </c>
      <c r="AC1084" s="54">
        <v>24.02778</v>
      </c>
      <c r="AD1084" s="36">
        <v>106.6765</v>
      </c>
    </row>
    <row r="1085" spans="1:30" s="37" customFormat="1" ht="15.75" customHeight="1" x14ac:dyDescent="0.2">
      <c r="A1085" s="26">
        <v>2540</v>
      </c>
      <c r="B1085" s="27" t="s">
        <v>2069</v>
      </c>
      <c r="C1085" s="27" t="s">
        <v>3094</v>
      </c>
      <c r="D1085" s="28">
        <v>0.02</v>
      </c>
      <c r="E1085" s="29">
        <v>178.47</v>
      </c>
      <c r="F1085" s="29">
        <v>19.989999999999998</v>
      </c>
      <c r="G1085" s="30" t="s">
        <v>39</v>
      </c>
      <c r="H1085" s="27" t="s">
        <v>71</v>
      </c>
      <c r="I1085" s="27" t="s">
        <v>49</v>
      </c>
      <c r="J1085" s="27" t="s">
        <v>78</v>
      </c>
      <c r="K1085" s="27" t="s">
        <v>73</v>
      </c>
      <c r="L1085" s="31" t="s">
        <v>1011</v>
      </c>
      <c r="M1085" s="32">
        <v>0.55000000000000004</v>
      </c>
      <c r="N1085" s="27" t="s">
        <v>33</v>
      </c>
      <c r="O1085" s="27" t="s">
        <v>34</v>
      </c>
      <c r="P1085" s="27" t="s">
        <v>123</v>
      </c>
      <c r="Q1085" s="27" t="s">
        <v>2070</v>
      </c>
      <c r="R1085" s="33">
        <v>32708</v>
      </c>
      <c r="S1085" s="34">
        <v>42101</v>
      </c>
      <c r="T1085" s="34">
        <v>42102</v>
      </c>
      <c r="U1085" s="29">
        <v>106.98480000000001</v>
      </c>
      <c r="V1085" s="26">
        <v>1</v>
      </c>
      <c r="W1085" s="29">
        <v>193.81</v>
      </c>
      <c r="X1085" s="26">
        <v>91017</v>
      </c>
      <c r="Y1085" s="35">
        <v>27.45</v>
      </c>
      <c r="Z1085" s="1" t="s">
        <v>3011</v>
      </c>
      <c r="AA1085" s="36">
        <v>3.5693999999999999</v>
      </c>
      <c r="AB1085" s="54">
        <v>87.214499999999987</v>
      </c>
      <c r="AC1085" s="54">
        <v>106.59550000000002</v>
      </c>
      <c r="AD1085" s="36">
        <v>63.265800000000013</v>
      </c>
    </row>
    <row r="1086" spans="1:30" s="37" customFormat="1" ht="15.75" customHeight="1" x14ac:dyDescent="0.2">
      <c r="A1086" s="26">
        <v>1957</v>
      </c>
      <c r="B1086" s="27" t="s">
        <v>2048</v>
      </c>
      <c r="C1086" s="27" t="s">
        <v>38</v>
      </c>
      <c r="D1086" s="28">
        <v>0.09</v>
      </c>
      <c r="E1086" s="29">
        <v>77.510000000000005</v>
      </c>
      <c r="F1086" s="29">
        <v>4</v>
      </c>
      <c r="G1086" s="30" t="s">
        <v>39</v>
      </c>
      <c r="H1086" s="27" t="s">
        <v>40</v>
      </c>
      <c r="I1086" s="27" t="s">
        <v>41</v>
      </c>
      <c r="J1086" s="27" t="s">
        <v>42</v>
      </c>
      <c r="K1086" s="27" t="s">
        <v>73</v>
      </c>
      <c r="L1086" s="31" t="s">
        <v>2049</v>
      </c>
      <c r="M1086" s="32">
        <v>0.76</v>
      </c>
      <c r="N1086" s="27" t="s">
        <v>33</v>
      </c>
      <c r="O1086" s="27" t="s">
        <v>53</v>
      </c>
      <c r="P1086" s="27" t="s">
        <v>80</v>
      </c>
      <c r="Q1086" s="27" t="s">
        <v>1024</v>
      </c>
      <c r="R1086" s="33">
        <v>63130</v>
      </c>
      <c r="S1086" s="34">
        <v>42101</v>
      </c>
      <c r="T1086" s="34">
        <v>42103</v>
      </c>
      <c r="U1086" s="29">
        <v>-387.1044</v>
      </c>
      <c r="V1086" s="26">
        <v>1</v>
      </c>
      <c r="W1086" s="29">
        <v>77.47</v>
      </c>
      <c r="X1086" s="26">
        <v>89818</v>
      </c>
      <c r="Y1086" s="35">
        <v>179.89000000000001</v>
      </c>
      <c r="Z1086" s="1" t="s">
        <v>3012</v>
      </c>
      <c r="AA1086" s="36">
        <v>6.9759000000000002</v>
      </c>
      <c r="AB1086" s="54">
        <v>18.5928</v>
      </c>
      <c r="AC1086" s="54">
        <v>58.877200000000002</v>
      </c>
      <c r="AD1086" s="36">
        <v>453.59849999999994</v>
      </c>
    </row>
    <row r="1087" spans="1:30" s="37" customFormat="1" ht="15.75" customHeight="1" x14ac:dyDescent="0.2">
      <c r="A1087" s="26">
        <v>683</v>
      </c>
      <c r="B1087" s="27" t="s">
        <v>2055</v>
      </c>
      <c r="C1087" s="27" t="s">
        <v>116</v>
      </c>
      <c r="D1087" s="28">
        <v>0.06</v>
      </c>
      <c r="E1087" s="29">
        <v>17.670000000000002</v>
      </c>
      <c r="F1087" s="29">
        <v>8.99</v>
      </c>
      <c r="G1087" s="30" t="s">
        <v>87</v>
      </c>
      <c r="H1087" s="27" t="s">
        <v>3095</v>
      </c>
      <c r="I1087" s="27" t="s">
        <v>29</v>
      </c>
      <c r="J1087" s="27" t="s">
        <v>126</v>
      </c>
      <c r="K1087" s="27" t="s">
        <v>43</v>
      </c>
      <c r="L1087" s="31" t="s">
        <v>2056</v>
      </c>
      <c r="M1087" s="32">
        <v>0.47</v>
      </c>
      <c r="N1087" s="27" t="s">
        <v>33</v>
      </c>
      <c r="O1087" s="27" t="s">
        <v>53</v>
      </c>
      <c r="P1087" s="27" t="s">
        <v>133</v>
      </c>
      <c r="Q1087" s="27" t="s">
        <v>1589</v>
      </c>
      <c r="R1087" s="33">
        <v>68046</v>
      </c>
      <c r="S1087" s="34">
        <v>42101</v>
      </c>
      <c r="T1087" s="34">
        <v>42102</v>
      </c>
      <c r="U1087" s="29">
        <v>38.06</v>
      </c>
      <c r="V1087" s="26">
        <v>4</v>
      </c>
      <c r="W1087" s="29">
        <v>69.959999999999994</v>
      </c>
      <c r="X1087" s="26">
        <v>87765</v>
      </c>
      <c r="Y1087" s="35">
        <v>140.75</v>
      </c>
      <c r="Z1087" s="1" t="s">
        <v>3012</v>
      </c>
      <c r="AA1087" s="36">
        <v>4.2408000000000001</v>
      </c>
      <c r="AB1087" s="54">
        <v>37.078800000000001</v>
      </c>
      <c r="AC1087" s="54">
        <v>8.2202999999999982</v>
      </c>
      <c r="AD1087" s="36">
        <v>18.669199999999989</v>
      </c>
    </row>
    <row r="1088" spans="1:30" s="37" customFormat="1" ht="15.75" customHeight="1" x14ac:dyDescent="0.2">
      <c r="A1088" s="26">
        <v>272</v>
      </c>
      <c r="B1088" s="27" t="s">
        <v>2053</v>
      </c>
      <c r="C1088" s="27" t="s">
        <v>48</v>
      </c>
      <c r="D1088" s="28">
        <v>0.02</v>
      </c>
      <c r="E1088" s="29">
        <v>5.58</v>
      </c>
      <c r="F1088" s="29">
        <v>5.3</v>
      </c>
      <c r="G1088" s="30" t="s">
        <v>39</v>
      </c>
      <c r="H1088" s="27" t="s">
        <v>71</v>
      </c>
      <c r="I1088" s="27" t="s">
        <v>49</v>
      </c>
      <c r="J1088" s="27" t="s">
        <v>345</v>
      </c>
      <c r="K1088" s="27" t="s">
        <v>73</v>
      </c>
      <c r="L1088" s="31" t="s">
        <v>346</v>
      </c>
      <c r="M1088" s="32">
        <v>0.35</v>
      </c>
      <c r="N1088" s="27" t="s">
        <v>33</v>
      </c>
      <c r="O1088" s="27" t="s">
        <v>34</v>
      </c>
      <c r="P1088" s="27" t="s">
        <v>97</v>
      </c>
      <c r="Q1088" s="27" t="s">
        <v>673</v>
      </c>
      <c r="R1088" s="33">
        <v>28204</v>
      </c>
      <c r="S1088" s="34">
        <v>42101</v>
      </c>
      <c r="T1088" s="34">
        <v>42106</v>
      </c>
      <c r="U1088" s="29">
        <v>-29.898399999999999</v>
      </c>
      <c r="V1088" s="26">
        <v>11</v>
      </c>
      <c r="W1088" s="29">
        <v>68.459999999999994</v>
      </c>
      <c r="X1088" s="26">
        <v>5509</v>
      </c>
      <c r="Y1088" s="35">
        <v>291.68</v>
      </c>
      <c r="Z1088" s="1" t="s">
        <v>3011</v>
      </c>
      <c r="AA1088" s="36">
        <v>1.2276</v>
      </c>
      <c r="AB1088" s="54">
        <v>44.498999999999995</v>
      </c>
      <c r="AC1088" s="54">
        <v>2.1782727272727267</v>
      </c>
      <c r="AD1088" s="36">
        <v>91.830799999999996</v>
      </c>
    </row>
    <row r="1089" spans="1:30" s="37" customFormat="1" ht="15.75" customHeight="1" x14ac:dyDescent="0.2">
      <c r="A1089" s="26">
        <v>2539</v>
      </c>
      <c r="B1089" s="27" t="s">
        <v>2066</v>
      </c>
      <c r="C1089" s="27" t="s">
        <v>3094</v>
      </c>
      <c r="D1089" s="28">
        <v>0.08</v>
      </c>
      <c r="E1089" s="29">
        <v>12.53</v>
      </c>
      <c r="F1089" s="29">
        <v>0.5</v>
      </c>
      <c r="G1089" s="30" t="s">
        <v>39</v>
      </c>
      <c r="H1089" s="27" t="s">
        <v>71</v>
      </c>
      <c r="I1089" s="27" t="s">
        <v>49</v>
      </c>
      <c r="J1089" s="27" t="s">
        <v>152</v>
      </c>
      <c r="K1089" s="27" t="s">
        <v>73</v>
      </c>
      <c r="L1089" s="31" t="s">
        <v>2067</v>
      </c>
      <c r="M1089" s="32">
        <v>0.38</v>
      </c>
      <c r="N1089" s="27" t="s">
        <v>33</v>
      </c>
      <c r="O1089" s="27" t="s">
        <v>34</v>
      </c>
      <c r="P1089" s="27" t="s">
        <v>123</v>
      </c>
      <c r="Q1089" s="27" t="s">
        <v>2068</v>
      </c>
      <c r="R1089" s="33">
        <v>32789</v>
      </c>
      <c r="S1089" s="34">
        <v>42101</v>
      </c>
      <c r="T1089" s="34">
        <v>42102</v>
      </c>
      <c r="U1089" s="29">
        <v>215.71799999999999</v>
      </c>
      <c r="V1089" s="26">
        <v>5</v>
      </c>
      <c r="W1089" s="29">
        <v>61.1</v>
      </c>
      <c r="X1089" s="26">
        <v>91017</v>
      </c>
      <c r="Y1089" s="35">
        <v>12.45</v>
      </c>
      <c r="Z1089" s="1" t="s">
        <v>3011</v>
      </c>
      <c r="AA1089" s="36">
        <v>5.0119999999999996</v>
      </c>
      <c r="AB1089" s="54">
        <v>37.881999999999998</v>
      </c>
      <c r="AC1089" s="54">
        <v>4.6436000000000002</v>
      </c>
      <c r="AD1089" s="36">
        <v>-160.13</v>
      </c>
    </row>
    <row r="1090" spans="1:30" s="37" customFormat="1" ht="15.75" customHeight="1" x14ac:dyDescent="0.2">
      <c r="A1090" s="26">
        <v>268</v>
      </c>
      <c r="B1090" s="27" t="s">
        <v>2050</v>
      </c>
      <c r="C1090" s="27" t="s">
        <v>48</v>
      </c>
      <c r="D1090" s="28">
        <v>0.02</v>
      </c>
      <c r="E1090" s="29">
        <v>5.58</v>
      </c>
      <c r="F1090" s="29">
        <v>5.3</v>
      </c>
      <c r="G1090" s="30" t="s">
        <v>39</v>
      </c>
      <c r="H1090" s="27" t="s">
        <v>71</v>
      </c>
      <c r="I1090" s="27" t="s">
        <v>49</v>
      </c>
      <c r="J1090" s="27" t="s">
        <v>345</v>
      </c>
      <c r="K1090" s="27" t="s">
        <v>73</v>
      </c>
      <c r="L1090" s="31" t="s">
        <v>346</v>
      </c>
      <c r="M1090" s="32">
        <v>0.35</v>
      </c>
      <c r="N1090" s="27" t="s">
        <v>33</v>
      </c>
      <c r="O1090" s="27" t="s">
        <v>60</v>
      </c>
      <c r="P1090" s="27" t="s">
        <v>588</v>
      </c>
      <c r="Q1090" s="27" t="s">
        <v>2051</v>
      </c>
      <c r="R1090" s="33">
        <v>86001</v>
      </c>
      <c r="S1090" s="34">
        <v>42101</v>
      </c>
      <c r="T1090" s="34">
        <v>42106</v>
      </c>
      <c r="U1090" s="29">
        <v>-22.48</v>
      </c>
      <c r="V1090" s="26">
        <v>3</v>
      </c>
      <c r="W1090" s="29">
        <v>18.670000000000002</v>
      </c>
      <c r="X1090" s="26">
        <v>88941</v>
      </c>
      <c r="Y1090" s="35">
        <v>178.45</v>
      </c>
      <c r="Z1090" s="1" t="s">
        <v>3013</v>
      </c>
      <c r="AA1090" s="36">
        <v>0.33479999999999999</v>
      </c>
      <c r="AB1090" s="54">
        <v>12.135500000000002</v>
      </c>
      <c r="AC1090" s="54">
        <v>2.1781666666666668</v>
      </c>
      <c r="AD1090" s="36">
        <v>35.5152</v>
      </c>
    </row>
    <row r="1091" spans="1:30" s="37" customFormat="1" ht="15.75" customHeight="1" x14ac:dyDescent="0.2">
      <c r="A1091" s="26">
        <v>2699</v>
      </c>
      <c r="B1091" s="27" t="s">
        <v>2089</v>
      </c>
      <c r="C1091" s="27" t="s">
        <v>3094</v>
      </c>
      <c r="D1091" s="28">
        <v>0.04</v>
      </c>
      <c r="E1091" s="29">
        <v>70.98</v>
      </c>
      <c r="F1091" s="29">
        <v>26.74</v>
      </c>
      <c r="G1091" s="30" t="s">
        <v>27</v>
      </c>
      <c r="H1091" s="27" t="s">
        <v>94</v>
      </c>
      <c r="I1091" s="27" t="s">
        <v>29</v>
      </c>
      <c r="J1091" s="27" t="s">
        <v>117</v>
      </c>
      <c r="K1091" s="27" t="s">
        <v>31</v>
      </c>
      <c r="L1091" s="31" t="s">
        <v>2090</v>
      </c>
      <c r="M1091" s="32">
        <v>0.6</v>
      </c>
      <c r="N1091" s="27" t="s">
        <v>33</v>
      </c>
      <c r="O1091" s="27" t="s">
        <v>60</v>
      </c>
      <c r="P1091" s="27" t="s">
        <v>588</v>
      </c>
      <c r="Q1091" s="27" t="s">
        <v>2091</v>
      </c>
      <c r="R1091" s="33">
        <v>86442</v>
      </c>
      <c r="S1091" s="34">
        <v>42102</v>
      </c>
      <c r="T1091" s="34">
        <v>42104</v>
      </c>
      <c r="U1091" s="29">
        <v>-84.628799999999998</v>
      </c>
      <c r="V1091" s="26">
        <v>19</v>
      </c>
      <c r="W1091" s="29">
        <v>1345.33</v>
      </c>
      <c r="X1091" s="26">
        <v>87679</v>
      </c>
      <c r="Y1091" s="35">
        <v>4.42</v>
      </c>
      <c r="Z1091" s="1" t="s">
        <v>3013</v>
      </c>
      <c r="AA1091" s="36">
        <v>53.944800000000008</v>
      </c>
      <c r="AB1091" s="54">
        <v>538.13199999999995</v>
      </c>
      <c r="AC1091" s="54">
        <v>42.484105263157893</v>
      </c>
      <c r="AD1091" s="36">
        <v>1349.2739999999999</v>
      </c>
    </row>
    <row r="1092" spans="1:30" s="37" customFormat="1" ht="15.75" customHeight="1" x14ac:dyDescent="0.2">
      <c r="A1092" s="26">
        <v>1018</v>
      </c>
      <c r="B1092" s="27" t="s">
        <v>2082</v>
      </c>
      <c r="C1092" s="27" t="s">
        <v>116</v>
      </c>
      <c r="D1092" s="28">
        <v>0.05</v>
      </c>
      <c r="E1092" s="29">
        <v>35.89</v>
      </c>
      <c r="F1092" s="29">
        <v>14.72</v>
      </c>
      <c r="G1092" s="30" t="s">
        <v>39</v>
      </c>
      <c r="H1092" s="27" t="s">
        <v>71</v>
      </c>
      <c r="I1092" s="27" t="s">
        <v>49</v>
      </c>
      <c r="J1092" s="27" t="s">
        <v>345</v>
      </c>
      <c r="K1092" s="27" t="s">
        <v>73</v>
      </c>
      <c r="L1092" s="31" t="s">
        <v>2083</v>
      </c>
      <c r="M1092" s="32">
        <v>0.4</v>
      </c>
      <c r="N1092" s="27" t="s">
        <v>33</v>
      </c>
      <c r="O1092" s="27" t="s">
        <v>34</v>
      </c>
      <c r="P1092" s="27" t="s">
        <v>97</v>
      </c>
      <c r="Q1092" s="27" t="s">
        <v>2084</v>
      </c>
      <c r="R1092" s="33">
        <v>27511</v>
      </c>
      <c r="S1092" s="34">
        <v>42102</v>
      </c>
      <c r="T1092" s="34">
        <v>42103</v>
      </c>
      <c r="U1092" s="29">
        <v>22.866</v>
      </c>
      <c r="V1092" s="26">
        <v>19</v>
      </c>
      <c r="W1092" s="29">
        <v>680.39</v>
      </c>
      <c r="X1092" s="26">
        <v>88391</v>
      </c>
      <c r="Y1092" s="35">
        <v>42.97</v>
      </c>
      <c r="Z1092" s="1" t="s">
        <v>3011</v>
      </c>
      <c r="AA1092" s="36">
        <v>34.095500000000001</v>
      </c>
      <c r="AB1092" s="54">
        <v>408.23399999999998</v>
      </c>
      <c r="AC1092" s="54">
        <v>14.324000000000002</v>
      </c>
      <c r="AD1092" s="36">
        <v>608.70849999999996</v>
      </c>
    </row>
    <row r="1093" spans="1:30" s="37" customFormat="1" ht="15.75" customHeight="1" x14ac:dyDescent="0.2">
      <c r="A1093" s="26">
        <v>1614</v>
      </c>
      <c r="B1093" s="27" t="s">
        <v>2079</v>
      </c>
      <c r="C1093" s="27" t="s">
        <v>48</v>
      </c>
      <c r="D1093" s="28">
        <v>0.06</v>
      </c>
      <c r="E1093" s="29">
        <v>40.97</v>
      </c>
      <c r="F1093" s="29">
        <v>1.99</v>
      </c>
      <c r="G1093" s="30" t="s">
        <v>39</v>
      </c>
      <c r="H1093" s="27" t="s">
        <v>40</v>
      </c>
      <c r="I1093" s="27" t="s">
        <v>41</v>
      </c>
      <c r="J1093" s="27" t="s">
        <v>42</v>
      </c>
      <c r="K1093" s="27" t="s">
        <v>43</v>
      </c>
      <c r="L1093" s="31" t="s">
        <v>2080</v>
      </c>
      <c r="M1093" s="32">
        <v>0.42</v>
      </c>
      <c r="N1093" s="27" t="s">
        <v>33</v>
      </c>
      <c r="O1093" s="27" t="s">
        <v>111</v>
      </c>
      <c r="P1093" s="27" t="s">
        <v>403</v>
      </c>
      <c r="Q1093" s="27" t="s">
        <v>2081</v>
      </c>
      <c r="R1093" s="33">
        <v>1748</v>
      </c>
      <c r="S1093" s="34">
        <v>42102</v>
      </c>
      <c r="T1093" s="34">
        <v>42106</v>
      </c>
      <c r="U1093" s="29">
        <v>341.19810000000001</v>
      </c>
      <c r="V1093" s="26">
        <v>12</v>
      </c>
      <c r="W1093" s="29">
        <v>494.49</v>
      </c>
      <c r="X1093" s="26">
        <v>87823</v>
      </c>
      <c r="Y1093" s="35">
        <v>2.87</v>
      </c>
      <c r="Z1093" s="1" t="s">
        <v>3014</v>
      </c>
      <c r="AA1093" s="36">
        <v>29.498399999999997</v>
      </c>
      <c r="AB1093" s="54">
        <v>286.80420000000004</v>
      </c>
      <c r="AC1093" s="54">
        <v>17.30715</v>
      </c>
      <c r="AD1093" s="36">
        <v>121.80349999999999</v>
      </c>
    </row>
    <row r="1094" spans="1:30" s="37" customFormat="1" ht="15.75" customHeight="1" x14ac:dyDescent="0.2">
      <c r="A1094" s="26">
        <v>1935</v>
      </c>
      <c r="B1094" s="27" t="s">
        <v>2074</v>
      </c>
      <c r="C1094" s="27" t="s">
        <v>26</v>
      </c>
      <c r="D1094" s="28">
        <v>0.01</v>
      </c>
      <c r="E1094" s="29">
        <v>42.98</v>
      </c>
      <c r="F1094" s="29">
        <v>4.62</v>
      </c>
      <c r="G1094" s="30" t="s">
        <v>87</v>
      </c>
      <c r="H1094" s="27" t="s">
        <v>94</v>
      </c>
      <c r="I1094" s="27" t="s">
        <v>49</v>
      </c>
      <c r="J1094" s="27" t="s">
        <v>95</v>
      </c>
      <c r="K1094" s="27" t="s">
        <v>73</v>
      </c>
      <c r="L1094" s="31" t="s">
        <v>280</v>
      </c>
      <c r="M1094" s="32">
        <v>0.56000000000000005</v>
      </c>
      <c r="N1094" s="27" t="s">
        <v>33</v>
      </c>
      <c r="O1094" s="27" t="s">
        <v>53</v>
      </c>
      <c r="P1094" s="27" t="s">
        <v>187</v>
      </c>
      <c r="Q1094" s="27" t="s">
        <v>2075</v>
      </c>
      <c r="R1094" s="33">
        <v>75051</v>
      </c>
      <c r="S1094" s="34">
        <v>42102</v>
      </c>
      <c r="T1094" s="34">
        <v>42104</v>
      </c>
      <c r="U1094" s="29">
        <v>285.47370000000001</v>
      </c>
      <c r="V1094" s="26">
        <v>9</v>
      </c>
      <c r="W1094" s="29">
        <v>413.73</v>
      </c>
      <c r="X1094" s="26">
        <v>86686</v>
      </c>
      <c r="Y1094" s="35">
        <v>35.39</v>
      </c>
      <c r="Z1094" s="1" t="s">
        <v>3012</v>
      </c>
      <c r="AA1094" s="36">
        <v>3.8681999999999999</v>
      </c>
      <c r="AB1094" s="54">
        <v>182.04119999999998</v>
      </c>
      <c r="AC1094" s="54">
        <v>25.743200000000002</v>
      </c>
      <c r="AD1094" s="36">
        <v>119.7681</v>
      </c>
    </row>
    <row r="1095" spans="1:30" s="37" customFormat="1" ht="15.75" customHeight="1" x14ac:dyDescent="0.2">
      <c r="A1095" s="26">
        <v>3098</v>
      </c>
      <c r="B1095" s="27" t="s">
        <v>1420</v>
      </c>
      <c r="C1095" s="27" t="s">
        <v>26</v>
      </c>
      <c r="D1095" s="28">
        <v>0.05</v>
      </c>
      <c r="E1095" s="29">
        <v>35.44</v>
      </c>
      <c r="F1095" s="29">
        <v>5.09</v>
      </c>
      <c r="G1095" s="30" t="s">
        <v>39</v>
      </c>
      <c r="H1095" s="27" t="s">
        <v>40</v>
      </c>
      <c r="I1095" s="27" t="s">
        <v>49</v>
      </c>
      <c r="J1095" s="27" t="s">
        <v>88</v>
      </c>
      <c r="K1095" s="27" t="s">
        <v>73</v>
      </c>
      <c r="L1095" s="31" t="s">
        <v>2078</v>
      </c>
      <c r="M1095" s="32">
        <v>0.38</v>
      </c>
      <c r="N1095" s="27" t="s">
        <v>33</v>
      </c>
      <c r="O1095" s="27" t="s">
        <v>111</v>
      </c>
      <c r="P1095" s="27" t="s">
        <v>112</v>
      </c>
      <c r="Q1095" s="27" t="s">
        <v>1421</v>
      </c>
      <c r="R1095" s="33">
        <v>11967</v>
      </c>
      <c r="S1095" s="34">
        <v>42102</v>
      </c>
      <c r="T1095" s="34">
        <v>42103</v>
      </c>
      <c r="U1095" s="29">
        <v>240.17519999999999</v>
      </c>
      <c r="V1095" s="26">
        <v>10</v>
      </c>
      <c r="W1095" s="29">
        <v>348.08</v>
      </c>
      <c r="X1095" s="26">
        <v>89314</v>
      </c>
      <c r="Y1095" s="35">
        <v>40.909999999999997</v>
      </c>
      <c r="Z1095" s="1" t="s">
        <v>3014</v>
      </c>
      <c r="AA1095" s="36">
        <v>17.72</v>
      </c>
      <c r="AB1095" s="54">
        <v>215.80959999999999</v>
      </c>
      <c r="AC1095" s="54">
        <v>13.227040000000001</v>
      </c>
      <c r="AD1095" s="36">
        <v>85.094800000000021</v>
      </c>
    </row>
    <row r="1096" spans="1:30" s="37" customFormat="1" ht="15.75" customHeight="1" x14ac:dyDescent="0.2">
      <c r="A1096" s="26">
        <v>2561</v>
      </c>
      <c r="B1096" s="27" t="s">
        <v>1798</v>
      </c>
      <c r="C1096" s="27" t="s">
        <v>3094</v>
      </c>
      <c r="D1096" s="28">
        <v>7.0000000000000007E-2</v>
      </c>
      <c r="E1096" s="29">
        <v>12.22</v>
      </c>
      <c r="F1096" s="29">
        <v>2.85</v>
      </c>
      <c r="G1096" s="30" t="s">
        <v>39</v>
      </c>
      <c r="H1096" s="27" t="s">
        <v>40</v>
      </c>
      <c r="I1096" s="27" t="s">
        <v>29</v>
      </c>
      <c r="J1096" s="27" t="s">
        <v>126</v>
      </c>
      <c r="K1096" s="27" t="s">
        <v>43</v>
      </c>
      <c r="L1096" s="31" t="s">
        <v>2086</v>
      </c>
      <c r="M1096" s="32">
        <v>0.55000000000000004</v>
      </c>
      <c r="N1096" s="27" t="s">
        <v>33</v>
      </c>
      <c r="O1096" s="27" t="s">
        <v>111</v>
      </c>
      <c r="P1096" s="27" t="s">
        <v>112</v>
      </c>
      <c r="Q1096" s="27" t="s">
        <v>1799</v>
      </c>
      <c r="R1096" s="33">
        <v>10562</v>
      </c>
      <c r="S1096" s="34">
        <v>42102</v>
      </c>
      <c r="T1096" s="34">
        <v>42102</v>
      </c>
      <c r="U1096" s="29">
        <v>89.4148</v>
      </c>
      <c r="V1096" s="26">
        <v>12</v>
      </c>
      <c r="W1096" s="29">
        <v>147.19</v>
      </c>
      <c r="X1096" s="26">
        <v>86466</v>
      </c>
      <c r="Y1096" s="35">
        <v>35.840000000000003</v>
      </c>
      <c r="Z1096" s="1" t="s">
        <v>3014</v>
      </c>
      <c r="AA1096" s="36">
        <v>10.264800000000001</v>
      </c>
      <c r="AB1096" s="54">
        <v>66.235499999999988</v>
      </c>
      <c r="AC1096" s="54">
        <v>6.7462083333333336</v>
      </c>
      <c r="AD1096" s="36">
        <v>44.66040000000001</v>
      </c>
    </row>
    <row r="1097" spans="1:30" s="37" customFormat="1" ht="15.75" customHeight="1" x14ac:dyDescent="0.2">
      <c r="A1097" s="26">
        <v>1018</v>
      </c>
      <c r="B1097" s="27" t="s">
        <v>2082</v>
      </c>
      <c r="C1097" s="27" t="s">
        <v>116</v>
      </c>
      <c r="D1097" s="28">
        <v>0</v>
      </c>
      <c r="E1097" s="29">
        <v>11.48</v>
      </c>
      <c r="F1097" s="29">
        <v>5.43</v>
      </c>
      <c r="G1097" s="30" t="s">
        <v>39</v>
      </c>
      <c r="H1097" s="27" t="s">
        <v>71</v>
      </c>
      <c r="I1097" s="27" t="s">
        <v>49</v>
      </c>
      <c r="J1097" s="27" t="s">
        <v>88</v>
      </c>
      <c r="K1097" s="27" t="s">
        <v>73</v>
      </c>
      <c r="L1097" s="31" t="s">
        <v>2085</v>
      </c>
      <c r="M1097" s="32">
        <v>0.36</v>
      </c>
      <c r="N1097" s="27" t="s">
        <v>33</v>
      </c>
      <c r="O1097" s="27" t="s">
        <v>34</v>
      </c>
      <c r="P1097" s="27" t="s">
        <v>97</v>
      </c>
      <c r="Q1097" s="27" t="s">
        <v>2084</v>
      </c>
      <c r="R1097" s="33">
        <v>27511</v>
      </c>
      <c r="S1097" s="34">
        <v>42102</v>
      </c>
      <c r="T1097" s="34">
        <v>42102</v>
      </c>
      <c r="U1097" s="29">
        <v>115.72799999999999</v>
      </c>
      <c r="V1097" s="26">
        <v>6</v>
      </c>
      <c r="W1097" s="29">
        <v>75.52</v>
      </c>
      <c r="X1097" s="26">
        <v>88391</v>
      </c>
      <c r="Y1097" s="35">
        <v>11.48</v>
      </c>
      <c r="Z1097" s="1" t="s">
        <v>3011</v>
      </c>
      <c r="AA1097" s="36">
        <v>0</v>
      </c>
      <c r="AB1097" s="54">
        <v>48.332799999999999</v>
      </c>
      <c r="AC1097" s="54">
        <v>4.5311999999999992</v>
      </c>
      <c r="AD1097" s="36">
        <v>-45.637999999999991</v>
      </c>
    </row>
    <row r="1098" spans="1:30" s="37" customFormat="1" ht="15.75" customHeight="1" x14ac:dyDescent="0.2">
      <c r="A1098" s="26">
        <v>2563</v>
      </c>
      <c r="B1098" s="27" t="s">
        <v>2087</v>
      </c>
      <c r="C1098" s="27" t="s">
        <v>3094</v>
      </c>
      <c r="D1098" s="28">
        <v>0.08</v>
      </c>
      <c r="E1098" s="29">
        <v>4.55</v>
      </c>
      <c r="F1098" s="29">
        <v>1.49</v>
      </c>
      <c r="G1098" s="30" t="s">
        <v>39</v>
      </c>
      <c r="H1098" s="27" t="s">
        <v>71</v>
      </c>
      <c r="I1098" s="27" t="s">
        <v>49</v>
      </c>
      <c r="J1098" s="27" t="s">
        <v>72</v>
      </c>
      <c r="K1098" s="27" t="s">
        <v>73</v>
      </c>
      <c r="L1098" s="31" t="s">
        <v>1503</v>
      </c>
      <c r="M1098" s="32">
        <v>0.35</v>
      </c>
      <c r="N1098" s="27" t="s">
        <v>33</v>
      </c>
      <c r="O1098" s="27" t="s">
        <v>53</v>
      </c>
      <c r="P1098" s="27" t="s">
        <v>84</v>
      </c>
      <c r="Q1098" s="27" t="s">
        <v>2088</v>
      </c>
      <c r="R1098" s="33">
        <v>55432</v>
      </c>
      <c r="S1098" s="34">
        <v>42102</v>
      </c>
      <c r="T1098" s="34">
        <v>42103</v>
      </c>
      <c r="U1098" s="29">
        <v>27.0273</v>
      </c>
      <c r="V1098" s="26">
        <v>9</v>
      </c>
      <c r="W1098" s="29">
        <v>39.17</v>
      </c>
      <c r="X1098" s="26">
        <v>91447</v>
      </c>
      <c r="Y1098" s="35">
        <v>3.91</v>
      </c>
      <c r="Z1098" s="1" t="s">
        <v>3012</v>
      </c>
      <c r="AA1098" s="36">
        <v>3.2759999999999998</v>
      </c>
      <c r="AB1098" s="54">
        <v>25.460500000000003</v>
      </c>
      <c r="AC1098" s="54">
        <v>1.5232777777777777</v>
      </c>
      <c r="AD1098" s="36">
        <v>7.3767000000000031</v>
      </c>
    </row>
    <row r="1099" spans="1:30" s="37" customFormat="1" ht="15.75" customHeight="1" x14ac:dyDescent="0.2">
      <c r="A1099" s="26">
        <v>15</v>
      </c>
      <c r="B1099" s="27" t="s">
        <v>2071</v>
      </c>
      <c r="C1099" s="27" t="s">
        <v>26</v>
      </c>
      <c r="D1099" s="28">
        <v>0</v>
      </c>
      <c r="E1099" s="29">
        <v>4.42</v>
      </c>
      <c r="F1099" s="29">
        <v>4.99</v>
      </c>
      <c r="G1099" s="30" t="s">
        <v>39</v>
      </c>
      <c r="H1099" s="27" t="s">
        <v>3095</v>
      </c>
      <c r="I1099" s="27" t="s">
        <v>49</v>
      </c>
      <c r="J1099" s="27" t="s">
        <v>345</v>
      </c>
      <c r="K1099" s="27" t="s">
        <v>73</v>
      </c>
      <c r="L1099" s="31" t="s">
        <v>2072</v>
      </c>
      <c r="M1099" s="32">
        <v>0.38</v>
      </c>
      <c r="N1099" s="27" t="s">
        <v>33</v>
      </c>
      <c r="O1099" s="27" t="s">
        <v>111</v>
      </c>
      <c r="P1099" s="27" t="s">
        <v>112</v>
      </c>
      <c r="Q1099" s="27" t="s">
        <v>2073</v>
      </c>
      <c r="R1099" s="33">
        <v>11787</v>
      </c>
      <c r="S1099" s="34">
        <v>42102</v>
      </c>
      <c r="T1099" s="34">
        <v>42103</v>
      </c>
      <c r="U1099" s="29">
        <v>-59.82</v>
      </c>
      <c r="V1099" s="26">
        <v>7</v>
      </c>
      <c r="W1099" s="29">
        <v>33.47</v>
      </c>
      <c r="X1099" s="26">
        <v>86837</v>
      </c>
      <c r="Y1099" s="35">
        <v>12.15</v>
      </c>
      <c r="Z1099" s="1" t="s">
        <v>3014</v>
      </c>
      <c r="AA1099" s="36">
        <v>0</v>
      </c>
      <c r="AB1099" s="54">
        <v>20.7514</v>
      </c>
      <c r="AC1099" s="54">
        <v>1.816942857142857</v>
      </c>
      <c r="AD1099" s="36">
        <v>88.3</v>
      </c>
    </row>
    <row r="1100" spans="1:30" s="37" customFormat="1" ht="15.75" customHeight="1" x14ac:dyDescent="0.2">
      <c r="A1100" s="26">
        <v>2655</v>
      </c>
      <c r="B1100" s="27" t="s">
        <v>2076</v>
      </c>
      <c r="C1100" s="27" t="s">
        <v>26</v>
      </c>
      <c r="D1100" s="28">
        <v>7.0000000000000007E-2</v>
      </c>
      <c r="E1100" s="29">
        <v>2.94</v>
      </c>
      <c r="F1100" s="29">
        <v>0.81</v>
      </c>
      <c r="G1100" s="30" t="s">
        <v>39</v>
      </c>
      <c r="H1100" s="27" t="s">
        <v>94</v>
      </c>
      <c r="I1100" s="27" t="s">
        <v>49</v>
      </c>
      <c r="J1100" s="27" t="s">
        <v>50</v>
      </c>
      <c r="K1100" s="27" t="s">
        <v>51</v>
      </c>
      <c r="L1100" s="31" t="s">
        <v>2077</v>
      </c>
      <c r="M1100" s="32">
        <v>0.4</v>
      </c>
      <c r="N1100" s="27" t="s">
        <v>33</v>
      </c>
      <c r="O1100" s="27" t="s">
        <v>34</v>
      </c>
      <c r="P1100" s="27" t="s">
        <v>75</v>
      </c>
      <c r="Q1100" s="27" t="s">
        <v>361</v>
      </c>
      <c r="R1100" s="33">
        <v>30318</v>
      </c>
      <c r="S1100" s="34">
        <v>42102</v>
      </c>
      <c r="T1100" s="34">
        <v>42103</v>
      </c>
      <c r="U1100" s="29">
        <v>-93.927400000000006</v>
      </c>
      <c r="V1100" s="26">
        <v>10</v>
      </c>
      <c r="W1100" s="29">
        <v>29.88</v>
      </c>
      <c r="X1100" s="26">
        <v>86064</v>
      </c>
      <c r="Y1100" s="35">
        <v>4.47</v>
      </c>
      <c r="Z1100" s="1" t="s">
        <v>3011</v>
      </c>
      <c r="AA1100" s="36">
        <v>2.0580000000000003</v>
      </c>
      <c r="AB1100" s="54">
        <v>17.927999999999997</v>
      </c>
      <c r="AC1100" s="54">
        <v>1.1952</v>
      </c>
      <c r="AD1100" s="36">
        <v>120.93939999999999</v>
      </c>
    </row>
    <row r="1101" spans="1:30" s="37" customFormat="1" ht="15.75" customHeight="1" x14ac:dyDescent="0.2">
      <c r="A1101" s="26">
        <v>2561</v>
      </c>
      <c r="B1101" s="27" t="s">
        <v>1798</v>
      </c>
      <c r="C1101" s="27" t="s">
        <v>3094</v>
      </c>
      <c r="D1101" s="28">
        <v>7.0000000000000007E-2</v>
      </c>
      <c r="E1101" s="29">
        <v>3.98</v>
      </c>
      <c r="F1101" s="29">
        <v>5.26</v>
      </c>
      <c r="G1101" s="30" t="s">
        <v>39</v>
      </c>
      <c r="H1101" s="27" t="s">
        <v>40</v>
      </c>
      <c r="I1101" s="27" t="s">
        <v>49</v>
      </c>
      <c r="J1101" s="27" t="s">
        <v>72</v>
      </c>
      <c r="K1101" s="27" t="s">
        <v>73</v>
      </c>
      <c r="L1101" s="31" t="s">
        <v>1855</v>
      </c>
      <c r="M1101" s="32">
        <v>0.38</v>
      </c>
      <c r="N1101" s="27" t="s">
        <v>33</v>
      </c>
      <c r="O1101" s="27" t="s">
        <v>111</v>
      </c>
      <c r="P1101" s="27" t="s">
        <v>112</v>
      </c>
      <c r="Q1101" s="27" t="s">
        <v>1799</v>
      </c>
      <c r="R1101" s="33">
        <v>10562</v>
      </c>
      <c r="S1101" s="34">
        <v>42102</v>
      </c>
      <c r="T1101" s="34">
        <v>42104</v>
      </c>
      <c r="U1101" s="29">
        <v>-59.963760000000001</v>
      </c>
      <c r="V1101" s="26">
        <v>7</v>
      </c>
      <c r="W1101" s="29">
        <v>29.77</v>
      </c>
      <c r="X1101" s="26">
        <v>86466</v>
      </c>
      <c r="Y1101" s="35">
        <v>70.94</v>
      </c>
      <c r="Z1101" s="1" t="s">
        <v>3014</v>
      </c>
      <c r="AA1101" s="36">
        <v>1.9502000000000002</v>
      </c>
      <c r="AB1101" s="54">
        <v>18.4574</v>
      </c>
      <c r="AC1101" s="54">
        <v>1.6160857142857141</v>
      </c>
      <c r="AD1101" s="36">
        <v>82.523560000000003</v>
      </c>
    </row>
    <row r="1102" spans="1:30" s="37" customFormat="1" ht="15.75" customHeight="1" x14ac:dyDescent="0.2">
      <c r="A1102" s="26">
        <v>1186</v>
      </c>
      <c r="B1102" s="27" t="s">
        <v>2095</v>
      </c>
      <c r="C1102" s="27" t="s">
        <v>26</v>
      </c>
      <c r="D1102" s="28">
        <v>7.0000000000000007E-2</v>
      </c>
      <c r="E1102" s="29">
        <v>400.97</v>
      </c>
      <c r="F1102" s="29">
        <v>48.26</v>
      </c>
      <c r="G1102" s="30" t="s">
        <v>27</v>
      </c>
      <c r="H1102" s="27" t="s">
        <v>40</v>
      </c>
      <c r="I1102" s="27" t="s">
        <v>41</v>
      </c>
      <c r="J1102" s="27" t="s">
        <v>57</v>
      </c>
      <c r="K1102" s="27" t="s">
        <v>31</v>
      </c>
      <c r="L1102" s="31" t="s">
        <v>1560</v>
      </c>
      <c r="M1102" s="32">
        <v>0.36</v>
      </c>
      <c r="N1102" s="27" t="s">
        <v>33</v>
      </c>
      <c r="O1102" s="27" t="s">
        <v>60</v>
      </c>
      <c r="P1102" s="27" t="s">
        <v>90</v>
      </c>
      <c r="Q1102" s="27" t="s">
        <v>2096</v>
      </c>
      <c r="R1102" s="33">
        <v>92646</v>
      </c>
      <c r="S1102" s="34">
        <v>42103</v>
      </c>
      <c r="T1102" s="34">
        <v>42104</v>
      </c>
      <c r="U1102" s="29">
        <v>2581.5590999999999</v>
      </c>
      <c r="V1102" s="26">
        <v>10</v>
      </c>
      <c r="W1102" s="29">
        <v>3741.39</v>
      </c>
      <c r="X1102" s="26">
        <v>85939</v>
      </c>
      <c r="Y1102" s="35">
        <v>8.51</v>
      </c>
      <c r="Z1102" s="1" t="s">
        <v>3013</v>
      </c>
      <c r="AA1102" s="36">
        <v>280.67900000000003</v>
      </c>
      <c r="AB1102" s="54">
        <v>2394.4895999999999</v>
      </c>
      <c r="AC1102" s="54">
        <v>134.69004000000001</v>
      </c>
      <c r="AD1102" s="36">
        <v>830.89189999999962</v>
      </c>
    </row>
    <row r="1103" spans="1:30" s="37" customFormat="1" ht="15.75" customHeight="1" x14ac:dyDescent="0.2">
      <c r="A1103" s="26">
        <v>1178</v>
      </c>
      <c r="B1103" s="27" t="s">
        <v>2099</v>
      </c>
      <c r="C1103" s="27" t="s">
        <v>38</v>
      </c>
      <c r="D1103" s="28">
        <v>0.06</v>
      </c>
      <c r="E1103" s="29">
        <v>350.99</v>
      </c>
      <c r="F1103" s="29">
        <v>39</v>
      </c>
      <c r="G1103" s="30" t="s">
        <v>27</v>
      </c>
      <c r="H1103" s="27" t="s">
        <v>40</v>
      </c>
      <c r="I1103" s="27" t="s">
        <v>29</v>
      </c>
      <c r="J1103" s="27" t="s">
        <v>109</v>
      </c>
      <c r="K1103" s="27" t="s">
        <v>58</v>
      </c>
      <c r="L1103" s="31" t="s">
        <v>438</v>
      </c>
      <c r="M1103" s="32">
        <v>0.55000000000000004</v>
      </c>
      <c r="N1103" s="27" t="s">
        <v>33</v>
      </c>
      <c r="O1103" s="27" t="s">
        <v>34</v>
      </c>
      <c r="P1103" s="27" t="s">
        <v>123</v>
      </c>
      <c r="Q1103" s="27" t="s">
        <v>2100</v>
      </c>
      <c r="R1103" s="33">
        <v>32701</v>
      </c>
      <c r="S1103" s="34">
        <v>42103</v>
      </c>
      <c r="T1103" s="34">
        <v>42105</v>
      </c>
      <c r="U1103" s="29">
        <v>-302.61559999999997</v>
      </c>
      <c r="V1103" s="26">
        <v>10</v>
      </c>
      <c r="W1103" s="29">
        <v>3506.78</v>
      </c>
      <c r="X1103" s="26">
        <v>89787</v>
      </c>
      <c r="Y1103" s="35">
        <v>400.90000000000003</v>
      </c>
      <c r="Z1103" s="1" t="s">
        <v>3011</v>
      </c>
      <c r="AA1103" s="36">
        <v>210.59399999999999</v>
      </c>
      <c r="AB1103" s="54">
        <v>1578.0509999999999</v>
      </c>
      <c r="AC1103" s="54">
        <v>192.87290000000002</v>
      </c>
      <c r="AD1103" s="36">
        <v>3559.8016000000002</v>
      </c>
    </row>
    <row r="1104" spans="1:30" s="37" customFormat="1" ht="15.75" customHeight="1" x14ac:dyDescent="0.2">
      <c r="A1104" s="26">
        <v>1250</v>
      </c>
      <c r="B1104" s="27" t="s">
        <v>2101</v>
      </c>
      <c r="C1104" s="27" t="s">
        <v>38</v>
      </c>
      <c r="D1104" s="28">
        <v>0.09</v>
      </c>
      <c r="E1104" s="29">
        <v>120.98</v>
      </c>
      <c r="F1104" s="29">
        <v>30</v>
      </c>
      <c r="G1104" s="30" t="s">
        <v>27</v>
      </c>
      <c r="H1104" s="27" t="s">
        <v>94</v>
      </c>
      <c r="I1104" s="27" t="s">
        <v>29</v>
      </c>
      <c r="J1104" s="27" t="s">
        <v>109</v>
      </c>
      <c r="K1104" s="27" t="s">
        <v>58</v>
      </c>
      <c r="L1104" s="31" t="s">
        <v>1125</v>
      </c>
      <c r="M1104" s="32">
        <v>0.64</v>
      </c>
      <c r="N1104" s="27" t="s">
        <v>33</v>
      </c>
      <c r="O1104" s="27" t="s">
        <v>53</v>
      </c>
      <c r="P1104" s="27" t="s">
        <v>103</v>
      </c>
      <c r="Q1104" s="27" t="s">
        <v>2102</v>
      </c>
      <c r="R1104" s="33">
        <v>60110</v>
      </c>
      <c r="S1104" s="34">
        <v>42103</v>
      </c>
      <c r="T1104" s="34">
        <v>42105</v>
      </c>
      <c r="U1104" s="29">
        <v>74.004800000000003</v>
      </c>
      <c r="V1104" s="26">
        <v>22</v>
      </c>
      <c r="W1104" s="29">
        <v>2508.15</v>
      </c>
      <c r="X1104" s="26">
        <v>87877</v>
      </c>
      <c r="Y1104" s="35">
        <v>120.88000000000001</v>
      </c>
      <c r="Z1104" s="1" t="s">
        <v>3012</v>
      </c>
      <c r="AA1104" s="36">
        <v>239.54039999999998</v>
      </c>
      <c r="AB1104" s="54">
        <v>902.93399999999997</v>
      </c>
      <c r="AC1104" s="54">
        <v>72.964363636363643</v>
      </c>
      <c r="AD1104" s="36">
        <v>2164.6048000000001</v>
      </c>
    </row>
    <row r="1105" spans="1:30" s="37" customFormat="1" ht="15.75" customHeight="1" x14ac:dyDescent="0.2">
      <c r="A1105" s="26">
        <v>191</v>
      </c>
      <c r="B1105" s="27" t="s">
        <v>1121</v>
      </c>
      <c r="C1105" s="27" t="s">
        <v>3094</v>
      </c>
      <c r="D1105" s="28">
        <v>0</v>
      </c>
      <c r="E1105" s="29">
        <v>125.99</v>
      </c>
      <c r="F1105" s="29">
        <v>8.08</v>
      </c>
      <c r="G1105" s="30" t="s">
        <v>39</v>
      </c>
      <c r="H1105" s="27" t="s">
        <v>94</v>
      </c>
      <c r="I1105" s="27" t="s">
        <v>41</v>
      </c>
      <c r="J1105" s="27" t="s">
        <v>135</v>
      </c>
      <c r="K1105" s="27" t="s">
        <v>73</v>
      </c>
      <c r="L1105" s="31" t="s">
        <v>2113</v>
      </c>
      <c r="M1105" s="32">
        <v>0.56999999999999995</v>
      </c>
      <c r="N1105" s="27" t="s">
        <v>33</v>
      </c>
      <c r="O1105" s="27" t="s">
        <v>53</v>
      </c>
      <c r="P1105" s="27" t="s">
        <v>103</v>
      </c>
      <c r="Q1105" s="27" t="s">
        <v>1123</v>
      </c>
      <c r="R1105" s="33">
        <v>60505</v>
      </c>
      <c r="S1105" s="34">
        <v>42103</v>
      </c>
      <c r="T1105" s="34">
        <v>42104</v>
      </c>
      <c r="U1105" s="29">
        <v>1348.59672</v>
      </c>
      <c r="V1105" s="26">
        <v>22</v>
      </c>
      <c r="W1105" s="29">
        <v>2356.0100000000002</v>
      </c>
      <c r="X1105" s="26">
        <v>89093</v>
      </c>
      <c r="Y1105" s="35">
        <v>152.45999999999998</v>
      </c>
      <c r="Z1105" s="1" t="s">
        <v>3012</v>
      </c>
      <c r="AA1105" s="36">
        <v>0</v>
      </c>
      <c r="AB1105" s="54">
        <v>1013.0843000000002</v>
      </c>
      <c r="AC1105" s="54">
        <v>61.042077272727276</v>
      </c>
      <c r="AD1105" s="36">
        <v>999.33328000000029</v>
      </c>
    </row>
    <row r="1106" spans="1:30" s="37" customFormat="1" ht="15.75" customHeight="1" x14ac:dyDescent="0.2">
      <c r="A1106" s="26">
        <v>1634</v>
      </c>
      <c r="B1106" s="27" t="s">
        <v>2114</v>
      </c>
      <c r="C1106" s="27" t="s">
        <v>3094</v>
      </c>
      <c r="D1106" s="28">
        <v>0.08</v>
      </c>
      <c r="E1106" s="29">
        <v>100.97</v>
      </c>
      <c r="F1106" s="29">
        <v>14</v>
      </c>
      <c r="G1106" s="30" t="s">
        <v>27</v>
      </c>
      <c r="H1106" s="27" t="s">
        <v>71</v>
      </c>
      <c r="I1106" s="27" t="s">
        <v>41</v>
      </c>
      <c r="J1106" s="27" t="s">
        <v>57</v>
      </c>
      <c r="K1106" s="27" t="s">
        <v>58</v>
      </c>
      <c r="L1106" s="31" t="s">
        <v>2115</v>
      </c>
      <c r="M1106" s="32">
        <v>0.37</v>
      </c>
      <c r="N1106" s="27" t="s">
        <v>33</v>
      </c>
      <c r="O1106" s="27" t="s">
        <v>34</v>
      </c>
      <c r="P1106" s="27" t="s">
        <v>35</v>
      </c>
      <c r="Q1106" s="27" t="s">
        <v>2116</v>
      </c>
      <c r="R1106" s="33">
        <v>39212</v>
      </c>
      <c r="S1106" s="34">
        <v>42103</v>
      </c>
      <c r="T1106" s="34">
        <v>42104</v>
      </c>
      <c r="U1106" s="29">
        <v>-73.494119999999995</v>
      </c>
      <c r="V1106" s="26">
        <v>15</v>
      </c>
      <c r="W1106" s="29">
        <v>1483.16</v>
      </c>
      <c r="X1106" s="26">
        <v>90532</v>
      </c>
      <c r="Y1106" s="35">
        <v>4.45</v>
      </c>
      <c r="Z1106" s="1" t="s">
        <v>3011</v>
      </c>
      <c r="AA1106" s="36">
        <v>121.164</v>
      </c>
      <c r="AB1106" s="54">
        <v>934.39080000000001</v>
      </c>
      <c r="AC1106" s="54">
        <v>36.584613333333337</v>
      </c>
      <c r="AD1106" s="36">
        <v>1421.4901200000002</v>
      </c>
    </row>
    <row r="1107" spans="1:30" s="37" customFormat="1" ht="15.75" customHeight="1" x14ac:dyDescent="0.2">
      <c r="A1107" s="26">
        <v>2491</v>
      </c>
      <c r="B1107" s="27" t="s">
        <v>457</v>
      </c>
      <c r="C1107" s="27" t="s">
        <v>38</v>
      </c>
      <c r="D1107" s="28">
        <v>0.02</v>
      </c>
      <c r="E1107" s="29">
        <v>28.15</v>
      </c>
      <c r="F1107" s="29">
        <v>6.17</v>
      </c>
      <c r="G1107" s="30" t="s">
        <v>39</v>
      </c>
      <c r="H1107" s="27" t="s">
        <v>40</v>
      </c>
      <c r="I1107" s="27" t="s">
        <v>49</v>
      </c>
      <c r="J1107" s="27" t="s">
        <v>50</v>
      </c>
      <c r="K1107" s="27" t="s">
        <v>43</v>
      </c>
      <c r="L1107" s="31" t="s">
        <v>619</v>
      </c>
      <c r="M1107" s="32">
        <v>0.55000000000000004</v>
      </c>
      <c r="N1107" s="27" t="s">
        <v>33</v>
      </c>
      <c r="O1107" s="27" t="s">
        <v>60</v>
      </c>
      <c r="P1107" s="27" t="s">
        <v>90</v>
      </c>
      <c r="Q1107" s="27" t="s">
        <v>100</v>
      </c>
      <c r="R1107" s="33">
        <v>90045</v>
      </c>
      <c r="S1107" s="34">
        <v>42103</v>
      </c>
      <c r="T1107" s="34">
        <v>42104</v>
      </c>
      <c r="U1107" s="29">
        <v>117.208</v>
      </c>
      <c r="V1107" s="26">
        <v>45</v>
      </c>
      <c r="W1107" s="29">
        <v>1339.42</v>
      </c>
      <c r="X1107" s="26">
        <v>14785</v>
      </c>
      <c r="Y1107" s="35">
        <v>350.93</v>
      </c>
      <c r="Z1107" s="1" t="s">
        <v>3013</v>
      </c>
      <c r="AA1107" s="36">
        <v>25.334999999999997</v>
      </c>
      <c r="AB1107" s="54">
        <v>602.73899999999992</v>
      </c>
      <c r="AC1107" s="54">
        <v>16.370688888888893</v>
      </c>
      <c r="AD1107" s="36">
        <v>1190.7070000000001</v>
      </c>
    </row>
    <row r="1108" spans="1:30" s="37" customFormat="1" ht="15.75" customHeight="1" x14ac:dyDescent="0.2">
      <c r="A1108" s="26">
        <v>2851</v>
      </c>
      <c r="B1108" s="27" t="s">
        <v>2108</v>
      </c>
      <c r="C1108" s="27" t="s">
        <v>48</v>
      </c>
      <c r="D1108" s="28">
        <v>0.05</v>
      </c>
      <c r="E1108" s="29">
        <v>115.99</v>
      </c>
      <c r="F1108" s="29">
        <v>8.99</v>
      </c>
      <c r="G1108" s="30" t="s">
        <v>39</v>
      </c>
      <c r="H1108" s="27" t="s">
        <v>40</v>
      </c>
      <c r="I1108" s="27" t="s">
        <v>41</v>
      </c>
      <c r="J1108" s="27" t="s">
        <v>135</v>
      </c>
      <c r="K1108" s="27" t="s">
        <v>73</v>
      </c>
      <c r="L1108" s="31" t="s">
        <v>2109</v>
      </c>
      <c r="M1108" s="32">
        <v>0.57999999999999996</v>
      </c>
      <c r="N1108" s="27" t="s">
        <v>33</v>
      </c>
      <c r="O1108" s="27" t="s">
        <v>53</v>
      </c>
      <c r="P1108" s="27" t="s">
        <v>187</v>
      </c>
      <c r="Q1108" s="27" t="s">
        <v>2110</v>
      </c>
      <c r="R1108" s="33">
        <v>79762</v>
      </c>
      <c r="S1108" s="34">
        <v>42103</v>
      </c>
      <c r="T1108" s="34">
        <v>42107</v>
      </c>
      <c r="U1108" s="29">
        <v>719.35260000000005</v>
      </c>
      <c r="V1108" s="26">
        <v>11</v>
      </c>
      <c r="W1108" s="29">
        <v>1042.54</v>
      </c>
      <c r="X1108" s="26">
        <v>86454</v>
      </c>
      <c r="Y1108" s="35">
        <v>40.889999999999993</v>
      </c>
      <c r="Z1108" s="1" t="s">
        <v>3012</v>
      </c>
      <c r="AA1108" s="36">
        <v>63.794499999999999</v>
      </c>
      <c r="AB1108" s="54">
        <v>437.86680000000001</v>
      </c>
      <c r="AC1108" s="54">
        <v>54.970290909090899</v>
      </c>
      <c r="AD1108" s="36">
        <v>250.40289999999993</v>
      </c>
    </row>
    <row r="1109" spans="1:30" s="37" customFormat="1" ht="15.75" customHeight="1" x14ac:dyDescent="0.2">
      <c r="A1109" s="26">
        <v>1271</v>
      </c>
      <c r="B1109" s="27" t="s">
        <v>2111</v>
      </c>
      <c r="C1109" s="27" t="s">
        <v>116</v>
      </c>
      <c r="D1109" s="28">
        <v>7.0000000000000007E-2</v>
      </c>
      <c r="E1109" s="29">
        <v>125.99</v>
      </c>
      <c r="F1109" s="29">
        <v>7.69</v>
      </c>
      <c r="G1109" s="30" t="s">
        <v>39</v>
      </c>
      <c r="H1109" s="27" t="s">
        <v>94</v>
      </c>
      <c r="I1109" s="27" t="s">
        <v>41</v>
      </c>
      <c r="J1109" s="27" t="s">
        <v>135</v>
      </c>
      <c r="K1109" s="27" t="s">
        <v>73</v>
      </c>
      <c r="L1109" s="31" t="s">
        <v>645</v>
      </c>
      <c r="M1109" s="32">
        <v>0.59</v>
      </c>
      <c r="N1109" s="27" t="s">
        <v>33</v>
      </c>
      <c r="O1109" s="27" t="s">
        <v>60</v>
      </c>
      <c r="P1109" s="27" t="s">
        <v>90</v>
      </c>
      <c r="Q1109" s="27" t="s">
        <v>2112</v>
      </c>
      <c r="R1109" s="33">
        <v>91941</v>
      </c>
      <c r="S1109" s="34">
        <v>42103</v>
      </c>
      <c r="T1109" s="34">
        <v>42104</v>
      </c>
      <c r="U1109" s="29">
        <v>588.24570000000006</v>
      </c>
      <c r="V1109" s="26">
        <v>8</v>
      </c>
      <c r="W1109" s="29">
        <v>852.53</v>
      </c>
      <c r="X1109" s="26">
        <v>88410</v>
      </c>
      <c r="Y1109" s="35">
        <v>3.89</v>
      </c>
      <c r="Z1109" s="1" t="s">
        <v>3013</v>
      </c>
      <c r="AA1109" s="36">
        <v>70.554400000000001</v>
      </c>
      <c r="AB1109" s="54">
        <v>349.53730000000002</v>
      </c>
      <c r="AC1109" s="54">
        <v>62.874087499999995</v>
      </c>
      <c r="AD1109" s="36">
        <v>186.03989999999988</v>
      </c>
    </row>
    <row r="1110" spans="1:30" s="37" customFormat="1" ht="15.75" customHeight="1" x14ac:dyDescent="0.2">
      <c r="A1110" s="26">
        <v>1233</v>
      </c>
      <c r="B1110" s="27" t="s">
        <v>2097</v>
      </c>
      <c r="C1110" s="27" t="s">
        <v>26</v>
      </c>
      <c r="D1110" s="28">
        <v>0.1</v>
      </c>
      <c r="E1110" s="29">
        <v>120.98</v>
      </c>
      <c r="F1110" s="29">
        <v>9.07</v>
      </c>
      <c r="G1110" s="30" t="s">
        <v>87</v>
      </c>
      <c r="H1110" s="27" t="s">
        <v>40</v>
      </c>
      <c r="I1110" s="27" t="s">
        <v>49</v>
      </c>
      <c r="J1110" s="27" t="s">
        <v>72</v>
      </c>
      <c r="K1110" s="27" t="s">
        <v>73</v>
      </c>
      <c r="L1110" s="31" t="s">
        <v>1423</v>
      </c>
      <c r="M1110" s="32">
        <v>0.35</v>
      </c>
      <c r="N1110" s="27" t="s">
        <v>33</v>
      </c>
      <c r="O1110" s="27" t="s">
        <v>53</v>
      </c>
      <c r="P1110" s="27" t="s">
        <v>187</v>
      </c>
      <c r="Q1110" s="27" t="s">
        <v>2098</v>
      </c>
      <c r="R1110" s="33">
        <v>75028</v>
      </c>
      <c r="S1110" s="34">
        <v>42103</v>
      </c>
      <c r="T1110" s="34">
        <v>42105</v>
      </c>
      <c r="U1110" s="29">
        <v>297.45715999999999</v>
      </c>
      <c r="V1110" s="26">
        <v>5</v>
      </c>
      <c r="W1110" s="29">
        <v>568.24</v>
      </c>
      <c r="X1110" s="26">
        <v>89375</v>
      </c>
      <c r="Y1110" s="35">
        <v>120.89</v>
      </c>
      <c r="Z1110" s="1" t="s">
        <v>3012</v>
      </c>
      <c r="AA1110" s="36">
        <v>60.49</v>
      </c>
      <c r="AB1110" s="54">
        <v>369.35599999999999</v>
      </c>
      <c r="AC1110" s="54">
        <v>39.776799999999994</v>
      </c>
      <c r="AD1110" s="36">
        <v>201.22284000000002</v>
      </c>
    </row>
    <row r="1111" spans="1:30" s="37" customFormat="1" ht="15.75" customHeight="1" x14ac:dyDescent="0.2">
      <c r="A1111" s="26">
        <v>2488</v>
      </c>
      <c r="B1111" s="27" t="s">
        <v>2103</v>
      </c>
      <c r="C1111" s="27" t="s">
        <v>38</v>
      </c>
      <c r="D1111" s="28">
        <v>0.02</v>
      </c>
      <c r="E1111" s="29">
        <v>28.15</v>
      </c>
      <c r="F1111" s="29">
        <v>6.17</v>
      </c>
      <c r="G1111" s="30" t="s">
        <v>39</v>
      </c>
      <c r="H1111" s="27" t="s">
        <v>40</v>
      </c>
      <c r="I1111" s="27" t="s">
        <v>49</v>
      </c>
      <c r="J1111" s="27" t="s">
        <v>50</v>
      </c>
      <c r="K1111" s="27" t="s">
        <v>43</v>
      </c>
      <c r="L1111" s="31" t="s">
        <v>619</v>
      </c>
      <c r="M1111" s="32">
        <v>0.55000000000000004</v>
      </c>
      <c r="N1111" s="27" t="s">
        <v>33</v>
      </c>
      <c r="O1111" s="27" t="s">
        <v>34</v>
      </c>
      <c r="P1111" s="27" t="s">
        <v>45</v>
      </c>
      <c r="Q1111" s="27" t="s">
        <v>2104</v>
      </c>
      <c r="R1111" s="33">
        <v>72023</v>
      </c>
      <c r="S1111" s="34">
        <v>42103</v>
      </c>
      <c r="T1111" s="34">
        <v>42104</v>
      </c>
      <c r="U1111" s="29">
        <v>160.8066</v>
      </c>
      <c r="V1111" s="26">
        <v>11</v>
      </c>
      <c r="W1111" s="29">
        <v>327.41000000000003</v>
      </c>
      <c r="X1111" s="26">
        <v>86887</v>
      </c>
      <c r="Y1111" s="35">
        <v>30.88</v>
      </c>
      <c r="Z1111" s="1" t="s">
        <v>3011</v>
      </c>
      <c r="AA1111" s="36">
        <v>6.1929999999999996</v>
      </c>
      <c r="AB1111" s="54">
        <v>147.33449999999999</v>
      </c>
      <c r="AC1111" s="54">
        <v>16.370500000000003</v>
      </c>
      <c r="AD1111" s="36">
        <v>154.24040000000002</v>
      </c>
    </row>
    <row r="1112" spans="1:30" s="37" customFormat="1" ht="15.75" customHeight="1" x14ac:dyDescent="0.2">
      <c r="A1112" s="26">
        <v>2847</v>
      </c>
      <c r="B1112" s="27" t="s">
        <v>2117</v>
      </c>
      <c r="C1112" s="27" t="s">
        <v>3094</v>
      </c>
      <c r="D1112" s="28">
        <v>0.04</v>
      </c>
      <c r="E1112" s="29">
        <v>90.48</v>
      </c>
      <c r="F1112" s="29">
        <v>19.989999999999998</v>
      </c>
      <c r="G1112" s="30" t="s">
        <v>39</v>
      </c>
      <c r="H1112" s="27" t="s">
        <v>94</v>
      </c>
      <c r="I1112" s="27" t="s">
        <v>49</v>
      </c>
      <c r="J1112" s="27" t="s">
        <v>345</v>
      </c>
      <c r="K1112" s="27" t="s">
        <v>73</v>
      </c>
      <c r="L1112" s="31" t="s">
        <v>502</v>
      </c>
      <c r="M1112" s="32">
        <v>0.4</v>
      </c>
      <c r="N1112" s="27" t="s">
        <v>33</v>
      </c>
      <c r="O1112" s="27" t="s">
        <v>34</v>
      </c>
      <c r="P1112" s="27" t="s">
        <v>400</v>
      </c>
      <c r="Q1112" s="27" t="s">
        <v>2118</v>
      </c>
      <c r="R1112" s="33">
        <v>38017</v>
      </c>
      <c r="S1112" s="34">
        <v>42103</v>
      </c>
      <c r="T1112" s="34">
        <v>42105</v>
      </c>
      <c r="U1112" s="29">
        <v>55.555199999999999</v>
      </c>
      <c r="V1112" s="26">
        <v>3</v>
      </c>
      <c r="W1112" s="29">
        <v>268.64</v>
      </c>
      <c r="X1112" s="26">
        <v>85928</v>
      </c>
      <c r="Y1112" s="35">
        <v>4.83</v>
      </c>
      <c r="Z1112" s="1" t="s">
        <v>3011</v>
      </c>
      <c r="AA1112" s="36">
        <v>10.857600000000001</v>
      </c>
      <c r="AB1112" s="54">
        <v>161.184</v>
      </c>
      <c r="AC1112" s="54">
        <v>35.818666666666665</v>
      </c>
      <c r="AD1112" s="36">
        <v>182.23719999999997</v>
      </c>
    </row>
    <row r="1113" spans="1:30" s="37" customFormat="1" ht="15.75" customHeight="1" x14ac:dyDescent="0.2">
      <c r="A1113" s="26">
        <v>1178</v>
      </c>
      <c r="B1113" s="27" t="s">
        <v>2099</v>
      </c>
      <c r="C1113" s="27" t="s">
        <v>38</v>
      </c>
      <c r="D1113" s="28">
        <v>0.09</v>
      </c>
      <c r="E1113" s="29">
        <v>40.98</v>
      </c>
      <c r="F1113" s="29">
        <v>6.5</v>
      </c>
      <c r="G1113" s="30" t="s">
        <v>87</v>
      </c>
      <c r="H1113" s="27" t="s">
        <v>40</v>
      </c>
      <c r="I1113" s="27" t="s">
        <v>41</v>
      </c>
      <c r="J1113" s="27" t="s">
        <v>42</v>
      </c>
      <c r="K1113" s="27" t="s">
        <v>73</v>
      </c>
      <c r="L1113" s="31" t="s">
        <v>446</v>
      </c>
      <c r="M1113" s="32">
        <v>0.74</v>
      </c>
      <c r="N1113" s="27" t="s">
        <v>33</v>
      </c>
      <c r="O1113" s="27" t="s">
        <v>34</v>
      </c>
      <c r="P1113" s="27" t="s">
        <v>123</v>
      </c>
      <c r="Q1113" s="27" t="s">
        <v>2100</v>
      </c>
      <c r="R1113" s="33">
        <v>32701</v>
      </c>
      <c r="S1113" s="34">
        <v>42103</v>
      </c>
      <c r="T1113" s="34">
        <v>42105</v>
      </c>
      <c r="U1113" s="29">
        <v>5.6916000000000002</v>
      </c>
      <c r="V1113" s="26">
        <v>7</v>
      </c>
      <c r="W1113" s="29">
        <v>267.69</v>
      </c>
      <c r="X1113" s="26">
        <v>89787</v>
      </c>
      <c r="Y1113" s="35">
        <v>28.13</v>
      </c>
      <c r="Z1113" s="1" t="s">
        <v>3011</v>
      </c>
      <c r="AA1113" s="36">
        <v>25.817399999999999</v>
      </c>
      <c r="AB1113" s="54">
        <v>69.599400000000003</v>
      </c>
      <c r="AC1113" s="54">
        <v>28.298657142857142</v>
      </c>
      <c r="AD1113" s="36">
        <v>229.68099999999998</v>
      </c>
    </row>
    <row r="1114" spans="1:30" s="37" customFormat="1" ht="15.75" customHeight="1" x14ac:dyDescent="0.2">
      <c r="A1114" s="26">
        <v>1250</v>
      </c>
      <c r="B1114" s="27" t="s">
        <v>2101</v>
      </c>
      <c r="C1114" s="27" t="s">
        <v>38</v>
      </c>
      <c r="D1114" s="28">
        <v>0.1</v>
      </c>
      <c r="E1114" s="29">
        <v>30.98</v>
      </c>
      <c r="F1114" s="29">
        <v>5.76</v>
      </c>
      <c r="G1114" s="30" t="s">
        <v>39</v>
      </c>
      <c r="H1114" s="27" t="s">
        <v>94</v>
      </c>
      <c r="I1114" s="27" t="s">
        <v>49</v>
      </c>
      <c r="J1114" s="27" t="s">
        <v>88</v>
      </c>
      <c r="K1114" s="27" t="s">
        <v>73</v>
      </c>
      <c r="L1114" s="31" t="s">
        <v>739</v>
      </c>
      <c r="M1114" s="32">
        <v>0.4</v>
      </c>
      <c r="N1114" s="27" t="s">
        <v>33</v>
      </c>
      <c r="O1114" s="27" t="s">
        <v>53</v>
      </c>
      <c r="P1114" s="27" t="s">
        <v>103</v>
      </c>
      <c r="Q1114" s="27" t="s">
        <v>2102</v>
      </c>
      <c r="R1114" s="33">
        <v>60110</v>
      </c>
      <c r="S1114" s="34">
        <v>42103</v>
      </c>
      <c r="T1114" s="34">
        <v>42104</v>
      </c>
      <c r="U1114" s="29">
        <v>109.4248</v>
      </c>
      <c r="V1114" s="26">
        <v>8</v>
      </c>
      <c r="W1114" s="29">
        <v>225.62</v>
      </c>
      <c r="X1114" s="26">
        <v>87877</v>
      </c>
      <c r="Y1114" s="35">
        <v>4.83</v>
      </c>
      <c r="Z1114" s="1" t="s">
        <v>3012</v>
      </c>
      <c r="AA1114" s="36">
        <v>24.784000000000002</v>
      </c>
      <c r="AB1114" s="54">
        <v>135.37199999999999</v>
      </c>
      <c r="AC1114" s="54">
        <v>11.281000000000001</v>
      </c>
      <c r="AD1114" s="36">
        <v>85.651199999999989</v>
      </c>
    </row>
    <row r="1115" spans="1:30" s="37" customFormat="1" ht="15.75" customHeight="1" x14ac:dyDescent="0.2">
      <c r="A1115" s="26">
        <v>191</v>
      </c>
      <c r="B1115" s="27" t="s">
        <v>1121</v>
      </c>
      <c r="C1115" s="27" t="s">
        <v>3094</v>
      </c>
      <c r="D1115" s="28">
        <v>0.09</v>
      </c>
      <c r="E1115" s="29">
        <v>30.73</v>
      </c>
      <c r="F1115" s="29">
        <v>4</v>
      </c>
      <c r="G1115" s="30" t="s">
        <v>39</v>
      </c>
      <c r="H1115" s="27" t="s">
        <v>94</v>
      </c>
      <c r="I1115" s="27" t="s">
        <v>41</v>
      </c>
      <c r="J1115" s="27" t="s">
        <v>42</v>
      </c>
      <c r="K1115" s="27" t="s">
        <v>73</v>
      </c>
      <c r="L1115" s="31" t="s">
        <v>674</v>
      </c>
      <c r="M1115" s="32">
        <v>0.75</v>
      </c>
      <c r="N1115" s="27" t="s">
        <v>33</v>
      </c>
      <c r="O1115" s="27" t="s">
        <v>53</v>
      </c>
      <c r="P1115" s="27" t="s">
        <v>103</v>
      </c>
      <c r="Q1115" s="27" t="s">
        <v>1123</v>
      </c>
      <c r="R1115" s="33">
        <v>60505</v>
      </c>
      <c r="S1115" s="34">
        <v>42103</v>
      </c>
      <c r="T1115" s="34">
        <v>42103</v>
      </c>
      <c r="U1115" s="29">
        <v>-99.986400000000003</v>
      </c>
      <c r="V1115" s="26">
        <v>7</v>
      </c>
      <c r="W1115" s="29">
        <v>203.49</v>
      </c>
      <c r="X1115" s="26">
        <v>89093</v>
      </c>
      <c r="Y1115" s="35">
        <v>28.13</v>
      </c>
      <c r="Z1115" s="1" t="s">
        <v>3012</v>
      </c>
      <c r="AA1115" s="36">
        <v>19.3599</v>
      </c>
      <c r="AB1115" s="54">
        <v>50.872500000000002</v>
      </c>
      <c r="AC1115" s="54">
        <v>21.802500000000002</v>
      </c>
      <c r="AD1115" s="36">
        <v>280.11650000000003</v>
      </c>
    </row>
    <row r="1116" spans="1:30" s="37" customFormat="1" ht="15.75" customHeight="1" x14ac:dyDescent="0.2">
      <c r="A1116" s="26">
        <v>2491</v>
      </c>
      <c r="B1116" s="27" t="s">
        <v>457</v>
      </c>
      <c r="C1116" s="27" t="s">
        <v>38</v>
      </c>
      <c r="D1116" s="28">
        <v>0.08</v>
      </c>
      <c r="E1116" s="29">
        <v>4.91</v>
      </c>
      <c r="F1116" s="29">
        <v>0.5</v>
      </c>
      <c r="G1116" s="30" t="s">
        <v>39</v>
      </c>
      <c r="H1116" s="27" t="s">
        <v>40</v>
      </c>
      <c r="I1116" s="27" t="s">
        <v>49</v>
      </c>
      <c r="J1116" s="27" t="s">
        <v>152</v>
      </c>
      <c r="K1116" s="27" t="s">
        <v>73</v>
      </c>
      <c r="L1116" s="31" t="s">
        <v>973</v>
      </c>
      <c r="M1116" s="32">
        <v>0.36</v>
      </c>
      <c r="N1116" s="27" t="s">
        <v>33</v>
      </c>
      <c r="O1116" s="27" t="s">
        <v>60</v>
      </c>
      <c r="P1116" s="27" t="s">
        <v>90</v>
      </c>
      <c r="Q1116" s="27" t="s">
        <v>100</v>
      </c>
      <c r="R1116" s="33">
        <v>90045</v>
      </c>
      <c r="S1116" s="34">
        <v>42103</v>
      </c>
      <c r="T1116" s="34">
        <v>42103</v>
      </c>
      <c r="U1116" s="29">
        <v>31.751999999999999</v>
      </c>
      <c r="V1116" s="26">
        <v>36</v>
      </c>
      <c r="W1116" s="29">
        <v>170.75</v>
      </c>
      <c r="X1116" s="26">
        <v>14785</v>
      </c>
      <c r="Y1116" s="35">
        <v>2.0500000000000003</v>
      </c>
      <c r="Z1116" s="1" t="s">
        <v>3013</v>
      </c>
      <c r="AA1116" s="36">
        <v>14.140800000000002</v>
      </c>
      <c r="AB1116" s="54">
        <v>109.28</v>
      </c>
      <c r="AC1116" s="54">
        <v>1.7074999999999998</v>
      </c>
      <c r="AD1116" s="36">
        <v>124.35720000000001</v>
      </c>
    </row>
    <row r="1117" spans="1:30" s="37" customFormat="1" ht="15.75" customHeight="1" x14ac:dyDescent="0.2">
      <c r="A1117" s="26">
        <v>1233</v>
      </c>
      <c r="B1117" s="27" t="s">
        <v>2097</v>
      </c>
      <c r="C1117" s="27" t="s">
        <v>26</v>
      </c>
      <c r="D1117" s="28">
        <v>0.02</v>
      </c>
      <c r="E1117" s="29">
        <v>152.47999999999999</v>
      </c>
      <c r="F1117" s="29">
        <v>6.5</v>
      </c>
      <c r="G1117" s="30" t="s">
        <v>87</v>
      </c>
      <c r="H1117" s="27" t="s">
        <v>40</v>
      </c>
      <c r="I1117" s="27" t="s">
        <v>41</v>
      </c>
      <c r="J1117" s="27" t="s">
        <v>42</v>
      </c>
      <c r="K1117" s="27" t="s">
        <v>73</v>
      </c>
      <c r="L1117" s="31" t="s">
        <v>1793</v>
      </c>
      <c r="M1117" s="32">
        <v>0.74</v>
      </c>
      <c r="N1117" s="27" t="s">
        <v>33</v>
      </c>
      <c r="O1117" s="27" t="s">
        <v>53</v>
      </c>
      <c r="P1117" s="27" t="s">
        <v>187</v>
      </c>
      <c r="Q1117" s="27" t="s">
        <v>2098</v>
      </c>
      <c r="R1117" s="33">
        <v>75028</v>
      </c>
      <c r="S1117" s="34">
        <v>42103</v>
      </c>
      <c r="T1117" s="34">
        <v>42105</v>
      </c>
      <c r="U1117" s="29">
        <v>-564.60239999999999</v>
      </c>
      <c r="V1117" s="26">
        <v>1</v>
      </c>
      <c r="W1117" s="29">
        <v>162.91</v>
      </c>
      <c r="X1117" s="26">
        <v>89375</v>
      </c>
      <c r="Y1117" s="35">
        <v>2.0500000000000003</v>
      </c>
      <c r="Z1117" s="1" t="s">
        <v>3012</v>
      </c>
      <c r="AA1117" s="36">
        <v>3.0495999999999999</v>
      </c>
      <c r="AB1117" s="54">
        <v>42.3566</v>
      </c>
      <c r="AC1117" s="54">
        <v>120.5534</v>
      </c>
      <c r="AD1117" s="36">
        <v>717.9627999999999</v>
      </c>
    </row>
    <row r="1118" spans="1:30" s="37" customFormat="1" ht="15.75" customHeight="1" x14ac:dyDescent="0.2">
      <c r="A1118" s="26">
        <v>2334</v>
      </c>
      <c r="B1118" s="27" t="s">
        <v>2038</v>
      </c>
      <c r="C1118" s="27" t="s">
        <v>3094</v>
      </c>
      <c r="D1118" s="28">
        <v>0.05</v>
      </c>
      <c r="E1118" s="29">
        <v>14.81</v>
      </c>
      <c r="F1118" s="29">
        <v>13.32</v>
      </c>
      <c r="G1118" s="30" t="s">
        <v>39</v>
      </c>
      <c r="H1118" s="27" t="s">
        <v>3095</v>
      </c>
      <c r="I1118" s="27" t="s">
        <v>49</v>
      </c>
      <c r="J1118" s="27" t="s">
        <v>95</v>
      </c>
      <c r="K1118" s="27" t="s">
        <v>73</v>
      </c>
      <c r="L1118" s="31" t="s">
        <v>594</v>
      </c>
      <c r="M1118" s="32">
        <v>0.43</v>
      </c>
      <c r="N1118" s="27" t="s">
        <v>33</v>
      </c>
      <c r="O1118" s="27" t="s">
        <v>53</v>
      </c>
      <c r="P1118" s="27" t="s">
        <v>357</v>
      </c>
      <c r="Q1118" s="27" t="s">
        <v>2039</v>
      </c>
      <c r="R1118" s="33">
        <v>53220</v>
      </c>
      <c r="S1118" s="34">
        <v>42103</v>
      </c>
      <c r="T1118" s="34">
        <v>42105</v>
      </c>
      <c r="U1118" s="29">
        <v>-190.49</v>
      </c>
      <c r="V1118" s="26">
        <v>8</v>
      </c>
      <c r="W1118" s="29">
        <v>115.99</v>
      </c>
      <c r="X1118" s="26">
        <v>89609</v>
      </c>
      <c r="Y1118" s="35">
        <v>115.94</v>
      </c>
      <c r="Z1118" s="1" t="s">
        <v>3012</v>
      </c>
      <c r="AA1118" s="36">
        <v>5.9240000000000004</v>
      </c>
      <c r="AB1118" s="54">
        <v>66.1143</v>
      </c>
      <c r="AC1118" s="54">
        <v>6.2344624999999994</v>
      </c>
      <c r="AD1118" s="36">
        <v>287.23599999999999</v>
      </c>
    </row>
    <row r="1119" spans="1:30" s="37" customFormat="1" ht="15.75" customHeight="1" x14ac:dyDescent="0.2">
      <c r="A1119" s="26">
        <v>117</v>
      </c>
      <c r="B1119" s="27" t="s">
        <v>141</v>
      </c>
      <c r="C1119" s="27" t="s">
        <v>48</v>
      </c>
      <c r="D1119" s="28">
        <v>7.0000000000000007E-2</v>
      </c>
      <c r="E1119" s="29">
        <v>2.12</v>
      </c>
      <c r="F1119" s="29">
        <v>1.99</v>
      </c>
      <c r="G1119" s="30" t="s">
        <v>39</v>
      </c>
      <c r="H1119" s="27" t="s">
        <v>71</v>
      </c>
      <c r="I1119" s="27" t="s">
        <v>41</v>
      </c>
      <c r="J1119" s="27" t="s">
        <v>42</v>
      </c>
      <c r="K1119" s="27" t="s">
        <v>43</v>
      </c>
      <c r="L1119" s="31" t="s">
        <v>2106</v>
      </c>
      <c r="M1119" s="32">
        <v>0.55000000000000004</v>
      </c>
      <c r="N1119" s="27" t="s">
        <v>33</v>
      </c>
      <c r="O1119" s="27" t="s">
        <v>60</v>
      </c>
      <c r="P1119" s="27" t="s">
        <v>67</v>
      </c>
      <c r="Q1119" s="27" t="s">
        <v>142</v>
      </c>
      <c r="R1119" s="33">
        <v>98103</v>
      </c>
      <c r="S1119" s="34">
        <v>42103</v>
      </c>
      <c r="T1119" s="34">
        <v>42105</v>
      </c>
      <c r="U1119" s="29">
        <v>-55.84</v>
      </c>
      <c r="V1119" s="26">
        <v>46</v>
      </c>
      <c r="W1119" s="29">
        <v>99.94</v>
      </c>
      <c r="X1119" s="26">
        <v>58914</v>
      </c>
      <c r="Y1119" s="35">
        <v>125.92</v>
      </c>
      <c r="Z1119" s="1" t="s">
        <v>3013</v>
      </c>
      <c r="AA1119" s="36">
        <v>6.8264000000000014</v>
      </c>
      <c r="AB1119" s="54">
        <v>44.972999999999992</v>
      </c>
      <c r="AC1119" s="54">
        <v>1.1949347826086958</v>
      </c>
      <c r="AD1119" s="36">
        <v>146.96359999999999</v>
      </c>
    </row>
    <row r="1120" spans="1:30" s="37" customFormat="1" ht="15.75" customHeight="1" x14ac:dyDescent="0.2">
      <c r="A1120" s="26">
        <v>123</v>
      </c>
      <c r="B1120" s="27" t="s">
        <v>2092</v>
      </c>
      <c r="C1120" s="27" t="s">
        <v>26</v>
      </c>
      <c r="D1120" s="28">
        <v>0.06</v>
      </c>
      <c r="E1120" s="29">
        <v>8.57</v>
      </c>
      <c r="F1120" s="29">
        <v>6.14</v>
      </c>
      <c r="G1120" s="30" t="s">
        <v>39</v>
      </c>
      <c r="H1120" s="27" t="s">
        <v>71</v>
      </c>
      <c r="I1120" s="27" t="s">
        <v>49</v>
      </c>
      <c r="J1120" s="27" t="s">
        <v>568</v>
      </c>
      <c r="K1120" s="27" t="s">
        <v>43</v>
      </c>
      <c r="L1120" s="31" t="s">
        <v>2093</v>
      </c>
      <c r="M1120" s="32">
        <v>0.59</v>
      </c>
      <c r="N1120" s="27" t="s">
        <v>33</v>
      </c>
      <c r="O1120" s="27" t="s">
        <v>34</v>
      </c>
      <c r="P1120" s="27" t="s">
        <v>242</v>
      </c>
      <c r="Q1120" s="27" t="s">
        <v>2094</v>
      </c>
      <c r="R1120" s="33">
        <v>22102</v>
      </c>
      <c r="S1120" s="34">
        <v>42103</v>
      </c>
      <c r="T1120" s="34">
        <v>42104</v>
      </c>
      <c r="U1120" s="29">
        <v>105.678</v>
      </c>
      <c r="V1120" s="26">
        <v>11</v>
      </c>
      <c r="W1120" s="29">
        <v>94.97</v>
      </c>
      <c r="X1120" s="26">
        <v>90669</v>
      </c>
      <c r="Y1120" s="35">
        <v>3.75</v>
      </c>
      <c r="Z1120" s="1" t="s">
        <v>3011</v>
      </c>
      <c r="AA1120" s="36">
        <v>5.6562000000000001</v>
      </c>
      <c r="AB1120" s="54">
        <v>38.9377</v>
      </c>
      <c r="AC1120" s="54">
        <v>5.0938454545454537</v>
      </c>
      <c r="AD1120" s="36">
        <v>-22.504199999999997</v>
      </c>
    </row>
    <row r="1121" spans="1:30" s="37" customFormat="1" ht="15.75" customHeight="1" x14ac:dyDescent="0.2">
      <c r="A1121" s="26">
        <v>2847</v>
      </c>
      <c r="B1121" s="27" t="s">
        <v>2117</v>
      </c>
      <c r="C1121" s="27" t="s">
        <v>3094</v>
      </c>
      <c r="D1121" s="28">
        <v>0.02</v>
      </c>
      <c r="E1121" s="29">
        <v>9.77</v>
      </c>
      <c r="F1121" s="29">
        <v>6.02</v>
      </c>
      <c r="G1121" s="30" t="s">
        <v>39</v>
      </c>
      <c r="H1121" s="27" t="s">
        <v>94</v>
      </c>
      <c r="I1121" s="27" t="s">
        <v>29</v>
      </c>
      <c r="J1121" s="27" t="s">
        <v>126</v>
      </c>
      <c r="K1121" s="27" t="s">
        <v>144</v>
      </c>
      <c r="L1121" s="31" t="s">
        <v>2119</v>
      </c>
      <c r="M1121" s="32">
        <v>0.48</v>
      </c>
      <c r="N1121" s="27" t="s">
        <v>33</v>
      </c>
      <c r="O1121" s="27" t="s">
        <v>34</v>
      </c>
      <c r="P1121" s="27" t="s">
        <v>400</v>
      </c>
      <c r="Q1121" s="27" t="s">
        <v>2118</v>
      </c>
      <c r="R1121" s="33">
        <v>38017</v>
      </c>
      <c r="S1121" s="34">
        <v>42103</v>
      </c>
      <c r="T1121" s="34">
        <v>42104</v>
      </c>
      <c r="U1121" s="29">
        <v>-535.33199999999999</v>
      </c>
      <c r="V1121" s="26">
        <v>9</v>
      </c>
      <c r="W1121" s="29">
        <v>87.68</v>
      </c>
      <c r="X1121" s="26">
        <v>85928</v>
      </c>
      <c r="Y1121" s="35">
        <v>30.64</v>
      </c>
      <c r="Z1121" s="1" t="s">
        <v>3011</v>
      </c>
      <c r="AA1121" s="36">
        <v>1.7585999999999999</v>
      </c>
      <c r="AB1121" s="54">
        <v>45.593600000000002</v>
      </c>
      <c r="AC1121" s="54">
        <v>4.6762666666666668</v>
      </c>
      <c r="AD1121" s="36">
        <v>615.23340000000007</v>
      </c>
    </row>
    <row r="1122" spans="1:30" s="37" customFormat="1" ht="15.75" customHeight="1" x14ac:dyDescent="0.2">
      <c r="A1122" s="26">
        <v>1250</v>
      </c>
      <c r="B1122" s="27" t="s">
        <v>2101</v>
      </c>
      <c r="C1122" s="27" t="s">
        <v>38</v>
      </c>
      <c r="D1122" s="28">
        <v>0</v>
      </c>
      <c r="E1122" s="29">
        <v>3.89</v>
      </c>
      <c r="F1122" s="29">
        <v>7.01</v>
      </c>
      <c r="G1122" s="30" t="s">
        <v>39</v>
      </c>
      <c r="H1122" s="27" t="s">
        <v>94</v>
      </c>
      <c r="I1122" s="27" t="s">
        <v>49</v>
      </c>
      <c r="J1122" s="27" t="s">
        <v>72</v>
      </c>
      <c r="K1122" s="27" t="s">
        <v>73</v>
      </c>
      <c r="L1122" s="31" t="s">
        <v>726</v>
      </c>
      <c r="M1122" s="32">
        <v>0.37</v>
      </c>
      <c r="N1122" s="27" t="s">
        <v>33</v>
      </c>
      <c r="O1122" s="27" t="s">
        <v>53</v>
      </c>
      <c r="P1122" s="27" t="s">
        <v>103</v>
      </c>
      <c r="Q1122" s="27" t="s">
        <v>2102</v>
      </c>
      <c r="R1122" s="33">
        <v>60110</v>
      </c>
      <c r="S1122" s="34">
        <v>42103</v>
      </c>
      <c r="T1122" s="34">
        <v>42103</v>
      </c>
      <c r="U1122" s="29">
        <v>-255.16890000000001</v>
      </c>
      <c r="V1122" s="26">
        <v>21</v>
      </c>
      <c r="W1122" s="29">
        <v>85.64</v>
      </c>
      <c r="X1122" s="26">
        <v>87877</v>
      </c>
      <c r="Y1122" s="35">
        <v>125.99</v>
      </c>
      <c r="Z1122" s="1" t="s">
        <v>3012</v>
      </c>
      <c r="AA1122" s="36">
        <v>0</v>
      </c>
      <c r="AB1122" s="54">
        <v>53.953200000000002</v>
      </c>
      <c r="AC1122" s="54">
        <v>1.5088952380952381</v>
      </c>
      <c r="AD1122" s="36">
        <v>333.7989</v>
      </c>
    </row>
    <row r="1123" spans="1:30" s="37" customFormat="1" ht="15.75" customHeight="1" x14ac:dyDescent="0.2">
      <c r="A1123" s="26">
        <v>191</v>
      </c>
      <c r="B1123" s="27" t="s">
        <v>1121</v>
      </c>
      <c r="C1123" s="27" t="s">
        <v>3094</v>
      </c>
      <c r="D1123" s="28">
        <v>0.05</v>
      </c>
      <c r="E1123" s="29">
        <v>3.8</v>
      </c>
      <c r="F1123" s="29">
        <v>1.49</v>
      </c>
      <c r="G1123" s="30" t="s">
        <v>39</v>
      </c>
      <c r="H1123" s="27" t="s">
        <v>94</v>
      </c>
      <c r="I1123" s="27" t="s">
        <v>49</v>
      </c>
      <c r="J1123" s="27" t="s">
        <v>72</v>
      </c>
      <c r="K1123" s="27" t="s">
        <v>73</v>
      </c>
      <c r="L1123" s="31" t="s">
        <v>1192</v>
      </c>
      <c r="M1123" s="32">
        <v>0.38</v>
      </c>
      <c r="N1123" s="27" t="s">
        <v>33</v>
      </c>
      <c r="O1123" s="27" t="s">
        <v>53</v>
      </c>
      <c r="P1123" s="27" t="s">
        <v>103</v>
      </c>
      <c r="Q1123" s="27" t="s">
        <v>1123</v>
      </c>
      <c r="R1123" s="33">
        <v>60505</v>
      </c>
      <c r="S1123" s="34">
        <v>42103</v>
      </c>
      <c r="T1123" s="34">
        <v>42105</v>
      </c>
      <c r="U1123" s="29">
        <v>14.467000000000001</v>
      </c>
      <c r="V1123" s="26">
        <v>14</v>
      </c>
      <c r="W1123" s="29">
        <v>53.26</v>
      </c>
      <c r="X1123" s="26">
        <v>89093</v>
      </c>
      <c r="Y1123" s="35">
        <v>100.89</v>
      </c>
      <c r="Z1123" s="1" t="s">
        <v>3012</v>
      </c>
      <c r="AA1123" s="36">
        <v>2.66</v>
      </c>
      <c r="AB1123" s="54">
        <v>33.0212</v>
      </c>
      <c r="AC1123" s="54">
        <v>1.4456285714285715</v>
      </c>
      <c r="AD1123" s="36">
        <v>34.643000000000001</v>
      </c>
    </row>
    <row r="1124" spans="1:30" s="37" customFormat="1" ht="15.75" customHeight="1" x14ac:dyDescent="0.2">
      <c r="A1124" s="26">
        <v>2488</v>
      </c>
      <c r="B1124" s="27" t="s">
        <v>2103</v>
      </c>
      <c r="C1124" s="27" t="s">
        <v>38</v>
      </c>
      <c r="D1124" s="28">
        <v>0.08</v>
      </c>
      <c r="E1124" s="29">
        <v>4.91</v>
      </c>
      <c r="F1124" s="29">
        <v>0.5</v>
      </c>
      <c r="G1124" s="30" t="s">
        <v>39</v>
      </c>
      <c r="H1124" s="27" t="s">
        <v>40</v>
      </c>
      <c r="I1124" s="27" t="s">
        <v>49</v>
      </c>
      <c r="J1124" s="27" t="s">
        <v>152</v>
      </c>
      <c r="K1124" s="27" t="s">
        <v>73</v>
      </c>
      <c r="L1124" s="31" t="s">
        <v>973</v>
      </c>
      <c r="M1124" s="32">
        <v>0.36</v>
      </c>
      <c r="N1124" s="27" t="s">
        <v>33</v>
      </c>
      <c r="O1124" s="27" t="s">
        <v>34</v>
      </c>
      <c r="P1124" s="27" t="s">
        <v>45</v>
      </c>
      <c r="Q1124" s="27" t="s">
        <v>2104</v>
      </c>
      <c r="R1124" s="33">
        <v>72023</v>
      </c>
      <c r="S1124" s="34">
        <v>42103</v>
      </c>
      <c r="T1124" s="34">
        <v>42103</v>
      </c>
      <c r="U1124" s="29">
        <v>12.726000000000001</v>
      </c>
      <c r="V1124" s="26">
        <v>9</v>
      </c>
      <c r="W1124" s="29">
        <v>42.69</v>
      </c>
      <c r="X1124" s="26">
        <v>86887</v>
      </c>
      <c r="Y1124" s="35">
        <v>14.76</v>
      </c>
      <c r="Z1124" s="1" t="s">
        <v>3011</v>
      </c>
      <c r="AA1124" s="36">
        <v>3.5352000000000006</v>
      </c>
      <c r="AB1124" s="54">
        <v>27.3216</v>
      </c>
      <c r="AC1124" s="54">
        <v>1.7075999999999998</v>
      </c>
      <c r="AD1124" s="36">
        <v>25.928799999999995</v>
      </c>
    </row>
    <row r="1125" spans="1:30" s="37" customFormat="1" ht="15.75" customHeight="1" x14ac:dyDescent="0.2">
      <c r="A1125" s="26">
        <v>2847</v>
      </c>
      <c r="B1125" s="27" t="s">
        <v>2117</v>
      </c>
      <c r="C1125" s="27" t="s">
        <v>3094</v>
      </c>
      <c r="D1125" s="28">
        <v>0.09</v>
      </c>
      <c r="E1125" s="29">
        <v>34.99</v>
      </c>
      <c r="F1125" s="29">
        <v>7.73</v>
      </c>
      <c r="G1125" s="30" t="s">
        <v>39</v>
      </c>
      <c r="H1125" s="27" t="s">
        <v>94</v>
      </c>
      <c r="I1125" s="27" t="s">
        <v>49</v>
      </c>
      <c r="J1125" s="27" t="s">
        <v>50</v>
      </c>
      <c r="K1125" s="27" t="s">
        <v>73</v>
      </c>
      <c r="L1125" s="31" t="s">
        <v>1304</v>
      </c>
      <c r="M1125" s="32">
        <v>0.59</v>
      </c>
      <c r="N1125" s="27" t="s">
        <v>33</v>
      </c>
      <c r="O1125" s="27" t="s">
        <v>34</v>
      </c>
      <c r="P1125" s="27" t="s">
        <v>400</v>
      </c>
      <c r="Q1125" s="27" t="s">
        <v>2118</v>
      </c>
      <c r="R1125" s="33">
        <v>38017</v>
      </c>
      <c r="S1125" s="34">
        <v>42103</v>
      </c>
      <c r="T1125" s="34">
        <v>42105</v>
      </c>
      <c r="U1125" s="29">
        <v>-208.72040000000001</v>
      </c>
      <c r="V1125" s="26">
        <v>1</v>
      </c>
      <c r="W1125" s="29">
        <v>37.619999999999997</v>
      </c>
      <c r="X1125" s="26">
        <v>85928</v>
      </c>
      <c r="Y1125" s="35">
        <v>2.6999999999999997</v>
      </c>
      <c r="Z1125" s="1" t="s">
        <v>3011</v>
      </c>
      <c r="AA1125" s="36">
        <v>3.1491000000000002</v>
      </c>
      <c r="AB1125" s="54">
        <v>15.424200000000001</v>
      </c>
      <c r="AC1125" s="54">
        <v>22.195799999999998</v>
      </c>
      <c r="AD1125" s="36">
        <v>235.46130000000002</v>
      </c>
    </row>
    <row r="1126" spans="1:30" s="37" customFormat="1" ht="15.75" customHeight="1" x14ac:dyDescent="0.2">
      <c r="A1126" s="26">
        <v>115</v>
      </c>
      <c r="B1126" s="27" t="s">
        <v>2105</v>
      </c>
      <c r="C1126" s="27" t="s">
        <v>48</v>
      </c>
      <c r="D1126" s="28">
        <v>7.0000000000000007E-2</v>
      </c>
      <c r="E1126" s="29">
        <v>2.12</v>
      </c>
      <c r="F1126" s="29">
        <v>1.99</v>
      </c>
      <c r="G1126" s="30" t="s">
        <v>39</v>
      </c>
      <c r="H1126" s="27" t="s">
        <v>71</v>
      </c>
      <c r="I1126" s="27" t="s">
        <v>41</v>
      </c>
      <c r="J1126" s="27" t="s">
        <v>42</v>
      </c>
      <c r="K1126" s="27" t="s">
        <v>43</v>
      </c>
      <c r="L1126" s="31" t="s">
        <v>2106</v>
      </c>
      <c r="M1126" s="32">
        <v>0.55000000000000004</v>
      </c>
      <c r="N1126" s="27" t="s">
        <v>33</v>
      </c>
      <c r="O1126" s="27" t="s">
        <v>60</v>
      </c>
      <c r="P1126" s="27" t="s">
        <v>139</v>
      </c>
      <c r="Q1126" s="27" t="s">
        <v>2107</v>
      </c>
      <c r="R1126" s="33">
        <v>97128</v>
      </c>
      <c r="S1126" s="34">
        <v>42103</v>
      </c>
      <c r="T1126" s="34">
        <v>42105</v>
      </c>
      <c r="U1126" s="29">
        <v>-55.84</v>
      </c>
      <c r="V1126" s="26">
        <v>12</v>
      </c>
      <c r="W1126" s="29">
        <v>26.07</v>
      </c>
      <c r="X1126" s="26">
        <v>89585</v>
      </c>
      <c r="Y1126" s="35">
        <v>90.44</v>
      </c>
      <c r="Z1126" s="1" t="s">
        <v>3013</v>
      </c>
      <c r="AA1126" s="36">
        <v>1.7808000000000004</v>
      </c>
      <c r="AB1126" s="54">
        <v>11.731499999999999</v>
      </c>
      <c r="AC1126" s="54">
        <v>1.1948750000000001</v>
      </c>
      <c r="AD1126" s="36">
        <v>78.139200000000002</v>
      </c>
    </row>
    <row r="1127" spans="1:30" s="37" customFormat="1" ht="15.75" customHeight="1" x14ac:dyDescent="0.2">
      <c r="A1127" s="26">
        <v>1178</v>
      </c>
      <c r="B1127" s="27" t="s">
        <v>2099</v>
      </c>
      <c r="C1127" s="27" t="s">
        <v>38</v>
      </c>
      <c r="D1127" s="28">
        <v>0.03</v>
      </c>
      <c r="E1127" s="29">
        <v>4.4800000000000004</v>
      </c>
      <c r="F1127" s="29">
        <v>49</v>
      </c>
      <c r="G1127" s="30" t="s">
        <v>39</v>
      </c>
      <c r="H1127" s="27" t="s">
        <v>40</v>
      </c>
      <c r="I1127" s="27" t="s">
        <v>49</v>
      </c>
      <c r="J1127" s="27" t="s">
        <v>95</v>
      </c>
      <c r="K1127" s="27" t="s">
        <v>65</v>
      </c>
      <c r="L1127" s="31" t="s">
        <v>468</v>
      </c>
      <c r="M1127" s="32">
        <v>0.6</v>
      </c>
      <c r="N1127" s="27" t="s">
        <v>33</v>
      </c>
      <c r="O1127" s="27" t="s">
        <v>34</v>
      </c>
      <c r="P1127" s="27" t="s">
        <v>123</v>
      </c>
      <c r="Q1127" s="27" t="s">
        <v>2100</v>
      </c>
      <c r="R1127" s="33">
        <v>32701</v>
      </c>
      <c r="S1127" s="34">
        <v>42103</v>
      </c>
      <c r="T1127" s="34">
        <v>42105</v>
      </c>
      <c r="U1127" s="29">
        <v>64.266000000000005</v>
      </c>
      <c r="V1127" s="26">
        <v>2</v>
      </c>
      <c r="W1127" s="29">
        <v>21.46</v>
      </c>
      <c r="X1127" s="26">
        <v>89787</v>
      </c>
      <c r="Y1127" s="35">
        <v>9.75</v>
      </c>
      <c r="Z1127" s="1" t="s">
        <v>3011</v>
      </c>
      <c r="AA1127" s="36">
        <v>0.26880000000000004</v>
      </c>
      <c r="AB1127" s="54">
        <v>8.5840000000000014</v>
      </c>
      <c r="AC1127" s="54">
        <v>6.4379999999999997</v>
      </c>
      <c r="AD1127" s="36">
        <v>-92.07480000000001</v>
      </c>
    </row>
    <row r="1128" spans="1:30" s="37" customFormat="1" ht="15.75" customHeight="1" x14ac:dyDescent="0.2">
      <c r="A1128" s="26">
        <v>2334</v>
      </c>
      <c r="B1128" s="27" t="s">
        <v>2038</v>
      </c>
      <c r="C1128" s="27" t="s">
        <v>3094</v>
      </c>
      <c r="D1128" s="28">
        <v>0.08</v>
      </c>
      <c r="E1128" s="29">
        <v>2.78</v>
      </c>
      <c r="F1128" s="29">
        <v>1.25</v>
      </c>
      <c r="G1128" s="30" t="s">
        <v>39</v>
      </c>
      <c r="H1128" s="27" t="s">
        <v>3095</v>
      </c>
      <c r="I1128" s="27" t="s">
        <v>49</v>
      </c>
      <c r="J1128" s="27" t="s">
        <v>50</v>
      </c>
      <c r="K1128" s="27" t="s">
        <v>51</v>
      </c>
      <c r="L1128" s="31" t="s">
        <v>382</v>
      </c>
      <c r="M1128" s="32">
        <v>0.59</v>
      </c>
      <c r="N1128" s="27" t="s">
        <v>33</v>
      </c>
      <c r="O1128" s="27" t="s">
        <v>53</v>
      </c>
      <c r="P1128" s="27" t="s">
        <v>357</v>
      </c>
      <c r="Q1128" s="27" t="s">
        <v>2039</v>
      </c>
      <c r="R1128" s="33">
        <v>53220</v>
      </c>
      <c r="S1128" s="34">
        <v>42103</v>
      </c>
      <c r="T1128" s="34">
        <v>42104</v>
      </c>
      <c r="U1128" s="29">
        <v>-8.77</v>
      </c>
      <c r="V1128" s="26">
        <v>7</v>
      </c>
      <c r="W1128" s="29">
        <v>19.46</v>
      </c>
      <c r="X1128" s="26">
        <v>89609</v>
      </c>
      <c r="Y1128" s="35">
        <v>34.9</v>
      </c>
      <c r="Z1128" s="1" t="s">
        <v>3012</v>
      </c>
      <c r="AA1128" s="36">
        <v>1.5568</v>
      </c>
      <c r="AB1128" s="54">
        <v>7.978600000000001</v>
      </c>
      <c r="AC1128" s="54">
        <v>1.6402000000000001</v>
      </c>
      <c r="AD1128" s="36">
        <v>25.423200000000001</v>
      </c>
    </row>
    <row r="1129" spans="1:30" s="37" customFormat="1" ht="15.75" customHeight="1" x14ac:dyDescent="0.2">
      <c r="A1129" s="26">
        <v>1104</v>
      </c>
      <c r="B1129" s="27" t="s">
        <v>2127</v>
      </c>
      <c r="C1129" s="27" t="s">
        <v>3094</v>
      </c>
      <c r="D1129" s="28">
        <v>0.05</v>
      </c>
      <c r="E1129" s="29">
        <v>328.14</v>
      </c>
      <c r="F1129" s="29">
        <v>91.05</v>
      </c>
      <c r="G1129" s="30" t="s">
        <v>27</v>
      </c>
      <c r="H1129" s="27" t="s">
        <v>71</v>
      </c>
      <c r="I1129" s="27" t="s">
        <v>49</v>
      </c>
      <c r="J1129" s="27" t="s">
        <v>95</v>
      </c>
      <c r="K1129" s="27" t="s">
        <v>58</v>
      </c>
      <c r="L1129" s="31" t="s">
        <v>583</v>
      </c>
      <c r="M1129" s="32">
        <v>0.56999999999999995</v>
      </c>
      <c r="N1129" s="27" t="s">
        <v>33</v>
      </c>
      <c r="O1129" s="27" t="s">
        <v>111</v>
      </c>
      <c r="P1129" s="27" t="s">
        <v>112</v>
      </c>
      <c r="Q1129" s="27" t="s">
        <v>113</v>
      </c>
      <c r="R1129" s="33">
        <v>10282</v>
      </c>
      <c r="S1129" s="34">
        <v>42104</v>
      </c>
      <c r="T1129" s="34">
        <v>42105</v>
      </c>
      <c r="U1129" s="29">
        <v>772.04</v>
      </c>
      <c r="V1129" s="26">
        <v>29</v>
      </c>
      <c r="W1129" s="29">
        <v>9492.92</v>
      </c>
      <c r="X1129" s="26">
        <v>27456</v>
      </c>
      <c r="Y1129" s="35">
        <v>9.01</v>
      </c>
      <c r="Z1129" s="1" t="s">
        <v>3014</v>
      </c>
      <c r="AA1129" s="36">
        <v>475.803</v>
      </c>
      <c r="AB1129" s="54">
        <v>4081.9556000000007</v>
      </c>
      <c r="AC1129" s="54">
        <v>186.58497931034481</v>
      </c>
      <c r="AD1129" s="36">
        <v>8154.027</v>
      </c>
    </row>
    <row r="1130" spans="1:30" s="37" customFormat="1" ht="15.75" customHeight="1" x14ac:dyDescent="0.2">
      <c r="A1130" s="26">
        <v>1103</v>
      </c>
      <c r="B1130" s="27" t="s">
        <v>2125</v>
      </c>
      <c r="C1130" s="27" t="s">
        <v>3094</v>
      </c>
      <c r="D1130" s="28">
        <v>0.05</v>
      </c>
      <c r="E1130" s="29">
        <v>328.14</v>
      </c>
      <c r="F1130" s="29">
        <v>91.05</v>
      </c>
      <c r="G1130" s="30" t="s">
        <v>27</v>
      </c>
      <c r="H1130" s="27" t="s">
        <v>71</v>
      </c>
      <c r="I1130" s="27" t="s">
        <v>49</v>
      </c>
      <c r="J1130" s="27" t="s">
        <v>95</v>
      </c>
      <c r="K1130" s="27" t="s">
        <v>58</v>
      </c>
      <c r="L1130" s="31" t="s">
        <v>583</v>
      </c>
      <c r="M1130" s="32">
        <v>0.56999999999999995</v>
      </c>
      <c r="N1130" s="27" t="s">
        <v>33</v>
      </c>
      <c r="O1130" s="27" t="s">
        <v>53</v>
      </c>
      <c r="P1130" s="27" t="s">
        <v>133</v>
      </c>
      <c r="Q1130" s="27" t="s">
        <v>2126</v>
      </c>
      <c r="R1130" s="33">
        <v>68046</v>
      </c>
      <c r="S1130" s="34">
        <v>42104</v>
      </c>
      <c r="T1130" s="34">
        <v>42105</v>
      </c>
      <c r="U1130" s="29">
        <v>772.04</v>
      </c>
      <c r="V1130" s="26">
        <v>7</v>
      </c>
      <c r="W1130" s="29">
        <v>2291.39</v>
      </c>
      <c r="X1130" s="26">
        <v>90977</v>
      </c>
      <c r="Y1130" s="35">
        <v>15.96</v>
      </c>
      <c r="Z1130" s="1" t="s">
        <v>3012</v>
      </c>
      <c r="AA1130" s="36">
        <v>114.849</v>
      </c>
      <c r="AB1130" s="54">
        <v>985.29770000000008</v>
      </c>
      <c r="AC1130" s="54">
        <v>186.58461428571425</v>
      </c>
      <c r="AD1130" s="36">
        <v>1313.451</v>
      </c>
    </row>
    <row r="1131" spans="1:30" s="37" customFormat="1" ht="15.75" customHeight="1" x14ac:dyDescent="0.2">
      <c r="A1131" s="26">
        <v>2684</v>
      </c>
      <c r="B1131" s="27" t="s">
        <v>1207</v>
      </c>
      <c r="C1131" s="27" t="s">
        <v>48</v>
      </c>
      <c r="D1131" s="28">
        <v>0.03</v>
      </c>
      <c r="E1131" s="29">
        <v>65.989999999999995</v>
      </c>
      <c r="F1131" s="29">
        <v>8.8000000000000007</v>
      </c>
      <c r="G1131" s="30" t="s">
        <v>39</v>
      </c>
      <c r="H1131" s="27" t="s">
        <v>3095</v>
      </c>
      <c r="I1131" s="27" t="s">
        <v>41</v>
      </c>
      <c r="J1131" s="27" t="s">
        <v>135</v>
      </c>
      <c r="K1131" s="27" t="s">
        <v>73</v>
      </c>
      <c r="L1131" s="31" t="s">
        <v>452</v>
      </c>
      <c r="M1131" s="32">
        <v>0.57999999999999996</v>
      </c>
      <c r="N1131" s="27" t="s">
        <v>33</v>
      </c>
      <c r="O1131" s="27" t="s">
        <v>34</v>
      </c>
      <c r="P1131" s="27" t="s">
        <v>123</v>
      </c>
      <c r="Q1131" s="27" t="s">
        <v>1208</v>
      </c>
      <c r="R1131" s="33">
        <v>33952</v>
      </c>
      <c r="S1131" s="34">
        <v>42104</v>
      </c>
      <c r="T1131" s="34">
        <v>42104</v>
      </c>
      <c r="U1131" s="29">
        <v>9.9398999999999997</v>
      </c>
      <c r="V1131" s="26">
        <v>21</v>
      </c>
      <c r="W1131" s="29">
        <v>1237.4000000000001</v>
      </c>
      <c r="X1131" s="26">
        <v>89148</v>
      </c>
      <c r="Y1131" s="35">
        <v>35.849999999999994</v>
      </c>
      <c r="Z1131" s="1" t="s">
        <v>3011</v>
      </c>
      <c r="AA1131" s="36">
        <v>41.573699999999995</v>
      </c>
      <c r="AB1131" s="54">
        <v>519.70800000000008</v>
      </c>
      <c r="AC1131" s="54">
        <v>34.175809523809527</v>
      </c>
      <c r="AD1131" s="36">
        <v>1177.0864000000001</v>
      </c>
    </row>
    <row r="1132" spans="1:30" s="37" customFormat="1" ht="15.75" customHeight="1" x14ac:dyDescent="0.2">
      <c r="A1132" s="26">
        <v>3191</v>
      </c>
      <c r="B1132" s="27" t="s">
        <v>1706</v>
      </c>
      <c r="C1132" s="27" t="s">
        <v>38</v>
      </c>
      <c r="D1132" s="28">
        <v>0.09</v>
      </c>
      <c r="E1132" s="29">
        <v>35.94</v>
      </c>
      <c r="F1132" s="29">
        <v>6.66</v>
      </c>
      <c r="G1132" s="30" t="s">
        <v>39</v>
      </c>
      <c r="H1132" s="27" t="s">
        <v>94</v>
      </c>
      <c r="I1132" s="27" t="s">
        <v>49</v>
      </c>
      <c r="J1132" s="27" t="s">
        <v>345</v>
      </c>
      <c r="K1132" s="27" t="s">
        <v>73</v>
      </c>
      <c r="L1132" s="31" t="s">
        <v>2122</v>
      </c>
      <c r="M1132" s="32">
        <v>0.4</v>
      </c>
      <c r="N1132" s="27" t="s">
        <v>33</v>
      </c>
      <c r="O1132" s="27" t="s">
        <v>53</v>
      </c>
      <c r="P1132" s="27" t="s">
        <v>357</v>
      </c>
      <c r="Q1132" s="27" t="s">
        <v>1707</v>
      </c>
      <c r="R1132" s="33">
        <v>54481</v>
      </c>
      <c r="S1132" s="34">
        <v>42104</v>
      </c>
      <c r="T1132" s="34">
        <v>42106</v>
      </c>
      <c r="U1132" s="29">
        <v>172.56440000000001</v>
      </c>
      <c r="V1132" s="26">
        <v>9</v>
      </c>
      <c r="W1132" s="29">
        <v>312.22000000000003</v>
      </c>
      <c r="X1132" s="26">
        <v>86448</v>
      </c>
      <c r="Y1132" s="35">
        <v>4.8999999999999995</v>
      </c>
      <c r="Z1132" s="1" t="s">
        <v>3012</v>
      </c>
      <c r="AA1132" s="36">
        <v>29.111399999999996</v>
      </c>
      <c r="AB1132" s="54">
        <v>187.33200000000002</v>
      </c>
      <c r="AC1132" s="54">
        <v>13.876444444444445</v>
      </c>
      <c r="AD1132" s="36">
        <v>103.88420000000002</v>
      </c>
    </row>
    <row r="1133" spans="1:30" s="37" customFormat="1" ht="15.75" customHeight="1" x14ac:dyDescent="0.2">
      <c r="A1133" s="26">
        <v>1185</v>
      </c>
      <c r="B1133" s="27" t="s">
        <v>1782</v>
      </c>
      <c r="C1133" s="27" t="s">
        <v>3094</v>
      </c>
      <c r="D1133" s="28">
        <v>0.08</v>
      </c>
      <c r="E1133" s="29">
        <v>11.7</v>
      </c>
      <c r="F1133" s="29">
        <v>6.96</v>
      </c>
      <c r="G1133" s="30" t="s">
        <v>39</v>
      </c>
      <c r="H1133" s="27" t="s">
        <v>40</v>
      </c>
      <c r="I1133" s="27" t="s">
        <v>49</v>
      </c>
      <c r="J1133" s="27" t="s">
        <v>95</v>
      </c>
      <c r="K1133" s="27" t="s">
        <v>144</v>
      </c>
      <c r="L1133" s="31" t="s">
        <v>760</v>
      </c>
      <c r="M1133" s="32">
        <v>0.5</v>
      </c>
      <c r="N1133" s="27" t="s">
        <v>33</v>
      </c>
      <c r="O1133" s="27" t="s">
        <v>34</v>
      </c>
      <c r="P1133" s="27" t="s">
        <v>164</v>
      </c>
      <c r="Q1133" s="27" t="s">
        <v>358</v>
      </c>
      <c r="R1133" s="33">
        <v>35756</v>
      </c>
      <c r="S1133" s="34">
        <v>42104</v>
      </c>
      <c r="T1133" s="34">
        <v>42107</v>
      </c>
      <c r="U1133" s="29">
        <v>28.565999999999999</v>
      </c>
      <c r="V1133" s="26">
        <v>8</v>
      </c>
      <c r="W1133" s="29">
        <v>87.8</v>
      </c>
      <c r="X1133" s="26">
        <v>85940</v>
      </c>
      <c r="Y1133" s="35">
        <v>2.5300000000000002</v>
      </c>
      <c r="Z1133" s="1" t="s">
        <v>3011</v>
      </c>
      <c r="AA1133" s="36">
        <v>7.4879999999999995</v>
      </c>
      <c r="AB1133" s="54">
        <v>43.9</v>
      </c>
      <c r="AC1133" s="54">
        <v>5.4874999999999998</v>
      </c>
      <c r="AD1133" s="36">
        <v>44.786000000000001</v>
      </c>
    </row>
    <row r="1134" spans="1:30" s="37" customFormat="1" ht="15.75" customHeight="1" x14ac:dyDescent="0.2">
      <c r="A1134" s="26">
        <v>2999</v>
      </c>
      <c r="B1134" s="27" t="s">
        <v>2128</v>
      </c>
      <c r="C1134" s="27" t="s">
        <v>3094</v>
      </c>
      <c r="D1134" s="28">
        <v>0.03</v>
      </c>
      <c r="E1134" s="29">
        <v>10.98</v>
      </c>
      <c r="F1134" s="29">
        <v>3.37</v>
      </c>
      <c r="G1134" s="30" t="s">
        <v>39</v>
      </c>
      <c r="H1134" s="27" t="s">
        <v>40</v>
      </c>
      <c r="I1134" s="27" t="s">
        <v>49</v>
      </c>
      <c r="J1134" s="27" t="s">
        <v>568</v>
      </c>
      <c r="K1134" s="27" t="s">
        <v>43</v>
      </c>
      <c r="L1134" s="31" t="s">
        <v>2129</v>
      </c>
      <c r="M1134" s="32">
        <v>0.56999999999999995</v>
      </c>
      <c r="N1134" s="27" t="s">
        <v>33</v>
      </c>
      <c r="O1134" s="27" t="s">
        <v>53</v>
      </c>
      <c r="P1134" s="27" t="s">
        <v>289</v>
      </c>
      <c r="Q1134" s="27" t="s">
        <v>2130</v>
      </c>
      <c r="R1134" s="33">
        <v>48237</v>
      </c>
      <c r="S1134" s="34">
        <v>42104</v>
      </c>
      <c r="T1134" s="34">
        <v>42105</v>
      </c>
      <c r="U1134" s="29">
        <v>11.82</v>
      </c>
      <c r="V1134" s="26">
        <v>5</v>
      </c>
      <c r="W1134" s="29">
        <v>56.19</v>
      </c>
      <c r="X1134" s="26">
        <v>87041</v>
      </c>
      <c r="Y1134" s="35">
        <v>65.959999999999994</v>
      </c>
      <c r="Z1134" s="1" t="s">
        <v>3012</v>
      </c>
      <c r="AA1134" s="36">
        <v>1.6470000000000002</v>
      </c>
      <c r="AB1134" s="54">
        <v>24.161700000000003</v>
      </c>
      <c r="AC1134" s="54">
        <v>6.4056599999999992</v>
      </c>
      <c r="AD1134" s="36">
        <v>39.352999999999994</v>
      </c>
    </row>
    <row r="1135" spans="1:30" s="37" customFormat="1" ht="15.75" customHeight="1" x14ac:dyDescent="0.2">
      <c r="A1135" s="26">
        <v>2430</v>
      </c>
      <c r="B1135" s="27" t="s">
        <v>1837</v>
      </c>
      <c r="C1135" s="27" t="s">
        <v>3094</v>
      </c>
      <c r="D1135" s="28">
        <v>0.04</v>
      </c>
      <c r="E1135" s="29">
        <v>7.08</v>
      </c>
      <c r="F1135" s="29">
        <v>2.35</v>
      </c>
      <c r="G1135" s="30" t="s">
        <v>39</v>
      </c>
      <c r="H1135" s="27" t="s">
        <v>71</v>
      </c>
      <c r="I1135" s="27" t="s">
        <v>49</v>
      </c>
      <c r="J1135" s="27" t="s">
        <v>50</v>
      </c>
      <c r="K1135" s="27" t="s">
        <v>51</v>
      </c>
      <c r="L1135" s="31" t="s">
        <v>1913</v>
      </c>
      <c r="M1135" s="32">
        <v>0.47</v>
      </c>
      <c r="N1135" s="27" t="s">
        <v>33</v>
      </c>
      <c r="O1135" s="27" t="s">
        <v>53</v>
      </c>
      <c r="P1135" s="27" t="s">
        <v>187</v>
      </c>
      <c r="Q1135" s="27" t="s">
        <v>1838</v>
      </c>
      <c r="R1135" s="33">
        <v>76541</v>
      </c>
      <c r="S1135" s="34">
        <v>42104</v>
      </c>
      <c r="T1135" s="34">
        <v>42105</v>
      </c>
      <c r="U1135" s="29">
        <v>24.59</v>
      </c>
      <c r="V1135" s="26">
        <v>7</v>
      </c>
      <c r="W1135" s="29">
        <v>49.1</v>
      </c>
      <c r="X1135" s="26">
        <v>91109</v>
      </c>
      <c r="Y1135" s="35">
        <v>328.09</v>
      </c>
      <c r="Z1135" s="1" t="s">
        <v>3012</v>
      </c>
      <c r="AA1135" s="36">
        <v>1.9824000000000002</v>
      </c>
      <c r="AB1135" s="54">
        <v>26.023000000000003</v>
      </c>
      <c r="AC1135" s="54">
        <v>3.2967142857142857</v>
      </c>
      <c r="AD1135" s="36">
        <v>20.177599999999998</v>
      </c>
    </row>
    <row r="1136" spans="1:30" s="37" customFormat="1" ht="15.75" customHeight="1" x14ac:dyDescent="0.2">
      <c r="A1136" s="26">
        <v>451</v>
      </c>
      <c r="B1136" s="27" t="s">
        <v>219</v>
      </c>
      <c r="C1136" s="27" t="s">
        <v>38</v>
      </c>
      <c r="D1136" s="28">
        <v>0.03</v>
      </c>
      <c r="E1136" s="29">
        <v>15.99</v>
      </c>
      <c r="F1136" s="29">
        <v>11.28</v>
      </c>
      <c r="G1136" s="30" t="s">
        <v>39</v>
      </c>
      <c r="H1136" s="27" t="s">
        <v>71</v>
      </c>
      <c r="I1136" s="27" t="s">
        <v>41</v>
      </c>
      <c r="J1136" s="27" t="s">
        <v>57</v>
      </c>
      <c r="K1136" s="27" t="s">
        <v>144</v>
      </c>
      <c r="L1136" s="31" t="s">
        <v>1206</v>
      </c>
      <c r="M1136" s="32">
        <v>0.38</v>
      </c>
      <c r="N1136" s="27" t="s">
        <v>33</v>
      </c>
      <c r="O1136" s="27" t="s">
        <v>60</v>
      </c>
      <c r="P1136" s="27" t="s">
        <v>90</v>
      </c>
      <c r="Q1136" s="27" t="s">
        <v>221</v>
      </c>
      <c r="R1136" s="33">
        <v>94024</v>
      </c>
      <c r="S1136" s="34">
        <v>42104</v>
      </c>
      <c r="T1136" s="34">
        <v>42105</v>
      </c>
      <c r="U1136" s="29">
        <v>-53.296199999999999</v>
      </c>
      <c r="V1136" s="26">
        <v>2</v>
      </c>
      <c r="W1136" s="29">
        <v>35.479999999999997</v>
      </c>
      <c r="X1136" s="26">
        <v>86010</v>
      </c>
      <c r="Y1136" s="35">
        <v>328.09</v>
      </c>
      <c r="Z1136" s="1" t="s">
        <v>3013</v>
      </c>
      <c r="AA1136" s="36">
        <v>0.95940000000000003</v>
      </c>
      <c r="AB1136" s="54">
        <v>21.997599999999998</v>
      </c>
      <c r="AC1136" s="54">
        <v>6.7411999999999992</v>
      </c>
      <c r="AD1136" s="36">
        <v>76.536799999999999</v>
      </c>
    </row>
    <row r="1137" spans="1:30" s="37" customFormat="1" ht="15.75" customHeight="1" x14ac:dyDescent="0.2">
      <c r="A1137" s="26">
        <v>2684</v>
      </c>
      <c r="B1137" s="27" t="s">
        <v>1207</v>
      </c>
      <c r="C1137" s="27" t="s">
        <v>48</v>
      </c>
      <c r="D1137" s="28">
        <v>0.09</v>
      </c>
      <c r="E1137" s="29">
        <v>2.62</v>
      </c>
      <c r="F1137" s="29">
        <v>0.8</v>
      </c>
      <c r="G1137" s="30" t="s">
        <v>39</v>
      </c>
      <c r="H1137" s="27" t="s">
        <v>3095</v>
      </c>
      <c r="I1137" s="27" t="s">
        <v>49</v>
      </c>
      <c r="J1137" s="27" t="s">
        <v>176</v>
      </c>
      <c r="K1137" s="27" t="s">
        <v>51</v>
      </c>
      <c r="L1137" s="31" t="s">
        <v>2124</v>
      </c>
      <c r="M1137" s="32">
        <v>0.39</v>
      </c>
      <c r="N1137" s="27" t="s">
        <v>33</v>
      </c>
      <c r="O1137" s="27" t="s">
        <v>34</v>
      </c>
      <c r="P1137" s="27" t="s">
        <v>123</v>
      </c>
      <c r="Q1137" s="27" t="s">
        <v>1208</v>
      </c>
      <c r="R1137" s="33">
        <v>33952</v>
      </c>
      <c r="S1137" s="34">
        <v>42104</v>
      </c>
      <c r="T1137" s="34">
        <v>42106</v>
      </c>
      <c r="U1137" s="29">
        <v>8.3879999999999999</v>
      </c>
      <c r="V1137" s="26">
        <v>12</v>
      </c>
      <c r="W1137" s="29">
        <v>29.55</v>
      </c>
      <c r="X1137" s="26">
        <v>89148</v>
      </c>
      <c r="Y1137" s="35">
        <v>11.62</v>
      </c>
      <c r="Z1137" s="1" t="s">
        <v>3011</v>
      </c>
      <c r="AA1137" s="36">
        <v>2.8296000000000001</v>
      </c>
      <c r="AB1137" s="54">
        <v>18.025500000000001</v>
      </c>
      <c r="AC1137" s="54">
        <v>0.96037499999999998</v>
      </c>
      <c r="AD1137" s="36">
        <v>17.532399999999999</v>
      </c>
    </row>
    <row r="1138" spans="1:30" s="37" customFormat="1" ht="15.75" customHeight="1" x14ac:dyDescent="0.2">
      <c r="A1138" s="26">
        <v>2684</v>
      </c>
      <c r="B1138" s="27" t="s">
        <v>1207</v>
      </c>
      <c r="C1138" s="27" t="s">
        <v>48</v>
      </c>
      <c r="D1138" s="28">
        <v>7.0000000000000007E-2</v>
      </c>
      <c r="E1138" s="29">
        <v>4.97</v>
      </c>
      <c r="F1138" s="29">
        <v>5.71</v>
      </c>
      <c r="G1138" s="30" t="s">
        <v>39</v>
      </c>
      <c r="H1138" s="27" t="s">
        <v>3095</v>
      </c>
      <c r="I1138" s="27" t="s">
        <v>29</v>
      </c>
      <c r="J1138" s="27" t="s">
        <v>126</v>
      </c>
      <c r="K1138" s="27" t="s">
        <v>144</v>
      </c>
      <c r="L1138" s="31" t="s">
        <v>2123</v>
      </c>
      <c r="M1138" s="32">
        <v>0.54</v>
      </c>
      <c r="N1138" s="27" t="s">
        <v>33</v>
      </c>
      <c r="O1138" s="27" t="s">
        <v>34</v>
      </c>
      <c r="P1138" s="27" t="s">
        <v>123</v>
      </c>
      <c r="Q1138" s="27" t="s">
        <v>1208</v>
      </c>
      <c r="R1138" s="33">
        <v>33952</v>
      </c>
      <c r="S1138" s="34">
        <v>42104</v>
      </c>
      <c r="T1138" s="34">
        <v>42109</v>
      </c>
      <c r="U1138" s="29">
        <v>-180.15199999999999</v>
      </c>
      <c r="V1138" s="26">
        <v>5</v>
      </c>
      <c r="W1138" s="29">
        <v>26.66</v>
      </c>
      <c r="X1138" s="26">
        <v>89148</v>
      </c>
      <c r="Y1138" s="35">
        <v>7.04</v>
      </c>
      <c r="Z1138" s="1" t="s">
        <v>3011</v>
      </c>
      <c r="AA1138" s="36">
        <v>1.7395000000000003</v>
      </c>
      <c r="AB1138" s="54">
        <v>12.263599999999999</v>
      </c>
      <c r="AC1138" s="54">
        <v>2.8792800000000001</v>
      </c>
      <c r="AD1138" s="36">
        <v>199.36249999999998</v>
      </c>
    </row>
    <row r="1139" spans="1:30" s="37" customFormat="1" ht="15.75" customHeight="1" x14ac:dyDescent="0.2">
      <c r="A1139" s="26">
        <v>1602</v>
      </c>
      <c r="B1139" s="27" t="s">
        <v>2120</v>
      </c>
      <c r="C1139" s="27" t="s">
        <v>26</v>
      </c>
      <c r="D1139" s="28">
        <v>0.1</v>
      </c>
      <c r="E1139" s="29">
        <v>9.11</v>
      </c>
      <c r="F1139" s="29">
        <v>2.15</v>
      </c>
      <c r="G1139" s="30" t="s">
        <v>39</v>
      </c>
      <c r="H1139" s="27" t="s">
        <v>71</v>
      </c>
      <c r="I1139" s="27" t="s">
        <v>49</v>
      </c>
      <c r="J1139" s="27" t="s">
        <v>88</v>
      </c>
      <c r="K1139" s="27" t="s">
        <v>51</v>
      </c>
      <c r="L1139" s="31" t="s">
        <v>89</v>
      </c>
      <c r="M1139" s="32">
        <v>0.4</v>
      </c>
      <c r="N1139" s="27" t="s">
        <v>33</v>
      </c>
      <c r="O1139" s="27" t="s">
        <v>111</v>
      </c>
      <c r="P1139" s="27" t="s">
        <v>418</v>
      </c>
      <c r="Q1139" s="27" t="s">
        <v>2121</v>
      </c>
      <c r="R1139" s="33">
        <v>20601</v>
      </c>
      <c r="S1139" s="34">
        <v>42104</v>
      </c>
      <c r="T1139" s="34">
        <v>42106</v>
      </c>
      <c r="U1139" s="29">
        <v>-3.9312</v>
      </c>
      <c r="V1139" s="26">
        <v>2</v>
      </c>
      <c r="W1139" s="29">
        <v>17.420000000000002</v>
      </c>
      <c r="X1139" s="26">
        <v>89680</v>
      </c>
      <c r="Y1139" s="35">
        <v>10.950000000000001</v>
      </c>
      <c r="Z1139" s="1" t="s">
        <v>3014</v>
      </c>
      <c r="AA1139" s="36">
        <v>1.8220000000000001</v>
      </c>
      <c r="AB1139" s="54">
        <v>10.452</v>
      </c>
      <c r="AC1139" s="54">
        <v>3.4840000000000004</v>
      </c>
      <c r="AD1139" s="36">
        <v>17.379200000000001</v>
      </c>
    </row>
    <row r="1140" spans="1:30" s="37" customFormat="1" ht="15.75" customHeight="1" x14ac:dyDescent="0.2">
      <c r="A1140" s="26">
        <v>369</v>
      </c>
      <c r="B1140" s="27" t="s">
        <v>2135</v>
      </c>
      <c r="C1140" s="27" t="s">
        <v>48</v>
      </c>
      <c r="D1140" s="28">
        <v>0.09</v>
      </c>
      <c r="E1140" s="29">
        <v>19.23</v>
      </c>
      <c r="F1140" s="29">
        <v>6.15</v>
      </c>
      <c r="G1140" s="30" t="s">
        <v>87</v>
      </c>
      <c r="H1140" s="27" t="s">
        <v>94</v>
      </c>
      <c r="I1140" s="27" t="s">
        <v>29</v>
      </c>
      <c r="J1140" s="27" t="s">
        <v>126</v>
      </c>
      <c r="K1140" s="27" t="s">
        <v>43</v>
      </c>
      <c r="L1140" s="31" t="s">
        <v>1277</v>
      </c>
      <c r="M1140" s="32">
        <v>0.44</v>
      </c>
      <c r="N1140" s="27" t="s">
        <v>33</v>
      </c>
      <c r="O1140" s="27" t="s">
        <v>60</v>
      </c>
      <c r="P1140" s="27" t="s">
        <v>90</v>
      </c>
      <c r="Q1140" s="27" t="s">
        <v>2136</v>
      </c>
      <c r="R1140" s="33">
        <v>94601</v>
      </c>
      <c r="S1140" s="34">
        <v>42105</v>
      </c>
      <c r="T1140" s="34">
        <v>42107</v>
      </c>
      <c r="U1140" s="29">
        <v>211.232</v>
      </c>
      <c r="V1140" s="26">
        <v>21</v>
      </c>
      <c r="W1140" s="29">
        <v>394.1</v>
      </c>
      <c r="X1140" s="26">
        <v>90292</v>
      </c>
      <c r="Y1140" s="35">
        <v>5.77</v>
      </c>
      <c r="Z1140" s="1" t="s">
        <v>3013</v>
      </c>
      <c r="AA1140" s="36">
        <v>36.344699999999996</v>
      </c>
      <c r="AB1140" s="54">
        <v>220.69600000000003</v>
      </c>
      <c r="AC1140" s="54">
        <v>8.2573333333333352</v>
      </c>
      <c r="AD1140" s="36">
        <v>140.37330000000003</v>
      </c>
    </row>
    <row r="1141" spans="1:30" s="37" customFormat="1" ht="15.75" customHeight="1" x14ac:dyDescent="0.2">
      <c r="A1141" s="26">
        <v>1712</v>
      </c>
      <c r="B1141" s="27" t="s">
        <v>2137</v>
      </c>
      <c r="C1141" s="27" t="s">
        <v>48</v>
      </c>
      <c r="D1141" s="28">
        <v>0.03</v>
      </c>
      <c r="E1141" s="29">
        <v>11.66</v>
      </c>
      <c r="F1141" s="29">
        <v>7.95</v>
      </c>
      <c r="G1141" s="30" t="s">
        <v>39</v>
      </c>
      <c r="H1141" s="27" t="s">
        <v>94</v>
      </c>
      <c r="I1141" s="27" t="s">
        <v>49</v>
      </c>
      <c r="J1141" s="27" t="s">
        <v>50</v>
      </c>
      <c r="K1141" s="27" t="s">
        <v>43</v>
      </c>
      <c r="L1141" s="31" t="s">
        <v>2138</v>
      </c>
      <c r="M1141" s="32">
        <v>0.57999999999999996</v>
      </c>
      <c r="N1141" s="27" t="s">
        <v>33</v>
      </c>
      <c r="O1141" s="27" t="s">
        <v>34</v>
      </c>
      <c r="P1141" s="27" t="s">
        <v>75</v>
      </c>
      <c r="Q1141" s="27" t="s">
        <v>2139</v>
      </c>
      <c r="R1141" s="33">
        <v>30907</v>
      </c>
      <c r="S1141" s="34">
        <v>42105</v>
      </c>
      <c r="T1141" s="34">
        <v>42114</v>
      </c>
      <c r="U1141" s="29">
        <v>-31.094000000000001</v>
      </c>
      <c r="V1141" s="26">
        <v>22</v>
      </c>
      <c r="W1141" s="29">
        <v>267.32</v>
      </c>
      <c r="X1141" s="26">
        <v>87749</v>
      </c>
      <c r="Y1141" s="35">
        <v>12.22</v>
      </c>
      <c r="Z1141" s="1" t="s">
        <v>3011</v>
      </c>
      <c r="AA1141" s="36">
        <v>7.6955999999999998</v>
      </c>
      <c r="AB1141" s="54">
        <v>112.27440000000001</v>
      </c>
      <c r="AC1141" s="54">
        <v>7.0475272727272715</v>
      </c>
      <c r="AD1141" s="36">
        <v>282.76839999999999</v>
      </c>
    </row>
    <row r="1142" spans="1:30" s="37" customFormat="1" ht="15.75" customHeight="1" x14ac:dyDescent="0.2">
      <c r="A1142" s="26">
        <v>2862</v>
      </c>
      <c r="B1142" s="27" t="s">
        <v>2134</v>
      </c>
      <c r="C1142" s="27" t="s">
        <v>38</v>
      </c>
      <c r="D1142" s="28">
        <v>0</v>
      </c>
      <c r="E1142" s="29">
        <v>12.22</v>
      </c>
      <c r="F1142" s="29">
        <v>2.85</v>
      </c>
      <c r="G1142" s="30" t="s">
        <v>39</v>
      </c>
      <c r="H1142" s="27" t="s">
        <v>94</v>
      </c>
      <c r="I1142" s="27" t="s">
        <v>29</v>
      </c>
      <c r="J1142" s="27" t="s">
        <v>126</v>
      </c>
      <c r="K1142" s="27" t="s">
        <v>43</v>
      </c>
      <c r="L1142" s="31" t="s">
        <v>2086</v>
      </c>
      <c r="M1142" s="32">
        <v>0.55000000000000004</v>
      </c>
      <c r="N1142" s="27" t="s">
        <v>33</v>
      </c>
      <c r="O1142" s="27" t="s">
        <v>53</v>
      </c>
      <c r="P1142" s="27" t="s">
        <v>133</v>
      </c>
      <c r="Q1142" s="27" t="s">
        <v>2041</v>
      </c>
      <c r="R1142" s="33">
        <v>68128</v>
      </c>
      <c r="S1142" s="34">
        <v>42105</v>
      </c>
      <c r="T1142" s="34">
        <v>42106</v>
      </c>
      <c r="U1142" s="29">
        <v>76.389899999999997</v>
      </c>
      <c r="V1142" s="26">
        <v>9</v>
      </c>
      <c r="W1142" s="29">
        <v>110.71</v>
      </c>
      <c r="X1142" s="26">
        <v>88278</v>
      </c>
      <c r="Y1142" s="35">
        <v>19.14</v>
      </c>
      <c r="Z1142" s="1" t="s">
        <v>3012</v>
      </c>
      <c r="AA1142" s="36">
        <v>0</v>
      </c>
      <c r="AB1142" s="54">
        <v>49.819499999999991</v>
      </c>
      <c r="AC1142" s="54">
        <v>6.7656111111111112</v>
      </c>
      <c r="AD1142" s="36">
        <v>31.470100000000002</v>
      </c>
    </row>
    <row r="1143" spans="1:30" s="37" customFormat="1" ht="15.75" customHeight="1" x14ac:dyDescent="0.2">
      <c r="A1143" s="26">
        <v>445</v>
      </c>
      <c r="B1143" s="27" t="s">
        <v>2142</v>
      </c>
      <c r="C1143" s="27" t="s">
        <v>3094</v>
      </c>
      <c r="D1143" s="28">
        <v>0.03</v>
      </c>
      <c r="E1143" s="29">
        <v>48.04</v>
      </c>
      <c r="F1143" s="29">
        <v>19.989999999999998</v>
      </c>
      <c r="G1143" s="30" t="s">
        <v>39</v>
      </c>
      <c r="H1143" s="27" t="s">
        <v>3095</v>
      </c>
      <c r="I1143" s="27" t="s">
        <v>49</v>
      </c>
      <c r="J1143" s="27" t="s">
        <v>88</v>
      </c>
      <c r="K1143" s="27" t="s">
        <v>73</v>
      </c>
      <c r="L1143" s="31" t="s">
        <v>2143</v>
      </c>
      <c r="M1143" s="32">
        <v>0.37</v>
      </c>
      <c r="N1143" s="27" t="s">
        <v>33</v>
      </c>
      <c r="O1143" s="27" t="s">
        <v>53</v>
      </c>
      <c r="P1143" s="27" t="s">
        <v>133</v>
      </c>
      <c r="Q1143" s="27" t="s">
        <v>1377</v>
      </c>
      <c r="R1143" s="33">
        <v>68701</v>
      </c>
      <c r="S1143" s="34">
        <v>42105</v>
      </c>
      <c r="T1143" s="34">
        <v>42107</v>
      </c>
      <c r="U1143" s="29">
        <v>-4.46</v>
      </c>
      <c r="V1143" s="26">
        <v>2</v>
      </c>
      <c r="W1143" s="29">
        <v>101.71</v>
      </c>
      <c r="X1143" s="26">
        <v>88083</v>
      </c>
      <c r="Y1143" s="35">
        <v>11.63</v>
      </c>
      <c r="Z1143" s="1" t="s">
        <v>3012</v>
      </c>
      <c r="AA1143" s="36">
        <v>2.8823999999999996</v>
      </c>
      <c r="AB1143" s="54">
        <v>64.077299999999994</v>
      </c>
      <c r="AC1143" s="54">
        <v>18.81635</v>
      </c>
      <c r="AD1143" s="36">
        <v>83.297599999999989</v>
      </c>
    </row>
    <row r="1144" spans="1:30" s="37" customFormat="1" ht="15.75" customHeight="1" x14ac:dyDescent="0.2">
      <c r="A1144" s="26">
        <v>2363</v>
      </c>
      <c r="B1144" s="27" t="s">
        <v>2131</v>
      </c>
      <c r="C1144" s="27" t="s">
        <v>38</v>
      </c>
      <c r="D1144" s="28">
        <v>0</v>
      </c>
      <c r="E1144" s="29">
        <v>5.77</v>
      </c>
      <c r="F1144" s="29">
        <v>5.92</v>
      </c>
      <c r="G1144" s="30" t="s">
        <v>39</v>
      </c>
      <c r="H1144" s="27" t="s">
        <v>71</v>
      </c>
      <c r="I1144" s="27" t="s">
        <v>29</v>
      </c>
      <c r="J1144" s="27" t="s">
        <v>126</v>
      </c>
      <c r="K1144" s="27" t="s">
        <v>144</v>
      </c>
      <c r="L1144" s="31" t="s">
        <v>2132</v>
      </c>
      <c r="M1144" s="32">
        <v>0.55000000000000004</v>
      </c>
      <c r="N1144" s="27" t="s">
        <v>33</v>
      </c>
      <c r="O1144" s="27" t="s">
        <v>111</v>
      </c>
      <c r="P1144" s="27" t="s">
        <v>317</v>
      </c>
      <c r="Q1144" s="27" t="s">
        <v>2133</v>
      </c>
      <c r="R1144" s="33">
        <v>44256</v>
      </c>
      <c r="S1144" s="34">
        <v>42105</v>
      </c>
      <c r="T1144" s="34">
        <v>42107</v>
      </c>
      <c r="U1144" s="29">
        <v>-61.5276</v>
      </c>
      <c r="V1144" s="26">
        <v>11</v>
      </c>
      <c r="W1144" s="29">
        <v>69.89</v>
      </c>
      <c r="X1144" s="26">
        <v>90040</v>
      </c>
      <c r="Y1144" s="35">
        <v>7.2700000000000005</v>
      </c>
      <c r="Z1144" s="1" t="s">
        <v>3014</v>
      </c>
      <c r="AA1144" s="36">
        <v>0</v>
      </c>
      <c r="AB1144" s="54">
        <v>31.450499999999998</v>
      </c>
      <c r="AC1144" s="54">
        <v>3.4945000000000004</v>
      </c>
      <c r="AD1144" s="36">
        <v>125.49760000000001</v>
      </c>
    </row>
    <row r="1145" spans="1:30" s="37" customFormat="1" ht="15.75" customHeight="1" x14ac:dyDescent="0.2">
      <c r="A1145" s="26">
        <v>721</v>
      </c>
      <c r="B1145" s="27" t="s">
        <v>2140</v>
      </c>
      <c r="C1145" s="27" t="s">
        <v>116</v>
      </c>
      <c r="D1145" s="28">
        <v>0.01</v>
      </c>
      <c r="E1145" s="29">
        <v>7.28</v>
      </c>
      <c r="F1145" s="29">
        <v>11.15</v>
      </c>
      <c r="G1145" s="30" t="s">
        <v>39</v>
      </c>
      <c r="H1145" s="27" t="s">
        <v>94</v>
      </c>
      <c r="I1145" s="27" t="s">
        <v>49</v>
      </c>
      <c r="J1145" s="27" t="s">
        <v>88</v>
      </c>
      <c r="K1145" s="27" t="s">
        <v>73</v>
      </c>
      <c r="L1145" s="31" t="s">
        <v>975</v>
      </c>
      <c r="M1145" s="32">
        <v>0.37</v>
      </c>
      <c r="N1145" s="27" t="s">
        <v>33</v>
      </c>
      <c r="O1145" s="27" t="s">
        <v>53</v>
      </c>
      <c r="P1145" s="27" t="s">
        <v>54</v>
      </c>
      <c r="Q1145" s="27" t="s">
        <v>2141</v>
      </c>
      <c r="R1145" s="33">
        <v>46041</v>
      </c>
      <c r="S1145" s="34">
        <v>42105</v>
      </c>
      <c r="T1145" s="34">
        <v>42107</v>
      </c>
      <c r="U1145" s="29">
        <v>-24.245999999999999</v>
      </c>
      <c r="V1145" s="26">
        <v>1</v>
      </c>
      <c r="W1145" s="29">
        <v>11.21</v>
      </c>
      <c r="X1145" s="26">
        <v>91054</v>
      </c>
      <c r="Y1145" s="35">
        <v>48.01</v>
      </c>
      <c r="Z1145" s="1" t="s">
        <v>3012</v>
      </c>
      <c r="AA1145" s="36">
        <v>7.2800000000000004E-2</v>
      </c>
      <c r="AB1145" s="54">
        <v>7.0623000000000005</v>
      </c>
      <c r="AC1145" s="54">
        <v>4.1477000000000004</v>
      </c>
      <c r="AD1145" s="36">
        <v>24.233199999999997</v>
      </c>
    </row>
    <row r="1146" spans="1:30" s="37" customFormat="1" ht="15.75" customHeight="1" x14ac:dyDescent="0.2">
      <c r="A1146" s="26">
        <v>754</v>
      </c>
      <c r="B1146" s="27" t="s">
        <v>2150</v>
      </c>
      <c r="C1146" s="27" t="s">
        <v>48</v>
      </c>
      <c r="D1146" s="28">
        <v>0.06</v>
      </c>
      <c r="E1146" s="29">
        <v>119.99</v>
      </c>
      <c r="F1146" s="29">
        <v>14</v>
      </c>
      <c r="G1146" s="30" t="s">
        <v>27</v>
      </c>
      <c r="H1146" s="27" t="s">
        <v>40</v>
      </c>
      <c r="I1146" s="27" t="s">
        <v>41</v>
      </c>
      <c r="J1146" s="27" t="s">
        <v>57</v>
      </c>
      <c r="K1146" s="27" t="s">
        <v>58</v>
      </c>
      <c r="L1146" s="31" t="s">
        <v>2151</v>
      </c>
      <c r="M1146" s="32">
        <v>0.36</v>
      </c>
      <c r="N1146" s="27" t="s">
        <v>33</v>
      </c>
      <c r="O1146" s="27" t="s">
        <v>60</v>
      </c>
      <c r="P1146" s="27" t="s">
        <v>588</v>
      </c>
      <c r="Q1146" s="27" t="s">
        <v>2152</v>
      </c>
      <c r="R1146" s="33">
        <v>86314</v>
      </c>
      <c r="S1146" s="34">
        <v>42106</v>
      </c>
      <c r="T1146" s="34">
        <v>42113</v>
      </c>
      <c r="U1146" s="29">
        <v>-207.679788</v>
      </c>
      <c r="V1146" s="26">
        <v>2</v>
      </c>
      <c r="W1146" s="29">
        <v>243.86</v>
      </c>
      <c r="X1146" s="26">
        <v>90439</v>
      </c>
      <c r="Y1146" s="35">
        <v>35.46</v>
      </c>
      <c r="Z1146" s="1" t="s">
        <v>3013</v>
      </c>
      <c r="AA1146" s="36">
        <v>14.3988</v>
      </c>
      <c r="AB1146" s="54">
        <v>156.07040000000001</v>
      </c>
      <c r="AC1146" s="54">
        <v>43.894800000000004</v>
      </c>
      <c r="AD1146" s="36">
        <v>423.14098799999999</v>
      </c>
    </row>
    <row r="1147" spans="1:30" s="37" customFormat="1" ht="15.75" customHeight="1" x14ac:dyDescent="0.2">
      <c r="A1147" s="26">
        <v>920</v>
      </c>
      <c r="B1147" s="27" t="s">
        <v>1881</v>
      </c>
      <c r="C1147" s="27" t="s">
        <v>38</v>
      </c>
      <c r="D1147" s="28">
        <v>0.03</v>
      </c>
      <c r="E1147" s="29">
        <v>8.0399999999999991</v>
      </c>
      <c r="F1147" s="29">
        <v>8.94</v>
      </c>
      <c r="G1147" s="30" t="s">
        <v>39</v>
      </c>
      <c r="H1147" s="27" t="s">
        <v>40</v>
      </c>
      <c r="I1147" s="27" t="s">
        <v>49</v>
      </c>
      <c r="J1147" s="27" t="s">
        <v>72</v>
      </c>
      <c r="K1147" s="27" t="s">
        <v>73</v>
      </c>
      <c r="L1147" s="31" t="s">
        <v>2149</v>
      </c>
      <c r="M1147" s="32">
        <v>0.4</v>
      </c>
      <c r="N1147" s="27" t="s">
        <v>33</v>
      </c>
      <c r="O1147" s="27" t="s">
        <v>60</v>
      </c>
      <c r="P1147" s="27" t="s">
        <v>90</v>
      </c>
      <c r="Q1147" s="27" t="s">
        <v>1229</v>
      </c>
      <c r="R1147" s="33">
        <v>92374</v>
      </c>
      <c r="S1147" s="34">
        <v>42106</v>
      </c>
      <c r="T1147" s="34">
        <v>42108</v>
      </c>
      <c r="U1147" s="29">
        <v>-160.27549999999999</v>
      </c>
      <c r="V1147" s="26">
        <v>9</v>
      </c>
      <c r="W1147" s="29">
        <v>76.77</v>
      </c>
      <c r="X1147" s="26">
        <v>90492</v>
      </c>
      <c r="Y1147" s="35">
        <v>8.24</v>
      </c>
      <c r="Z1147" s="1" t="s">
        <v>3013</v>
      </c>
      <c r="AA1147" s="36">
        <v>2.1707999999999998</v>
      </c>
      <c r="AB1147" s="54">
        <v>46.061999999999998</v>
      </c>
      <c r="AC1147" s="54">
        <v>3.4119999999999999</v>
      </c>
      <c r="AD1147" s="36">
        <v>225.93469999999996</v>
      </c>
    </row>
    <row r="1148" spans="1:30" s="37" customFormat="1" ht="15.75" customHeight="1" x14ac:dyDescent="0.2">
      <c r="A1148" s="26">
        <v>918</v>
      </c>
      <c r="B1148" s="27" t="s">
        <v>2144</v>
      </c>
      <c r="C1148" s="27" t="s">
        <v>38</v>
      </c>
      <c r="D1148" s="28">
        <v>0.05</v>
      </c>
      <c r="E1148" s="29">
        <v>35.51</v>
      </c>
      <c r="F1148" s="29">
        <v>6.31</v>
      </c>
      <c r="G1148" s="30" t="s">
        <v>39</v>
      </c>
      <c r="H1148" s="27" t="s">
        <v>40</v>
      </c>
      <c r="I1148" s="27" t="s">
        <v>49</v>
      </c>
      <c r="J1148" s="27" t="s">
        <v>78</v>
      </c>
      <c r="K1148" s="27" t="s">
        <v>73</v>
      </c>
      <c r="L1148" s="31" t="s">
        <v>2145</v>
      </c>
      <c r="M1148" s="32">
        <v>0.57999999999999996</v>
      </c>
      <c r="N1148" s="27" t="s">
        <v>33</v>
      </c>
      <c r="O1148" s="27" t="s">
        <v>60</v>
      </c>
      <c r="P1148" s="27" t="s">
        <v>90</v>
      </c>
      <c r="Q1148" s="27" t="s">
        <v>2146</v>
      </c>
      <c r="R1148" s="33">
        <v>91730</v>
      </c>
      <c r="S1148" s="34">
        <v>42106</v>
      </c>
      <c r="T1148" s="34">
        <v>42108</v>
      </c>
      <c r="U1148" s="29">
        <v>6.11</v>
      </c>
      <c r="V1148" s="26">
        <v>2</v>
      </c>
      <c r="W1148" s="29">
        <v>73.099999999999994</v>
      </c>
      <c r="X1148" s="26">
        <v>90492</v>
      </c>
      <c r="Y1148" s="35">
        <v>8.01</v>
      </c>
      <c r="Z1148" s="1" t="s">
        <v>3013</v>
      </c>
      <c r="AA1148" s="36">
        <v>3.5510000000000002</v>
      </c>
      <c r="AB1148" s="54">
        <v>30.702000000000002</v>
      </c>
      <c r="AC1148" s="54">
        <v>21.198999999999998</v>
      </c>
      <c r="AD1148" s="36">
        <v>57.128999999999991</v>
      </c>
    </row>
    <row r="1149" spans="1:30" s="37" customFormat="1" ht="15.75" customHeight="1" x14ac:dyDescent="0.2">
      <c r="A1149" s="26">
        <v>3221</v>
      </c>
      <c r="B1149" s="27" t="s">
        <v>2153</v>
      </c>
      <c r="C1149" s="27" t="s">
        <v>3094</v>
      </c>
      <c r="D1149" s="28">
        <v>0.03</v>
      </c>
      <c r="E1149" s="29">
        <v>6.68</v>
      </c>
      <c r="F1149" s="29">
        <v>1.5</v>
      </c>
      <c r="G1149" s="30" t="s">
        <v>39</v>
      </c>
      <c r="H1149" s="27" t="s">
        <v>94</v>
      </c>
      <c r="I1149" s="27" t="s">
        <v>49</v>
      </c>
      <c r="J1149" s="27" t="s">
        <v>50</v>
      </c>
      <c r="K1149" s="27" t="s">
        <v>51</v>
      </c>
      <c r="L1149" s="31" t="s">
        <v>1868</v>
      </c>
      <c r="M1149" s="32">
        <v>0.48</v>
      </c>
      <c r="N1149" s="27" t="s">
        <v>33</v>
      </c>
      <c r="O1149" s="27" t="s">
        <v>34</v>
      </c>
      <c r="P1149" s="27" t="s">
        <v>123</v>
      </c>
      <c r="Q1149" s="27" t="s">
        <v>2154</v>
      </c>
      <c r="R1149" s="33">
        <v>33322</v>
      </c>
      <c r="S1149" s="34">
        <v>42106</v>
      </c>
      <c r="T1149" s="34">
        <v>42107</v>
      </c>
      <c r="U1149" s="29">
        <v>-577.30399999999997</v>
      </c>
      <c r="V1149" s="26">
        <v>7</v>
      </c>
      <c r="W1149" s="29">
        <v>48.32</v>
      </c>
      <c r="X1149" s="26">
        <v>90815</v>
      </c>
      <c r="Y1149" s="35">
        <v>119.92999999999999</v>
      </c>
      <c r="Z1149" s="1" t="s">
        <v>3011</v>
      </c>
      <c r="AA1149" s="36">
        <v>1.4028</v>
      </c>
      <c r="AB1149" s="54">
        <v>25.1264</v>
      </c>
      <c r="AC1149" s="54">
        <v>3.3133714285714286</v>
      </c>
      <c r="AD1149" s="36">
        <v>622.72120000000007</v>
      </c>
    </row>
    <row r="1150" spans="1:30" s="37" customFormat="1" ht="15.75" customHeight="1" x14ac:dyDescent="0.2">
      <c r="A1150" s="26">
        <v>919</v>
      </c>
      <c r="B1150" s="27" t="s">
        <v>2147</v>
      </c>
      <c r="C1150" s="27" t="s">
        <v>38</v>
      </c>
      <c r="D1150" s="28">
        <v>0.1</v>
      </c>
      <c r="E1150" s="29">
        <v>8.34</v>
      </c>
      <c r="F1150" s="29">
        <v>2.64</v>
      </c>
      <c r="G1150" s="30" t="s">
        <v>39</v>
      </c>
      <c r="H1150" s="27" t="s">
        <v>40</v>
      </c>
      <c r="I1150" s="27" t="s">
        <v>49</v>
      </c>
      <c r="J1150" s="27" t="s">
        <v>568</v>
      </c>
      <c r="K1150" s="27" t="s">
        <v>43</v>
      </c>
      <c r="L1150" s="31" t="s">
        <v>883</v>
      </c>
      <c r="M1150" s="32">
        <v>0.59</v>
      </c>
      <c r="N1150" s="27" t="s">
        <v>33</v>
      </c>
      <c r="O1150" s="27" t="s">
        <v>60</v>
      </c>
      <c r="P1150" s="27" t="s">
        <v>90</v>
      </c>
      <c r="Q1150" s="27" t="s">
        <v>2148</v>
      </c>
      <c r="R1150" s="33">
        <v>96003</v>
      </c>
      <c r="S1150" s="34">
        <v>42106</v>
      </c>
      <c r="T1150" s="34">
        <v>42106</v>
      </c>
      <c r="U1150" s="29">
        <v>-6.34</v>
      </c>
      <c r="V1150" s="26">
        <v>6</v>
      </c>
      <c r="W1150" s="29">
        <v>47.95</v>
      </c>
      <c r="X1150" s="26">
        <v>90492</v>
      </c>
      <c r="Y1150" s="35">
        <v>6.6499999999999995</v>
      </c>
      <c r="Z1150" s="1" t="s">
        <v>3013</v>
      </c>
      <c r="AA1150" s="36">
        <v>5.0040000000000004</v>
      </c>
      <c r="AB1150" s="54">
        <v>19.659500000000001</v>
      </c>
      <c r="AC1150" s="54">
        <v>4.7150833333333333</v>
      </c>
      <c r="AD1150" s="36">
        <v>46.646000000000001</v>
      </c>
    </row>
    <row r="1151" spans="1:30" s="37" customFormat="1" ht="15.75" customHeight="1" x14ac:dyDescent="0.2">
      <c r="A1151" s="26">
        <v>2973</v>
      </c>
      <c r="B1151" s="27" t="s">
        <v>2161</v>
      </c>
      <c r="C1151" s="27" t="s">
        <v>38</v>
      </c>
      <c r="D1151" s="28">
        <v>0.08</v>
      </c>
      <c r="E1151" s="29">
        <v>125.99</v>
      </c>
      <c r="F1151" s="29">
        <v>7.69</v>
      </c>
      <c r="G1151" s="30" t="s">
        <v>39</v>
      </c>
      <c r="H1151" s="27" t="s">
        <v>71</v>
      </c>
      <c r="I1151" s="27" t="s">
        <v>41</v>
      </c>
      <c r="J1151" s="27" t="s">
        <v>135</v>
      </c>
      <c r="K1151" s="27" t="s">
        <v>73</v>
      </c>
      <c r="L1151" s="31" t="s">
        <v>1049</v>
      </c>
      <c r="M1151" s="32">
        <v>0.57999999999999996</v>
      </c>
      <c r="N1151" s="27" t="s">
        <v>33</v>
      </c>
      <c r="O1151" s="27" t="s">
        <v>53</v>
      </c>
      <c r="P1151" s="27" t="s">
        <v>357</v>
      </c>
      <c r="Q1151" s="27" t="s">
        <v>2163</v>
      </c>
      <c r="R1151" s="33">
        <v>53151</v>
      </c>
      <c r="S1151" s="34">
        <v>42107</v>
      </c>
      <c r="T1151" s="34">
        <v>42109</v>
      </c>
      <c r="U1151" s="29">
        <v>1269.3819599999999</v>
      </c>
      <c r="V1151" s="26">
        <v>23</v>
      </c>
      <c r="W1151" s="29">
        <v>2424.6799999999998</v>
      </c>
      <c r="X1151" s="26">
        <v>87186</v>
      </c>
      <c r="Y1151" s="35">
        <v>1.8299999999999998</v>
      </c>
      <c r="Z1151" s="1" t="s">
        <v>3012</v>
      </c>
      <c r="AA1151" s="36">
        <v>231.82159999999999</v>
      </c>
      <c r="AB1151" s="54">
        <v>1018.3656</v>
      </c>
      <c r="AC1151" s="54">
        <v>61.14410434782608</v>
      </c>
      <c r="AD1151" s="36">
        <v>915.78643999999986</v>
      </c>
    </row>
    <row r="1152" spans="1:30" s="37" customFormat="1" ht="15.75" customHeight="1" x14ac:dyDescent="0.2">
      <c r="A1152" s="26">
        <v>2973</v>
      </c>
      <c r="B1152" s="27" t="s">
        <v>2161</v>
      </c>
      <c r="C1152" s="27" t="s">
        <v>38</v>
      </c>
      <c r="D1152" s="28">
        <v>0.01</v>
      </c>
      <c r="E1152" s="29">
        <v>30.97</v>
      </c>
      <c r="F1152" s="29">
        <v>4</v>
      </c>
      <c r="G1152" s="30" t="s">
        <v>39</v>
      </c>
      <c r="H1152" s="27" t="s">
        <v>71</v>
      </c>
      <c r="I1152" s="27" t="s">
        <v>41</v>
      </c>
      <c r="J1152" s="27" t="s">
        <v>42</v>
      </c>
      <c r="K1152" s="27" t="s">
        <v>73</v>
      </c>
      <c r="L1152" s="31" t="s">
        <v>2162</v>
      </c>
      <c r="M1152" s="32">
        <v>0.74</v>
      </c>
      <c r="N1152" s="27" t="s">
        <v>33</v>
      </c>
      <c r="O1152" s="27" t="s">
        <v>53</v>
      </c>
      <c r="P1152" s="27" t="s">
        <v>357</v>
      </c>
      <c r="Q1152" s="27" t="s">
        <v>2163</v>
      </c>
      <c r="R1152" s="33">
        <v>53151</v>
      </c>
      <c r="S1152" s="34">
        <v>42107</v>
      </c>
      <c r="T1152" s="34">
        <v>42109</v>
      </c>
      <c r="U1152" s="29">
        <v>17.102799999999998</v>
      </c>
      <c r="V1152" s="26">
        <v>17</v>
      </c>
      <c r="W1152" s="29">
        <v>523.05999999999995</v>
      </c>
      <c r="X1152" s="26">
        <v>87186</v>
      </c>
      <c r="Y1152" s="35">
        <v>12.149999999999999</v>
      </c>
      <c r="Z1152" s="1" t="s">
        <v>3012</v>
      </c>
      <c r="AA1152" s="36">
        <v>5.2648999999999999</v>
      </c>
      <c r="AB1152" s="54">
        <v>135.9956</v>
      </c>
      <c r="AC1152" s="54">
        <v>22.768494117647055</v>
      </c>
      <c r="AD1152" s="36">
        <v>496.69229999999993</v>
      </c>
    </row>
    <row r="1153" spans="1:30" s="37" customFormat="1" ht="15.75" customHeight="1" x14ac:dyDescent="0.2">
      <c r="A1153" s="26">
        <v>2738</v>
      </c>
      <c r="B1153" s="27" t="s">
        <v>2157</v>
      </c>
      <c r="C1153" s="27" t="s">
        <v>26</v>
      </c>
      <c r="D1153" s="28">
        <v>0.02</v>
      </c>
      <c r="E1153" s="29">
        <v>33.979999999999997</v>
      </c>
      <c r="F1153" s="29">
        <v>1.99</v>
      </c>
      <c r="G1153" s="30" t="s">
        <v>39</v>
      </c>
      <c r="H1153" s="27" t="s">
        <v>3095</v>
      </c>
      <c r="I1153" s="27" t="s">
        <v>41</v>
      </c>
      <c r="J1153" s="27" t="s">
        <v>42</v>
      </c>
      <c r="K1153" s="27" t="s">
        <v>43</v>
      </c>
      <c r="L1153" s="31" t="s">
        <v>2158</v>
      </c>
      <c r="M1153" s="32">
        <v>0.45</v>
      </c>
      <c r="N1153" s="27" t="s">
        <v>33</v>
      </c>
      <c r="O1153" s="27" t="s">
        <v>111</v>
      </c>
      <c r="P1153" s="27" t="s">
        <v>633</v>
      </c>
      <c r="Q1153" s="27" t="s">
        <v>634</v>
      </c>
      <c r="R1153" s="33">
        <v>5403</v>
      </c>
      <c r="S1153" s="34">
        <v>42107</v>
      </c>
      <c r="T1153" s="34">
        <v>42109</v>
      </c>
      <c r="U1153" s="29">
        <v>164.06129999999999</v>
      </c>
      <c r="V1153" s="26">
        <v>7</v>
      </c>
      <c r="W1153" s="29">
        <v>237.77</v>
      </c>
      <c r="X1153" s="26">
        <v>89017</v>
      </c>
      <c r="Y1153" s="35">
        <v>33.959999999999994</v>
      </c>
      <c r="Z1153" s="1" t="s">
        <v>3014</v>
      </c>
      <c r="AA1153" s="36">
        <v>4.7572000000000001</v>
      </c>
      <c r="AB1153" s="54">
        <v>130.77350000000001</v>
      </c>
      <c r="AC1153" s="54">
        <v>15.285214285714288</v>
      </c>
      <c r="AD1153" s="36">
        <v>66.961500000000001</v>
      </c>
    </row>
    <row r="1154" spans="1:30" s="37" customFormat="1" ht="15.75" customHeight="1" x14ac:dyDescent="0.2">
      <c r="A1154" s="26">
        <v>1561</v>
      </c>
      <c r="B1154" s="27" t="s">
        <v>1452</v>
      </c>
      <c r="C1154" s="27" t="s">
        <v>26</v>
      </c>
      <c r="D1154" s="28">
        <v>0.05</v>
      </c>
      <c r="E1154" s="29">
        <v>12.2</v>
      </c>
      <c r="F1154" s="29">
        <v>6.02</v>
      </c>
      <c r="G1154" s="30" t="s">
        <v>39</v>
      </c>
      <c r="H1154" s="27" t="s">
        <v>94</v>
      </c>
      <c r="I1154" s="27" t="s">
        <v>29</v>
      </c>
      <c r="J1154" s="27" t="s">
        <v>126</v>
      </c>
      <c r="K1154" s="27" t="s">
        <v>43</v>
      </c>
      <c r="L1154" s="31" t="s">
        <v>2156</v>
      </c>
      <c r="M1154" s="32">
        <v>0.43</v>
      </c>
      <c r="N1154" s="27" t="s">
        <v>33</v>
      </c>
      <c r="O1154" s="27" t="s">
        <v>53</v>
      </c>
      <c r="P1154" s="27" t="s">
        <v>187</v>
      </c>
      <c r="Q1154" s="27" t="s">
        <v>1454</v>
      </c>
      <c r="R1154" s="33">
        <v>76063</v>
      </c>
      <c r="S1154" s="34">
        <v>42107</v>
      </c>
      <c r="T1154" s="34">
        <v>42108</v>
      </c>
      <c r="U1154" s="29">
        <v>-6.6420000000000003</v>
      </c>
      <c r="V1154" s="26">
        <v>5</v>
      </c>
      <c r="W1154" s="29">
        <v>63.93</v>
      </c>
      <c r="X1154" s="26">
        <v>88094</v>
      </c>
      <c r="Y1154" s="35">
        <v>7.2</v>
      </c>
      <c r="Z1154" s="1" t="s">
        <v>3012</v>
      </c>
      <c r="AA1154" s="36">
        <v>3.05</v>
      </c>
      <c r="AB1154" s="54">
        <v>36.440100000000001</v>
      </c>
      <c r="AC1154" s="54">
        <v>5.4979800000000001</v>
      </c>
      <c r="AD1154" s="36">
        <v>61.502000000000002</v>
      </c>
    </row>
    <row r="1155" spans="1:30" s="37" customFormat="1" ht="15.75" customHeight="1" x14ac:dyDescent="0.2">
      <c r="A1155" s="26">
        <v>2250</v>
      </c>
      <c r="B1155" s="27" t="s">
        <v>2164</v>
      </c>
      <c r="C1155" s="27" t="s">
        <v>48</v>
      </c>
      <c r="D1155" s="28">
        <v>0</v>
      </c>
      <c r="E1155" s="29">
        <v>2.08</v>
      </c>
      <c r="F1155" s="29">
        <v>5.33</v>
      </c>
      <c r="G1155" s="30" t="s">
        <v>39</v>
      </c>
      <c r="H1155" s="27" t="s">
        <v>71</v>
      </c>
      <c r="I1155" s="27" t="s">
        <v>29</v>
      </c>
      <c r="J1155" s="27" t="s">
        <v>126</v>
      </c>
      <c r="K1155" s="27" t="s">
        <v>73</v>
      </c>
      <c r="L1155" s="31" t="s">
        <v>459</v>
      </c>
      <c r="M1155" s="32">
        <v>0.43</v>
      </c>
      <c r="N1155" s="27" t="s">
        <v>33</v>
      </c>
      <c r="O1155" s="27" t="s">
        <v>111</v>
      </c>
      <c r="P1155" s="27" t="s">
        <v>320</v>
      </c>
      <c r="Q1155" s="27" t="s">
        <v>2165</v>
      </c>
      <c r="R1155" s="33">
        <v>16801</v>
      </c>
      <c r="S1155" s="34">
        <v>42107</v>
      </c>
      <c r="T1155" s="34">
        <v>42114</v>
      </c>
      <c r="U1155" s="29">
        <v>-192.5532</v>
      </c>
      <c r="V1155" s="26">
        <v>22</v>
      </c>
      <c r="W1155" s="29">
        <v>51.41</v>
      </c>
      <c r="X1155" s="26">
        <v>86699</v>
      </c>
      <c r="Y1155" s="35">
        <v>30.959999999999997</v>
      </c>
      <c r="Z1155" s="1" t="s">
        <v>3014</v>
      </c>
      <c r="AA1155" s="36">
        <v>0</v>
      </c>
      <c r="AB1155" s="54">
        <v>29.303700000000003</v>
      </c>
      <c r="AC1155" s="54">
        <v>1.0048318181818181</v>
      </c>
      <c r="AD1155" s="36">
        <v>238.63319999999999</v>
      </c>
    </row>
    <row r="1156" spans="1:30" s="37" customFormat="1" ht="15.75" customHeight="1" x14ac:dyDescent="0.2">
      <c r="A1156" s="26">
        <v>3169</v>
      </c>
      <c r="B1156" s="27" t="s">
        <v>2159</v>
      </c>
      <c r="C1156" s="27" t="s">
        <v>26</v>
      </c>
      <c r="D1156" s="28">
        <v>0.08</v>
      </c>
      <c r="E1156" s="29">
        <v>7.28</v>
      </c>
      <c r="F1156" s="29">
        <v>11.15</v>
      </c>
      <c r="G1156" s="30" t="s">
        <v>87</v>
      </c>
      <c r="H1156" s="27" t="s">
        <v>3095</v>
      </c>
      <c r="I1156" s="27" t="s">
        <v>49</v>
      </c>
      <c r="J1156" s="27" t="s">
        <v>88</v>
      </c>
      <c r="K1156" s="27" t="s">
        <v>73</v>
      </c>
      <c r="L1156" s="31" t="s">
        <v>975</v>
      </c>
      <c r="M1156" s="32">
        <v>0.37</v>
      </c>
      <c r="N1156" s="27" t="s">
        <v>33</v>
      </c>
      <c r="O1156" s="27" t="s">
        <v>34</v>
      </c>
      <c r="P1156" s="27" t="s">
        <v>123</v>
      </c>
      <c r="Q1156" s="27" t="s">
        <v>2160</v>
      </c>
      <c r="R1156" s="33">
        <v>32127</v>
      </c>
      <c r="S1156" s="34">
        <v>42107</v>
      </c>
      <c r="T1156" s="34">
        <v>42108</v>
      </c>
      <c r="U1156" s="29">
        <v>-44.414999999999999</v>
      </c>
      <c r="V1156" s="26">
        <v>1</v>
      </c>
      <c r="W1156" s="29">
        <v>14.66</v>
      </c>
      <c r="X1156" s="26">
        <v>86490</v>
      </c>
      <c r="Y1156" s="35">
        <v>125.91</v>
      </c>
      <c r="Z1156" s="1" t="s">
        <v>3011</v>
      </c>
      <c r="AA1156" s="36">
        <v>0.58240000000000003</v>
      </c>
      <c r="AB1156" s="54">
        <v>9.2357999999999993</v>
      </c>
      <c r="AC1156" s="54">
        <v>5.4241999999999999</v>
      </c>
      <c r="AD1156" s="36">
        <v>47.342600000000004</v>
      </c>
    </row>
    <row r="1157" spans="1:30" s="37" customFormat="1" ht="15.75" customHeight="1" x14ac:dyDescent="0.2">
      <c r="A1157" s="26">
        <v>171</v>
      </c>
      <c r="B1157" s="27" t="s">
        <v>2155</v>
      </c>
      <c r="C1157" s="27" t="s">
        <v>26</v>
      </c>
      <c r="D1157" s="28">
        <v>0.05</v>
      </c>
      <c r="E1157" s="29">
        <v>1.88</v>
      </c>
      <c r="F1157" s="29">
        <v>1.49</v>
      </c>
      <c r="G1157" s="30" t="s">
        <v>39</v>
      </c>
      <c r="H1157" s="27" t="s">
        <v>94</v>
      </c>
      <c r="I1157" s="27" t="s">
        <v>49</v>
      </c>
      <c r="J1157" s="27" t="s">
        <v>72</v>
      </c>
      <c r="K1157" s="27" t="s">
        <v>73</v>
      </c>
      <c r="L1157" s="31" t="s">
        <v>613</v>
      </c>
      <c r="M1157" s="32">
        <v>0.37</v>
      </c>
      <c r="N1157" s="27" t="s">
        <v>33</v>
      </c>
      <c r="O1157" s="27" t="s">
        <v>111</v>
      </c>
      <c r="P1157" s="27" t="s">
        <v>397</v>
      </c>
      <c r="Q1157" s="27" t="s">
        <v>805</v>
      </c>
      <c r="R1157" s="33">
        <v>7024</v>
      </c>
      <c r="S1157" s="34">
        <v>42107</v>
      </c>
      <c r="T1157" s="34">
        <v>42109</v>
      </c>
      <c r="U1157" s="29">
        <v>-2.9095</v>
      </c>
      <c r="V1157" s="26">
        <v>1</v>
      </c>
      <c r="W1157" s="29">
        <v>3.42</v>
      </c>
      <c r="X1157" s="26">
        <v>87464</v>
      </c>
      <c r="Y1157" s="35">
        <v>2.08</v>
      </c>
      <c r="Z1157" s="1" t="s">
        <v>3014</v>
      </c>
      <c r="AA1157" s="36">
        <v>9.4E-2</v>
      </c>
      <c r="AB1157" s="54">
        <v>2.1545999999999998</v>
      </c>
      <c r="AC1157" s="54">
        <v>1.2653999999999999</v>
      </c>
      <c r="AD1157" s="36">
        <v>4.7454999999999998</v>
      </c>
    </row>
    <row r="1158" spans="1:30" s="37" customFormat="1" ht="15.75" customHeight="1" x14ac:dyDescent="0.2">
      <c r="A1158" s="26">
        <v>329</v>
      </c>
      <c r="B1158" s="27" t="s">
        <v>2168</v>
      </c>
      <c r="C1158" s="27" t="s">
        <v>116</v>
      </c>
      <c r="D1158" s="28">
        <v>0.06</v>
      </c>
      <c r="E1158" s="29">
        <v>296.18</v>
      </c>
      <c r="F1158" s="29">
        <v>54.12</v>
      </c>
      <c r="G1158" s="30" t="s">
        <v>27</v>
      </c>
      <c r="H1158" s="27" t="s">
        <v>71</v>
      </c>
      <c r="I1158" s="27" t="s">
        <v>29</v>
      </c>
      <c r="J1158" s="27" t="s">
        <v>30</v>
      </c>
      <c r="K1158" s="27" t="s">
        <v>31</v>
      </c>
      <c r="L1158" s="31" t="s">
        <v>1079</v>
      </c>
      <c r="M1158" s="32">
        <v>0.76</v>
      </c>
      <c r="N1158" s="27" t="s">
        <v>33</v>
      </c>
      <c r="O1158" s="27" t="s">
        <v>111</v>
      </c>
      <c r="P1158" s="27" t="s">
        <v>331</v>
      </c>
      <c r="Q1158" s="27" t="s">
        <v>332</v>
      </c>
      <c r="R1158" s="33">
        <v>4073</v>
      </c>
      <c r="S1158" s="34">
        <v>42108</v>
      </c>
      <c r="T1158" s="34">
        <v>42109</v>
      </c>
      <c r="U1158" s="29">
        <v>-715.77820599999995</v>
      </c>
      <c r="V1158" s="26">
        <v>5</v>
      </c>
      <c r="W1158" s="29">
        <v>1170.21</v>
      </c>
      <c r="X1158" s="26">
        <v>89726</v>
      </c>
      <c r="Y1158" s="35">
        <v>100.89</v>
      </c>
      <c r="Z1158" s="1" t="s">
        <v>3014</v>
      </c>
      <c r="AA1158" s="36">
        <v>88.854000000000013</v>
      </c>
      <c r="AB1158" s="54">
        <v>280.85039999999998</v>
      </c>
      <c r="AC1158" s="54">
        <v>177.87192000000002</v>
      </c>
      <c r="AD1158" s="36">
        <v>1743.0142059999998</v>
      </c>
    </row>
    <row r="1159" spans="1:30" s="37" customFormat="1" ht="15.75" customHeight="1" x14ac:dyDescent="0.2">
      <c r="A1159" s="26">
        <v>940</v>
      </c>
      <c r="B1159" s="27" t="s">
        <v>2166</v>
      </c>
      <c r="C1159" s="27" t="s">
        <v>48</v>
      </c>
      <c r="D1159" s="28">
        <v>0.09</v>
      </c>
      <c r="E1159" s="29">
        <v>100.98</v>
      </c>
      <c r="F1159" s="29">
        <v>35.840000000000003</v>
      </c>
      <c r="G1159" s="30" t="s">
        <v>27</v>
      </c>
      <c r="H1159" s="27" t="s">
        <v>71</v>
      </c>
      <c r="I1159" s="27" t="s">
        <v>29</v>
      </c>
      <c r="J1159" s="27" t="s">
        <v>117</v>
      </c>
      <c r="K1159" s="27" t="s">
        <v>31</v>
      </c>
      <c r="L1159" s="31" t="s">
        <v>118</v>
      </c>
      <c r="M1159" s="32">
        <v>0.62</v>
      </c>
      <c r="N1159" s="27" t="s">
        <v>33</v>
      </c>
      <c r="O1159" s="27" t="s">
        <v>111</v>
      </c>
      <c r="P1159" s="27" t="s">
        <v>248</v>
      </c>
      <c r="Q1159" s="27" t="s">
        <v>2167</v>
      </c>
      <c r="R1159" s="33">
        <v>6776</v>
      </c>
      <c r="S1159" s="34">
        <v>42108</v>
      </c>
      <c r="T1159" s="34">
        <v>42113</v>
      </c>
      <c r="U1159" s="29">
        <v>-193.58</v>
      </c>
      <c r="V1159" s="26">
        <v>4</v>
      </c>
      <c r="W1159" s="29">
        <v>396.19</v>
      </c>
      <c r="X1159" s="26">
        <v>90844</v>
      </c>
      <c r="Y1159" s="35">
        <v>296.12</v>
      </c>
      <c r="Z1159" s="1" t="s">
        <v>3014</v>
      </c>
      <c r="AA1159" s="36">
        <v>36.352800000000002</v>
      </c>
      <c r="AB1159" s="54">
        <v>150.5522</v>
      </c>
      <c r="AC1159" s="54">
        <v>61.40945</v>
      </c>
      <c r="AD1159" s="36">
        <v>517.57719999999995</v>
      </c>
    </row>
    <row r="1160" spans="1:30" s="37" customFormat="1" ht="15.75" customHeight="1" x14ac:dyDescent="0.2">
      <c r="A1160" s="26">
        <v>331</v>
      </c>
      <c r="B1160" s="27" t="s">
        <v>2169</v>
      </c>
      <c r="C1160" s="27" t="s">
        <v>116</v>
      </c>
      <c r="D1160" s="28">
        <v>0.01</v>
      </c>
      <c r="E1160" s="29">
        <v>29.1</v>
      </c>
      <c r="F1160" s="29">
        <v>4</v>
      </c>
      <c r="G1160" s="30" t="s">
        <v>87</v>
      </c>
      <c r="H1160" s="27" t="s">
        <v>71</v>
      </c>
      <c r="I1160" s="27" t="s">
        <v>41</v>
      </c>
      <c r="J1160" s="27" t="s">
        <v>42</v>
      </c>
      <c r="K1160" s="27" t="s">
        <v>73</v>
      </c>
      <c r="L1160" s="31" t="s">
        <v>2170</v>
      </c>
      <c r="M1160" s="32">
        <v>0.78</v>
      </c>
      <c r="N1160" s="27" t="s">
        <v>33</v>
      </c>
      <c r="O1160" s="27" t="s">
        <v>111</v>
      </c>
      <c r="P1160" s="27" t="s">
        <v>1356</v>
      </c>
      <c r="Q1160" s="27" t="s">
        <v>2171</v>
      </c>
      <c r="R1160" s="33">
        <v>3045</v>
      </c>
      <c r="S1160" s="34">
        <v>42108</v>
      </c>
      <c r="T1160" s="34">
        <v>42110</v>
      </c>
      <c r="U1160" s="29">
        <v>-22.82</v>
      </c>
      <c r="V1160" s="26">
        <v>8</v>
      </c>
      <c r="W1160" s="29">
        <v>243.32</v>
      </c>
      <c r="X1160" s="26">
        <v>89726</v>
      </c>
      <c r="Y1160" s="35">
        <v>29.09</v>
      </c>
      <c r="Z1160" s="1" t="s">
        <v>3014</v>
      </c>
      <c r="AA1160" s="36">
        <v>2.3280000000000003</v>
      </c>
      <c r="AB1160" s="54">
        <v>53.530399999999993</v>
      </c>
      <c r="AC1160" s="54">
        <v>23.723700000000001</v>
      </c>
      <c r="AD1160" s="36">
        <v>259.81200000000001</v>
      </c>
    </row>
    <row r="1161" spans="1:30" s="37" customFormat="1" ht="15.75" customHeight="1" x14ac:dyDescent="0.2">
      <c r="A1161" s="26">
        <v>1821</v>
      </c>
      <c r="B1161" s="27" t="s">
        <v>998</v>
      </c>
      <c r="C1161" s="27" t="s">
        <v>3094</v>
      </c>
      <c r="D1161" s="28">
        <v>0.08</v>
      </c>
      <c r="E1161" s="29">
        <v>175.99</v>
      </c>
      <c r="F1161" s="29">
        <v>8.99</v>
      </c>
      <c r="G1161" s="30" t="s">
        <v>87</v>
      </c>
      <c r="H1161" s="27" t="s">
        <v>40</v>
      </c>
      <c r="I1161" s="27" t="s">
        <v>41</v>
      </c>
      <c r="J1161" s="27" t="s">
        <v>135</v>
      </c>
      <c r="K1161" s="27" t="s">
        <v>73</v>
      </c>
      <c r="L1161" s="31" t="s">
        <v>1179</v>
      </c>
      <c r="M1161" s="32">
        <v>0.56999999999999995</v>
      </c>
      <c r="N1161" s="27" t="s">
        <v>33</v>
      </c>
      <c r="O1161" s="27" t="s">
        <v>111</v>
      </c>
      <c r="P1161" s="27" t="s">
        <v>112</v>
      </c>
      <c r="Q1161" s="27" t="s">
        <v>113</v>
      </c>
      <c r="R1161" s="33">
        <v>10177</v>
      </c>
      <c r="S1161" s="34">
        <v>42109</v>
      </c>
      <c r="T1161" s="34">
        <v>42110</v>
      </c>
      <c r="U1161" s="29">
        <v>-459.08280000000002</v>
      </c>
      <c r="V1161" s="26">
        <v>16</v>
      </c>
      <c r="W1161" s="29">
        <v>2290.69</v>
      </c>
      <c r="X1161" s="26">
        <v>47108</v>
      </c>
      <c r="Y1161" s="35">
        <v>226.57</v>
      </c>
      <c r="Z1161" s="1" t="s">
        <v>3014</v>
      </c>
      <c r="AA1161" s="36">
        <v>225.2672</v>
      </c>
      <c r="AB1161" s="54">
        <v>984.99670000000015</v>
      </c>
      <c r="AC1161" s="54">
        <v>81.605831249999994</v>
      </c>
      <c r="AD1161" s="36">
        <v>2515.5156000000002</v>
      </c>
    </row>
    <row r="1162" spans="1:30" s="37" customFormat="1" ht="15.75" customHeight="1" x14ac:dyDescent="0.2">
      <c r="A1162" s="26">
        <v>1559</v>
      </c>
      <c r="B1162" s="27" t="s">
        <v>2172</v>
      </c>
      <c r="C1162" s="27" t="s">
        <v>26</v>
      </c>
      <c r="D1162" s="28">
        <v>0.1</v>
      </c>
      <c r="E1162" s="29">
        <v>226.67</v>
      </c>
      <c r="F1162" s="29">
        <v>28.16</v>
      </c>
      <c r="G1162" s="30" t="s">
        <v>27</v>
      </c>
      <c r="H1162" s="27" t="s">
        <v>40</v>
      </c>
      <c r="I1162" s="27" t="s">
        <v>29</v>
      </c>
      <c r="J1162" s="27" t="s">
        <v>109</v>
      </c>
      <c r="K1162" s="27" t="s">
        <v>58</v>
      </c>
      <c r="L1162" s="31" t="s">
        <v>1376</v>
      </c>
      <c r="M1162" s="32">
        <v>0.59</v>
      </c>
      <c r="N1162" s="27" t="s">
        <v>33</v>
      </c>
      <c r="O1162" s="27" t="s">
        <v>34</v>
      </c>
      <c r="P1162" s="27" t="s">
        <v>242</v>
      </c>
      <c r="Q1162" s="27" t="s">
        <v>2173</v>
      </c>
      <c r="R1162" s="33">
        <v>24060</v>
      </c>
      <c r="S1162" s="34">
        <v>42109</v>
      </c>
      <c r="T1162" s="34">
        <v>42111</v>
      </c>
      <c r="U1162" s="29">
        <v>-390.76799999999997</v>
      </c>
      <c r="V1162" s="26">
        <v>5</v>
      </c>
      <c r="W1162" s="29">
        <v>1088.26</v>
      </c>
      <c r="X1162" s="26">
        <v>87424</v>
      </c>
      <c r="Y1162" s="35">
        <v>25.97</v>
      </c>
      <c r="Z1162" s="1" t="s">
        <v>3011</v>
      </c>
      <c r="AA1162" s="36">
        <v>113.33500000000001</v>
      </c>
      <c r="AB1162" s="54">
        <v>446.18660000000006</v>
      </c>
      <c r="AC1162" s="54">
        <v>128.41467999999998</v>
      </c>
      <c r="AD1162" s="36">
        <v>1337.5329999999999</v>
      </c>
    </row>
    <row r="1163" spans="1:30" s="37" customFormat="1" ht="15.75" customHeight="1" x14ac:dyDescent="0.2">
      <c r="A1163" s="26">
        <v>568</v>
      </c>
      <c r="B1163" s="27" t="s">
        <v>1482</v>
      </c>
      <c r="C1163" s="27" t="s">
        <v>3094</v>
      </c>
      <c r="D1163" s="28">
        <v>0.09</v>
      </c>
      <c r="E1163" s="29">
        <v>70.97</v>
      </c>
      <c r="F1163" s="29">
        <v>3.5</v>
      </c>
      <c r="G1163" s="30" t="s">
        <v>39</v>
      </c>
      <c r="H1163" s="27" t="s">
        <v>40</v>
      </c>
      <c r="I1163" s="27" t="s">
        <v>49</v>
      </c>
      <c r="J1163" s="27" t="s">
        <v>95</v>
      </c>
      <c r="K1163" s="27" t="s">
        <v>73</v>
      </c>
      <c r="L1163" s="31" t="s">
        <v>2177</v>
      </c>
      <c r="M1163" s="32">
        <v>0.59</v>
      </c>
      <c r="N1163" s="27" t="s">
        <v>33</v>
      </c>
      <c r="O1163" s="27" t="s">
        <v>34</v>
      </c>
      <c r="P1163" s="27" t="s">
        <v>35</v>
      </c>
      <c r="Q1163" s="27" t="s">
        <v>1483</v>
      </c>
      <c r="R1163" s="33">
        <v>39701</v>
      </c>
      <c r="S1163" s="34">
        <v>42109</v>
      </c>
      <c r="T1163" s="34">
        <v>42109</v>
      </c>
      <c r="U1163" s="29">
        <v>-99.567999999999998</v>
      </c>
      <c r="V1163" s="26">
        <v>12</v>
      </c>
      <c r="W1163" s="29">
        <v>805.99</v>
      </c>
      <c r="X1163" s="26">
        <v>88880</v>
      </c>
      <c r="Y1163" s="35">
        <v>4.9700000000000006</v>
      </c>
      <c r="Z1163" s="1" t="s">
        <v>3011</v>
      </c>
      <c r="AA1163" s="36">
        <v>76.647599999999997</v>
      </c>
      <c r="AB1163" s="54">
        <v>330.45590000000004</v>
      </c>
      <c r="AC1163" s="54">
        <v>39.627841666666669</v>
      </c>
      <c r="AD1163" s="36">
        <v>825.41039999999998</v>
      </c>
    </row>
    <row r="1164" spans="1:30" s="37" customFormat="1" ht="15.75" customHeight="1" x14ac:dyDescent="0.2">
      <c r="A1164" s="26">
        <v>1821</v>
      </c>
      <c r="B1164" s="27" t="s">
        <v>998</v>
      </c>
      <c r="C1164" s="27" t="s">
        <v>3094</v>
      </c>
      <c r="D1164" s="28">
        <v>7.0000000000000007E-2</v>
      </c>
      <c r="E1164" s="29">
        <v>18.649999999999999</v>
      </c>
      <c r="F1164" s="29">
        <v>3.77</v>
      </c>
      <c r="G1164" s="30" t="s">
        <v>39</v>
      </c>
      <c r="H1164" s="27" t="s">
        <v>40</v>
      </c>
      <c r="I1164" s="27" t="s">
        <v>29</v>
      </c>
      <c r="J1164" s="27" t="s">
        <v>126</v>
      </c>
      <c r="K1164" s="27" t="s">
        <v>43</v>
      </c>
      <c r="L1164" s="31" t="s">
        <v>2181</v>
      </c>
      <c r="M1164" s="32">
        <v>0.39</v>
      </c>
      <c r="N1164" s="27" t="s">
        <v>33</v>
      </c>
      <c r="O1164" s="27" t="s">
        <v>111</v>
      </c>
      <c r="P1164" s="27" t="s">
        <v>112</v>
      </c>
      <c r="Q1164" s="27" t="s">
        <v>113</v>
      </c>
      <c r="R1164" s="33">
        <v>10177</v>
      </c>
      <c r="S1164" s="34">
        <v>42109</v>
      </c>
      <c r="T1164" s="34">
        <v>42110</v>
      </c>
      <c r="U1164" s="29">
        <v>149.72</v>
      </c>
      <c r="V1164" s="26">
        <v>34</v>
      </c>
      <c r="W1164" s="29">
        <v>643.64</v>
      </c>
      <c r="X1164" s="26">
        <v>47108</v>
      </c>
      <c r="Y1164" s="35">
        <v>4.9700000000000006</v>
      </c>
      <c r="Z1164" s="1" t="s">
        <v>3014</v>
      </c>
      <c r="AA1164" s="36">
        <v>44.387</v>
      </c>
      <c r="AB1164" s="54">
        <v>392.62039999999996</v>
      </c>
      <c r="AC1164" s="54">
        <v>7.3829294117647057</v>
      </c>
      <c r="AD1164" s="36">
        <v>445.76299999999998</v>
      </c>
    </row>
    <row r="1165" spans="1:30" s="37" customFormat="1" ht="15.75" customHeight="1" x14ac:dyDescent="0.2">
      <c r="A1165" s="26">
        <v>1821</v>
      </c>
      <c r="B1165" s="27" t="s">
        <v>998</v>
      </c>
      <c r="C1165" s="27" t="s">
        <v>3094</v>
      </c>
      <c r="D1165" s="28">
        <v>0.1</v>
      </c>
      <c r="E1165" s="29">
        <v>9.99</v>
      </c>
      <c r="F1165" s="29">
        <v>4.78</v>
      </c>
      <c r="G1165" s="30" t="s">
        <v>87</v>
      </c>
      <c r="H1165" s="27" t="s">
        <v>40</v>
      </c>
      <c r="I1165" s="27" t="s">
        <v>49</v>
      </c>
      <c r="J1165" s="27" t="s">
        <v>88</v>
      </c>
      <c r="K1165" s="27" t="s">
        <v>73</v>
      </c>
      <c r="L1165" s="31" t="s">
        <v>1519</v>
      </c>
      <c r="M1165" s="32">
        <v>0.4</v>
      </c>
      <c r="N1165" s="27" t="s">
        <v>33</v>
      </c>
      <c r="O1165" s="27" t="s">
        <v>111</v>
      </c>
      <c r="P1165" s="27" t="s">
        <v>112</v>
      </c>
      <c r="Q1165" s="27" t="s">
        <v>113</v>
      </c>
      <c r="R1165" s="33">
        <v>10177</v>
      </c>
      <c r="S1165" s="34">
        <v>42109</v>
      </c>
      <c r="T1165" s="34">
        <v>42112</v>
      </c>
      <c r="U1165" s="29">
        <v>7.96</v>
      </c>
      <c r="V1165" s="26">
        <v>47</v>
      </c>
      <c r="W1165" s="29">
        <v>466.58</v>
      </c>
      <c r="X1165" s="26">
        <v>47108</v>
      </c>
      <c r="Y1165" s="35">
        <v>5.66</v>
      </c>
      <c r="Z1165" s="1" t="s">
        <v>3014</v>
      </c>
      <c r="AA1165" s="36">
        <v>46.953000000000003</v>
      </c>
      <c r="AB1165" s="54">
        <v>279.94799999999998</v>
      </c>
      <c r="AC1165" s="54">
        <v>3.970893617021277</v>
      </c>
      <c r="AD1165" s="36">
        <v>406.887</v>
      </c>
    </row>
    <row r="1166" spans="1:30" s="37" customFormat="1" ht="15.75" customHeight="1" x14ac:dyDescent="0.2">
      <c r="A1166" s="26">
        <v>553</v>
      </c>
      <c r="B1166" s="27" t="s">
        <v>851</v>
      </c>
      <c r="C1166" s="27" t="s">
        <v>48</v>
      </c>
      <c r="D1166" s="28">
        <v>0.01</v>
      </c>
      <c r="E1166" s="29">
        <v>4.9800000000000004</v>
      </c>
      <c r="F1166" s="29">
        <v>7.44</v>
      </c>
      <c r="G1166" s="30" t="s">
        <v>39</v>
      </c>
      <c r="H1166" s="27" t="s">
        <v>94</v>
      </c>
      <c r="I1166" s="27" t="s">
        <v>49</v>
      </c>
      <c r="J1166" s="27" t="s">
        <v>88</v>
      </c>
      <c r="K1166" s="27" t="s">
        <v>73</v>
      </c>
      <c r="L1166" s="31" t="s">
        <v>2174</v>
      </c>
      <c r="M1166" s="32">
        <v>0.36</v>
      </c>
      <c r="N1166" s="27" t="s">
        <v>33</v>
      </c>
      <c r="O1166" s="27" t="s">
        <v>60</v>
      </c>
      <c r="P1166" s="27" t="s">
        <v>90</v>
      </c>
      <c r="Q1166" s="27" t="s">
        <v>100</v>
      </c>
      <c r="R1166" s="33">
        <v>90008</v>
      </c>
      <c r="S1166" s="34">
        <v>42109</v>
      </c>
      <c r="T1166" s="34">
        <v>42118</v>
      </c>
      <c r="U1166" s="29">
        <v>-179.59200000000001</v>
      </c>
      <c r="V1166" s="26">
        <v>63</v>
      </c>
      <c r="W1166" s="29">
        <v>330.21</v>
      </c>
      <c r="X1166" s="26">
        <v>8165</v>
      </c>
      <c r="Y1166" s="35">
        <v>70.88</v>
      </c>
      <c r="Z1166" s="1" t="s">
        <v>3013</v>
      </c>
      <c r="AA1166" s="36">
        <v>3.1374000000000004</v>
      </c>
      <c r="AB1166" s="54">
        <v>211.33439999999999</v>
      </c>
      <c r="AC1166" s="54">
        <v>1.8869142857142855</v>
      </c>
      <c r="AD1166" s="36">
        <v>499.22460000000001</v>
      </c>
    </row>
    <row r="1167" spans="1:30" s="37" customFormat="1" ht="15.75" customHeight="1" x14ac:dyDescent="0.2">
      <c r="A1167" s="26">
        <v>1821</v>
      </c>
      <c r="B1167" s="27" t="s">
        <v>998</v>
      </c>
      <c r="C1167" s="27" t="s">
        <v>3094</v>
      </c>
      <c r="D1167" s="28">
        <v>0.06</v>
      </c>
      <c r="E1167" s="29">
        <v>17.98</v>
      </c>
      <c r="F1167" s="29">
        <v>8.51</v>
      </c>
      <c r="G1167" s="30" t="s">
        <v>39</v>
      </c>
      <c r="H1167" s="27" t="s">
        <v>40</v>
      </c>
      <c r="I1167" s="27" t="s">
        <v>41</v>
      </c>
      <c r="J1167" s="27" t="s">
        <v>57</v>
      </c>
      <c r="K1167" s="27" t="s">
        <v>144</v>
      </c>
      <c r="L1167" s="31" t="s">
        <v>1880</v>
      </c>
      <c r="M1167" s="32">
        <v>0.4</v>
      </c>
      <c r="N1167" s="27" t="s">
        <v>33</v>
      </c>
      <c r="O1167" s="27" t="s">
        <v>111</v>
      </c>
      <c r="P1167" s="27" t="s">
        <v>112</v>
      </c>
      <c r="Q1167" s="27" t="s">
        <v>113</v>
      </c>
      <c r="R1167" s="33">
        <v>10177</v>
      </c>
      <c r="S1167" s="34">
        <v>42109</v>
      </c>
      <c r="T1167" s="34">
        <v>42111</v>
      </c>
      <c r="U1167" s="29">
        <v>-52.492319999999999</v>
      </c>
      <c r="V1167" s="26">
        <v>13</v>
      </c>
      <c r="W1167" s="29">
        <v>244.31</v>
      </c>
      <c r="X1167" s="26">
        <v>47108</v>
      </c>
      <c r="Y1167" s="35">
        <v>15.15</v>
      </c>
      <c r="Z1167" s="1" t="s">
        <v>3014</v>
      </c>
      <c r="AA1167" s="36">
        <v>14.0244</v>
      </c>
      <c r="AB1167" s="54">
        <v>146.58599999999998</v>
      </c>
      <c r="AC1167" s="54">
        <v>7.5172307692307703</v>
      </c>
      <c r="AD1167" s="36">
        <v>274.26792</v>
      </c>
    </row>
    <row r="1168" spans="1:30" s="37" customFormat="1" ht="15.75" customHeight="1" x14ac:dyDescent="0.2">
      <c r="A1168" s="26">
        <v>1632</v>
      </c>
      <c r="B1168" s="27" t="s">
        <v>521</v>
      </c>
      <c r="C1168" s="27" t="s">
        <v>38</v>
      </c>
      <c r="D1168" s="28">
        <v>0.02</v>
      </c>
      <c r="E1168" s="29">
        <v>25.99</v>
      </c>
      <c r="F1168" s="29">
        <v>5.37</v>
      </c>
      <c r="G1168" s="30" t="s">
        <v>39</v>
      </c>
      <c r="H1168" s="27" t="s">
        <v>71</v>
      </c>
      <c r="I1168" s="27" t="s">
        <v>49</v>
      </c>
      <c r="J1168" s="27" t="s">
        <v>50</v>
      </c>
      <c r="K1168" s="27" t="s">
        <v>73</v>
      </c>
      <c r="L1168" s="31" t="s">
        <v>1226</v>
      </c>
      <c r="M1168" s="32">
        <v>0.56000000000000005</v>
      </c>
      <c r="N1168" s="27" t="s">
        <v>33</v>
      </c>
      <c r="O1168" s="27" t="s">
        <v>34</v>
      </c>
      <c r="P1168" s="27" t="s">
        <v>35</v>
      </c>
      <c r="Q1168" s="27" t="s">
        <v>523</v>
      </c>
      <c r="R1168" s="33">
        <v>39401</v>
      </c>
      <c r="S1168" s="34">
        <v>42109</v>
      </c>
      <c r="T1168" s="34">
        <v>42111</v>
      </c>
      <c r="U1168" s="29">
        <v>-88.158000000000001</v>
      </c>
      <c r="V1168" s="26">
        <v>9</v>
      </c>
      <c r="W1168" s="29">
        <v>243.24</v>
      </c>
      <c r="X1168" s="26">
        <v>90533</v>
      </c>
      <c r="Y1168" s="35">
        <v>17.920000000000002</v>
      </c>
      <c r="Z1168" s="1" t="s">
        <v>3011</v>
      </c>
      <c r="AA1168" s="36">
        <v>4.6781999999999995</v>
      </c>
      <c r="AB1168" s="54">
        <v>107.0256</v>
      </c>
      <c r="AC1168" s="54">
        <v>15.134933333333334</v>
      </c>
      <c r="AD1168" s="36">
        <v>321.34980000000002</v>
      </c>
    </row>
    <row r="1169" spans="1:30" s="37" customFormat="1" ht="15.75" customHeight="1" x14ac:dyDescent="0.2">
      <c r="A1169" s="26">
        <v>1818</v>
      </c>
      <c r="B1169" s="27" t="s">
        <v>2179</v>
      </c>
      <c r="C1169" s="27" t="s">
        <v>3094</v>
      </c>
      <c r="D1169" s="28">
        <v>0.1</v>
      </c>
      <c r="E1169" s="29">
        <v>9.99</v>
      </c>
      <c r="F1169" s="29">
        <v>4.78</v>
      </c>
      <c r="G1169" s="30" t="s">
        <v>87</v>
      </c>
      <c r="H1169" s="27" t="s">
        <v>40</v>
      </c>
      <c r="I1169" s="27" t="s">
        <v>49</v>
      </c>
      <c r="J1169" s="27" t="s">
        <v>88</v>
      </c>
      <c r="K1169" s="27" t="s">
        <v>73</v>
      </c>
      <c r="L1169" s="31" t="s">
        <v>1519</v>
      </c>
      <c r="M1169" s="32">
        <v>0.4</v>
      </c>
      <c r="N1169" s="27" t="s">
        <v>33</v>
      </c>
      <c r="O1169" s="27" t="s">
        <v>53</v>
      </c>
      <c r="P1169" s="27" t="s">
        <v>289</v>
      </c>
      <c r="Q1169" s="27" t="s">
        <v>2180</v>
      </c>
      <c r="R1169" s="33">
        <v>48126</v>
      </c>
      <c r="S1169" s="34">
        <v>42109</v>
      </c>
      <c r="T1169" s="34">
        <v>42112</v>
      </c>
      <c r="U1169" s="29">
        <v>9.1539999999999999</v>
      </c>
      <c r="V1169" s="26">
        <v>12</v>
      </c>
      <c r="W1169" s="29">
        <v>119.13</v>
      </c>
      <c r="X1169" s="26">
        <v>85991</v>
      </c>
      <c r="Y1169" s="35">
        <v>9.89</v>
      </c>
      <c r="Z1169" s="1" t="s">
        <v>3012</v>
      </c>
      <c r="AA1169" s="36">
        <v>11.988000000000001</v>
      </c>
      <c r="AB1169" s="54">
        <v>71.477999999999994</v>
      </c>
      <c r="AC1169" s="54">
        <v>3.9710000000000001</v>
      </c>
      <c r="AD1169" s="36">
        <v>93.207999999999998</v>
      </c>
    </row>
    <row r="1170" spans="1:30" s="37" customFormat="1" ht="15.75" customHeight="1" x14ac:dyDescent="0.2">
      <c r="A1170" s="26">
        <v>1607</v>
      </c>
      <c r="B1170" s="27" t="s">
        <v>1035</v>
      </c>
      <c r="C1170" s="27" t="s">
        <v>3094</v>
      </c>
      <c r="D1170" s="28">
        <v>0.01</v>
      </c>
      <c r="E1170" s="29">
        <v>15.16</v>
      </c>
      <c r="F1170" s="29">
        <v>15.09</v>
      </c>
      <c r="G1170" s="30" t="s">
        <v>39</v>
      </c>
      <c r="H1170" s="27" t="s">
        <v>71</v>
      </c>
      <c r="I1170" s="27" t="s">
        <v>49</v>
      </c>
      <c r="J1170" s="27" t="s">
        <v>72</v>
      </c>
      <c r="K1170" s="27" t="s">
        <v>73</v>
      </c>
      <c r="L1170" s="31" t="s">
        <v>2178</v>
      </c>
      <c r="M1170" s="32">
        <v>0.39</v>
      </c>
      <c r="N1170" s="27" t="s">
        <v>33</v>
      </c>
      <c r="O1170" s="27" t="s">
        <v>111</v>
      </c>
      <c r="P1170" s="27" t="s">
        <v>112</v>
      </c>
      <c r="Q1170" s="27" t="s">
        <v>1037</v>
      </c>
      <c r="R1170" s="33">
        <v>11520</v>
      </c>
      <c r="S1170" s="34">
        <v>42109</v>
      </c>
      <c r="T1170" s="34">
        <v>42109</v>
      </c>
      <c r="U1170" s="29">
        <v>-200.85900000000001</v>
      </c>
      <c r="V1170" s="26">
        <v>7</v>
      </c>
      <c r="W1170" s="29">
        <v>110.93</v>
      </c>
      <c r="X1170" s="26">
        <v>87994</v>
      </c>
      <c r="Y1170" s="35">
        <v>18.579999999999998</v>
      </c>
      <c r="Z1170" s="1" t="s">
        <v>3014</v>
      </c>
      <c r="AA1170" s="36">
        <v>1.0612000000000001</v>
      </c>
      <c r="AB1170" s="54">
        <v>67.667299999999997</v>
      </c>
      <c r="AC1170" s="54">
        <v>6.1803857142857144</v>
      </c>
      <c r="AD1170" s="36">
        <v>295.63779999999997</v>
      </c>
    </row>
    <row r="1171" spans="1:30" s="37" customFormat="1" ht="15.75" customHeight="1" x14ac:dyDescent="0.2">
      <c r="A1171" s="26">
        <v>555</v>
      </c>
      <c r="B1171" s="27" t="s">
        <v>1300</v>
      </c>
      <c r="C1171" s="27" t="s">
        <v>48</v>
      </c>
      <c r="D1171" s="28">
        <v>0.01</v>
      </c>
      <c r="E1171" s="29">
        <v>4.9800000000000004</v>
      </c>
      <c r="F1171" s="29">
        <v>7.44</v>
      </c>
      <c r="G1171" s="30" t="s">
        <v>39</v>
      </c>
      <c r="H1171" s="27" t="s">
        <v>94</v>
      </c>
      <c r="I1171" s="27" t="s">
        <v>49</v>
      </c>
      <c r="J1171" s="27" t="s">
        <v>88</v>
      </c>
      <c r="K1171" s="27" t="s">
        <v>73</v>
      </c>
      <c r="L1171" s="31" t="s">
        <v>2174</v>
      </c>
      <c r="M1171" s="32">
        <v>0.36</v>
      </c>
      <c r="N1171" s="27" t="s">
        <v>33</v>
      </c>
      <c r="O1171" s="27" t="s">
        <v>60</v>
      </c>
      <c r="P1171" s="27" t="s">
        <v>146</v>
      </c>
      <c r="Q1171" s="27" t="s">
        <v>1301</v>
      </c>
      <c r="R1171" s="33">
        <v>84062</v>
      </c>
      <c r="S1171" s="34">
        <v>42109</v>
      </c>
      <c r="T1171" s="34">
        <v>42118</v>
      </c>
      <c r="U1171" s="29">
        <v>-161.6328</v>
      </c>
      <c r="V1171" s="26">
        <v>16</v>
      </c>
      <c r="W1171" s="29">
        <v>83.86</v>
      </c>
      <c r="X1171" s="26">
        <v>86191</v>
      </c>
      <c r="Y1171" s="35">
        <v>17.920000000000002</v>
      </c>
      <c r="Z1171" s="1" t="s">
        <v>3013</v>
      </c>
      <c r="AA1171" s="36">
        <v>0.79680000000000006</v>
      </c>
      <c r="AB1171" s="54">
        <v>53.670400000000001</v>
      </c>
      <c r="AC1171" s="54">
        <v>1.8868499999999999</v>
      </c>
      <c r="AD1171" s="36">
        <v>237.25600000000003</v>
      </c>
    </row>
    <row r="1172" spans="1:30" s="37" customFormat="1" ht="15.75" customHeight="1" x14ac:dyDescent="0.2">
      <c r="A1172" s="26">
        <v>2952</v>
      </c>
      <c r="B1172" s="27" t="s">
        <v>2175</v>
      </c>
      <c r="C1172" s="27" t="s">
        <v>116</v>
      </c>
      <c r="D1172" s="28">
        <v>0.08</v>
      </c>
      <c r="E1172" s="29">
        <v>5.74</v>
      </c>
      <c r="F1172" s="29">
        <v>5.01</v>
      </c>
      <c r="G1172" s="30" t="s">
        <v>87</v>
      </c>
      <c r="H1172" s="27" t="s">
        <v>94</v>
      </c>
      <c r="I1172" s="27" t="s">
        <v>49</v>
      </c>
      <c r="J1172" s="27" t="s">
        <v>72</v>
      </c>
      <c r="K1172" s="27" t="s">
        <v>73</v>
      </c>
      <c r="L1172" s="31" t="s">
        <v>1065</v>
      </c>
      <c r="M1172" s="32">
        <v>0.39</v>
      </c>
      <c r="N1172" s="27" t="s">
        <v>33</v>
      </c>
      <c r="O1172" s="27" t="s">
        <v>111</v>
      </c>
      <c r="P1172" s="27" t="s">
        <v>317</v>
      </c>
      <c r="Q1172" s="27" t="s">
        <v>2176</v>
      </c>
      <c r="R1172" s="33">
        <v>43123</v>
      </c>
      <c r="S1172" s="34">
        <v>42109</v>
      </c>
      <c r="T1172" s="34">
        <v>42111</v>
      </c>
      <c r="U1172" s="29">
        <v>-61.628039999999999</v>
      </c>
      <c r="V1172" s="26">
        <v>12</v>
      </c>
      <c r="W1172" s="29">
        <v>70.03</v>
      </c>
      <c r="X1172" s="26">
        <v>91398</v>
      </c>
      <c r="Y1172" s="35">
        <v>9.89</v>
      </c>
      <c r="Z1172" s="1" t="s">
        <v>3014</v>
      </c>
      <c r="AA1172" s="36">
        <v>5.5104000000000006</v>
      </c>
      <c r="AB1172" s="54">
        <v>42.718299999999999</v>
      </c>
      <c r="AC1172" s="54">
        <v>2.2759750000000003</v>
      </c>
      <c r="AD1172" s="36">
        <v>121.13764</v>
      </c>
    </row>
    <row r="1173" spans="1:30" s="37" customFormat="1" ht="15.75" customHeight="1" x14ac:dyDescent="0.2">
      <c r="A1173" s="26">
        <v>1818</v>
      </c>
      <c r="B1173" s="27" t="s">
        <v>2179</v>
      </c>
      <c r="C1173" s="27" t="s">
        <v>3094</v>
      </c>
      <c r="D1173" s="28">
        <v>0.06</v>
      </c>
      <c r="E1173" s="29">
        <v>17.98</v>
      </c>
      <c r="F1173" s="29">
        <v>8.51</v>
      </c>
      <c r="G1173" s="30" t="s">
        <v>39</v>
      </c>
      <c r="H1173" s="27" t="s">
        <v>40</v>
      </c>
      <c r="I1173" s="27" t="s">
        <v>41</v>
      </c>
      <c r="J1173" s="27" t="s">
        <v>57</v>
      </c>
      <c r="K1173" s="27" t="s">
        <v>144</v>
      </c>
      <c r="L1173" s="31" t="s">
        <v>1880</v>
      </c>
      <c r="M1173" s="32">
        <v>0.4</v>
      </c>
      <c r="N1173" s="27" t="s">
        <v>33</v>
      </c>
      <c r="O1173" s="27" t="s">
        <v>53</v>
      </c>
      <c r="P1173" s="27" t="s">
        <v>289</v>
      </c>
      <c r="Q1173" s="27" t="s">
        <v>2180</v>
      </c>
      <c r="R1173" s="33">
        <v>48126</v>
      </c>
      <c r="S1173" s="34">
        <v>42109</v>
      </c>
      <c r="T1173" s="34">
        <v>42111</v>
      </c>
      <c r="U1173" s="29">
        <v>-47.243088</v>
      </c>
      <c r="V1173" s="26">
        <v>3</v>
      </c>
      <c r="W1173" s="29">
        <v>56.38</v>
      </c>
      <c r="X1173" s="26">
        <v>85991</v>
      </c>
      <c r="Y1173" s="35">
        <v>175.91</v>
      </c>
      <c r="Z1173" s="1" t="s">
        <v>3012</v>
      </c>
      <c r="AA1173" s="36">
        <v>3.2363999999999997</v>
      </c>
      <c r="AB1173" s="54">
        <v>33.828000000000003</v>
      </c>
      <c r="AC1173" s="54">
        <v>7.5173333333333332</v>
      </c>
      <c r="AD1173" s="36">
        <v>91.876688000000001</v>
      </c>
    </row>
    <row r="1174" spans="1:30" s="37" customFormat="1" ht="15.75" customHeight="1" x14ac:dyDescent="0.2">
      <c r="A1174" s="26">
        <v>2139</v>
      </c>
      <c r="B1174" s="27" t="s">
        <v>2182</v>
      </c>
      <c r="C1174" s="27" t="s">
        <v>26</v>
      </c>
      <c r="D1174" s="28">
        <v>0.05</v>
      </c>
      <c r="E1174" s="29">
        <v>2550.14</v>
      </c>
      <c r="F1174" s="29">
        <v>29.7</v>
      </c>
      <c r="G1174" s="30" t="s">
        <v>27</v>
      </c>
      <c r="H1174" s="27" t="s">
        <v>94</v>
      </c>
      <c r="I1174" s="27" t="s">
        <v>41</v>
      </c>
      <c r="J1174" s="27" t="s">
        <v>57</v>
      </c>
      <c r="K1174" s="27" t="s">
        <v>58</v>
      </c>
      <c r="L1174" s="31" t="s">
        <v>1972</v>
      </c>
      <c r="M1174" s="32">
        <v>0.56999999999999995</v>
      </c>
      <c r="N1174" s="27" t="s">
        <v>33</v>
      </c>
      <c r="O1174" s="27" t="s">
        <v>53</v>
      </c>
      <c r="P1174" s="27" t="s">
        <v>357</v>
      </c>
      <c r="Q1174" s="27" t="s">
        <v>130</v>
      </c>
      <c r="R1174" s="33">
        <v>53094</v>
      </c>
      <c r="S1174" s="34">
        <v>42110</v>
      </c>
      <c r="T1174" s="34">
        <v>42111</v>
      </c>
      <c r="U1174" s="29">
        <v>-3971.0628000000002</v>
      </c>
      <c r="V1174" s="26">
        <v>2</v>
      </c>
      <c r="W1174" s="29">
        <v>4845.2700000000004</v>
      </c>
      <c r="X1174" s="26">
        <v>86003</v>
      </c>
      <c r="Y1174" s="35">
        <v>2550.0899999999997</v>
      </c>
      <c r="Z1174" s="1" t="s">
        <v>3012</v>
      </c>
      <c r="AA1174" s="36">
        <v>255.01400000000001</v>
      </c>
      <c r="AB1174" s="54">
        <v>2083.4661000000006</v>
      </c>
      <c r="AC1174" s="54">
        <v>1380.9019499999999</v>
      </c>
      <c r="AD1174" s="36">
        <v>8531.6188000000002</v>
      </c>
    </row>
    <row r="1175" spans="1:30" s="37" customFormat="1" ht="15.75" customHeight="1" x14ac:dyDescent="0.2">
      <c r="A1175" s="26">
        <v>1916</v>
      </c>
      <c r="B1175" s="27" t="s">
        <v>1394</v>
      </c>
      <c r="C1175" s="27" t="s">
        <v>38</v>
      </c>
      <c r="D1175" s="28">
        <v>0.01</v>
      </c>
      <c r="E1175" s="29">
        <v>125.99</v>
      </c>
      <c r="F1175" s="29">
        <v>8.99</v>
      </c>
      <c r="G1175" s="30" t="s">
        <v>39</v>
      </c>
      <c r="H1175" s="27" t="s">
        <v>71</v>
      </c>
      <c r="I1175" s="27" t="s">
        <v>41</v>
      </c>
      <c r="J1175" s="27" t="s">
        <v>135</v>
      </c>
      <c r="K1175" s="27" t="s">
        <v>73</v>
      </c>
      <c r="L1175" s="31" t="s">
        <v>1654</v>
      </c>
      <c r="M1175" s="32">
        <v>0.55000000000000004</v>
      </c>
      <c r="N1175" s="27" t="s">
        <v>33</v>
      </c>
      <c r="O1175" s="27" t="s">
        <v>34</v>
      </c>
      <c r="P1175" s="27" t="s">
        <v>45</v>
      </c>
      <c r="Q1175" s="27" t="s">
        <v>1396</v>
      </c>
      <c r="R1175" s="33">
        <v>72209</v>
      </c>
      <c r="S1175" s="34">
        <v>42110</v>
      </c>
      <c r="T1175" s="34">
        <v>42112</v>
      </c>
      <c r="U1175" s="29">
        <v>-45.472000000000001</v>
      </c>
      <c r="V1175" s="26">
        <v>9</v>
      </c>
      <c r="W1175" s="29">
        <v>1011.44</v>
      </c>
      <c r="X1175" s="26">
        <v>85895</v>
      </c>
      <c r="Y1175" s="35">
        <v>125.97999999999999</v>
      </c>
      <c r="Z1175" s="1" t="s">
        <v>3011</v>
      </c>
      <c r="AA1175" s="36">
        <v>11.3391</v>
      </c>
      <c r="AB1175" s="54">
        <v>455.14799999999997</v>
      </c>
      <c r="AC1175" s="54">
        <v>61.81022222222223</v>
      </c>
      <c r="AD1175" s="36">
        <v>1036.5829000000001</v>
      </c>
    </row>
    <row r="1176" spans="1:30" s="37" customFormat="1" ht="15.75" customHeight="1" x14ac:dyDescent="0.2">
      <c r="A1176" s="26">
        <v>653</v>
      </c>
      <c r="B1176" s="27" t="s">
        <v>2183</v>
      </c>
      <c r="C1176" s="27" t="s">
        <v>3094</v>
      </c>
      <c r="D1176" s="28">
        <v>0</v>
      </c>
      <c r="E1176" s="29">
        <v>2.78</v>
      </c>
      <c r="F1176" s="29">
        <v>1.49</v>
      </c>
      <c r="G1176" s="30" t="s">
        <v>87</v>
      </c>
      <c r="H1176" s="27" t="s">
        <v>40</v>
      </c>
      <c r="I1176" s="27" t="s">
        <v>49</v>
      </c>
      <c r="J1176" s="27" t="s">
        <v>72</v>
      </c>
      <c r="K1176" s="27" t="s">
        <v>73</v>
      </c>
      <c r="L1176" s="31" t="s">
        <v>2184</v>
      </c>
      <c r="M1176" s="32">
        <v>0.36</v>
      </c>
      <c r="N1176" s="27" t="s">
        <v>33</v>
      </c>
      <c r="O1176" s="27" t="s">
        <v>60</v>
      </c>
      <c r="P1176" s="27" t="s">
        <v>90</v>
      </c>
      <c r="Q1176" s="27" t="s">
        <v>2146</v>
      </c>
      <c r="R1176" s="33">
        <v>91730</v>
      </c>
      <c r="S1176" s="34">
        <v>42110</v>
      </c>
      <c r="T1176" s="34">
        <v>42111</v>
      </c>
      <c r="U1176" s="29">
        <v>20.6448</v>
      </c>
      <c r="V1176" s="26">
        <v>9</v>
      </c>
      <c r="W1176" s="29">
        <v>29.92</v>
      </c>
      <c r="X1176" s="26">
        <v>91213</v>
      </c>
      <c r="Y1176" s="35">
        <v>2.78</v>
      </c>
      <c r="Z1176" s="1" t="s">
        <v>3013</v>
      </c>
      <c r="AA1176" s="36">
        <v>0</v>
      </c>
      <c r="AB1176" s="54">
        <v>19.148800000000001</v>
      </c>
      <c r="AC1176" s="54">
        <v>1.1968000000000001</v>
      </c>
      <c r="AD1176" s="36">
        <v>7.7852000000000032</v>
      </c>
    </row>
    <row r="1177" spans="1:30" s="37" customFormat="1" ht="15.75" customHeight="1" x14ac:dyDescent="0.2">
      <c r="A1177" s="26">
        <v>2004</v>
      </c>
      <c r="B1177" s="27" t="s">
        <v>2196</v>
      </c>
      <c r="C1177" s="27" t="s">
        <v>116</v>
      </c>
      <c r="D1177" s="28">
        <v>0.04</v>
      </c>
      <c r="E1177" s="29">
        <v>6783.02</v>
      </c>
      <c r="F1177" s="29">
        <v>24.49</v>
      </c>
      <c r="G1177" s="30" t="s">
        <v>39</v>
      </c>
      <c r="H1177" s="27" t="s">
        <v>71</v>
      </c>
      <c r="I1177" s="27" t="s">
        <v>41</v>
      </c>
      <c r="J1177" s="27" t="s">
        <v>57</v>
      </c>
      <c r="K1177" s="27" t="s">
        <v>65</v>
      </c>
      <c r="L1177" s="31" t="s">
        <v>314</v>
      </c>
      <c r="M1177" s="32">
        <v>0.39</v>
      </c>
      <c r="N1177" s="27" t="s">
        <v>33</v>
      </c>
      <c r="O1177" s="27" t="s">
        <v>60</v>
      </c>
      <c r="P1177" s="27" t="s">
        <v>277</v>
      </c>
      <c r="Q1177" s="27" t="s">
        <v>916</v>
      </c>
      <c r="R1177" s="33">
        <v>59715</v>
      </c>
      <c r="S1177" s="34">
        <v>42111</v>
      </c>
      <c r="T1177" s="34">
        <v>42113</v>
      </c>
      <c r="U1177" s="29">
        <v>-13562.637408000001</v>
      </c>
      <c r="V1177" s="26">
        <v>1</v>
      </c>
      <c r="W1177" s="29">
        <v>6569.07</v>
      </c>
      <c r="X1177" s="26">
        <v>91277</v>
      </c>
      <c r="Y1177" s="35">
        <v>55.879999999999995</v>
      </c>
      <c r="Z1177" s="1" t="s">
        <v>3013</v>
      </c>
      <c r="AA1177" s="36">
        <v>271.32080000000002</v>
      </c>
      <c r="AB1177" s="54">
        <v>4007.1326999999997</v>
      </c>
      <c r="AC1177" s="54">
        <v>2561.9373000000001</v>
      </c>
      <c r="AD1177" s="36">
        <v>19835.896608000003</v>
      </c>
    </row>
    <row r="1178" spans="1:30" s="37" customFormat="1" ht="15.75" customHeight="1" x14ac:dyDescent="0.2">
      <c r="A1178" s="26">
        <v>2593</v>
      </c>
      <c r="B1178" s="27" t="s">
        <v>1595</v>
      </c>
      <c r="C1178" s="27" t="s">
        <v>48</v>
      </c>
      <c r="D1178" s="28">
        <v>0.02</v>
      </c>
      <c r="E1178" s="29">
        <v>419.19</v>
      </c>
      <c r="F1178" s="29">
        <v>19.989999999999998</v>
      </c>
      <c r="G1178" s="30" t="s">
        <v>39</v>
      </c>
      <c r="H1178" s="27" t="s">
        <v>94</v>
      </c>
      <c r="I1178" s="27" t="s">
        <v>49</v>
      </c>
      <c r="J1178" s="27" t="s">
        <v>78</v>
      </c>
      <c r="K1178" s="27" t="s">
        <v>73</v>
      </c>
      <c r="L1178" s="31" t="s">
        <v>2192</v>
      </c>
      <c r="M1178" s="32">
        <v>0.57999999999999996</v>
      </c>
      <c r="N1178" s="27" t="s">
        <v>33</v>
      </c>
      <c r="O1178" s="27" t="s">
        <v>34</v>
      </c>
      <c r="P1178" s="27" t="s">
        <v>75</v>
      </c>
      <c r="Q1178" s="27" t="s">
        <v>1597</v>
      </c>
      <c r="R1178" s="33">
        <v>30605</v>
      </c>
      <c r="S1178" s="34">
        <v>42111</v>
      </c>
      <c r="T1178" s="34">
        <v>42111</v>
      </c>
      <c r="U1178" s="29">
        <v>-39.606000000000002</v>
      </c>
      <c r="V1178" s="26">
        <v>10</v>
      </c>
      <c r="W1178" s="29">
        <v>4354.55</v>
      </c>
      <c r="X1178" s="26">
        <v>87772</v>
      </c>
      <c r="Y1178" s="35">
        <v>6.2299999999999995</v>
      </c>
      <c r="Z1178" s="1" t="s">
        <v>3011</v>
      </c>
      <c r="AA1178" s="36">
        <v>83.838000000000008</v>
      </c>
      <c r="AB1178" s="54">
        <v>1828.9110000000003</v>
      </c>
      <c r="AC1178" s="54">
        <v>252.56390000000002</v>
      </c>
      <c r="AD1178" s="36">
        <v>4290.3280000000004</v>
      </c>
    </row>
    <row r="1179" spans="1:30" s="37" customFormat="1" ht="15.75" customHeight="1" x14ac:dyDescent="0.2">
      <c r="A1179" s="26">
        <v>1889</v>
      </c>
      <c r="B1179" s="27" t="s">
        <v>2190</v>
      </c>
      <c r="C1179" s="27" t="s">
        <v>48</v>
      </c>
      <c r="D1179" s="28">
        <v>0.09</v>
      </c>
      <c r="E1179" s="29">
        <v>78.8</v>
      </c>
      <c r="F1179" s="29">
        <v>35</v>
      </c>
      <c r="G1179" s="30" t="s">
        <v>39</v>
      </c>
      <c r="H1179" s="27" t="s">
        <v>71</v>
      </c>
      <c r="I1179" s="27" t="s">
        <v>49</v>
      </c>
      <c r="J1179" s="27" t="s">
        <v>78</v>
      </c>
      <c r="K1179" s="27" t="s">
        <v>65</v>
      </c>
      <c r="L1179" s="31" t="s">
        <v>2191</v>
      </c>
      <c r="M1179" s="32">
        <v>0.83</v>
      </c>
      <c r="N1179" s="27" t="s">
        <v>33</v>
      </c>
      <c r="O1179" s="27" t="s">
        <v>111</v>
      </c>
      <c r="P1179" s="27" t="s">
        <v>317</v>
      </c>
      <c r="Q1179" s="27" t="s">
        <v>1307</v>
      </c>
      <c r="R1179" s="33">
        <v>45429</v>
      </c>
      <c r="S1179" s="34">
        <v>42111</v>
      </c>
      <c r="T1179" s="34">
        <v>42115</v>
      </c>
      <c r="U1179" s="29">
        <v>-1025.0172</v>
      </c>
      <c r="V1179" s="26">
        <v>14</v>
      </c>
      <c r="W1179" s="29">
        <v>1059.3800000000001</v>
      </c>
      <c r="X1179" s="26">
        <v>90631</v>
      </c>
      <c r="Y1179" s="35">
        <v>12.2</v>
      </c>
      <c r="Z1179" s="1" t="s">
        <v>3014</v>
      </c>
      <c r="AA1179" s="36">
        <v>99.287999999999997</v>
      </c>
      <c r="AB1179" s="54">
        <v>180.09460000000007</v>
      </c>
      <c r="AC1179" s="54">
        <v>62.806100000000001</v>
      </c>
      <c r="AD1179" s="36">
        <v>1950.1092000000001</v>
      </c>
    </row>
    <row r="1180" spans="1:30" s="37" customFormat="1" ht="15.75" customHeight="1" x14ac:dyDescent="0.2">
      <c r="A1180" s="26">
        <v>377</v>
      </c>
      <c r="B1180" s="27" t="s">
        <v>2193</v>
      </c>
      <c r="C1180" s="27" t="s">
        <v>116</v>
      </c>
      <c r="D1180" s="28">
        <v>0.03</v>
      </c>
      <c r="E1180" s="29">
        <v>25.98</v>
      </c>
      <c r="F1180" s="29">
        <v>5.37</v>
      </c>
      <c r="G1180" s="30" t="s">
        <v>39</v>
      </c>
      <c r="H1180" s="27" t="s">
        <v>40</v>
      </c>
      <c r="I1180" s="27" t="s">
        <v>49</v>
      </c>
      <c r="J1180" s="27" t="s">
        <v>95</v>
      </c>
      <c r="K1180" s="27" t="s">
        <v>144</v>
      </c>
      <c r="L1180" s="31" t="s">
        <v>2194</v>
      </c>
      <c r="M1180" s="32">
        <v>0.5</v>
      </c>
      <c r="N1180" s="27" t="s">
        <v>33</v>
      </c>
      <c r="O1180" s="27" t="s">
        <v>53</v>
      </c>
      <c r="P1180" s="27" t="s">
        <v>103</v>
      </c>
      <c r="Q1180" s="27" t="s">
        <v>2195</v>
      </c>
      <c r="R1180" s="33">
        <v>60510</v>
      </c>
      <c r="S1180" s="34">
        <v>42111</v>
      </c>
      <c r="T1180" s="34">
        <v>42111</v>
      </c>
      <c r="U1180" s="29">
        <v>250.0376</v>
      </c>
      <c r="V1180" s="26">
        <v>17</v>
      </c>
      <c r="W1180" s="29">
        <v>460.87</v>
      </c>
      <c r="X1180" s="26">
        <v>89579</v>
      </c>
      <c r="Y1180" s="35">
        <v>125.97999999999999</v>
      </c>
      <c r="Z1180" s="1" t="s">
        <v>3012</v>
      </c>
      <c r="AA1180" s="36">
        <v>13.2498</v>
      </c>
      <c r="AB1180" s="54">
        <v>230.435</v>
      </c>
      <c r="AC1180" s="54">
        <v>13.555</v>
      </c>
      <c r="AD1180" s="36">
        <v>192.21260000000001</v>
      </c>
    </row>
    <row r="1181" spans="1:30" s="37" customFormat="1" ht="15.75" customHeight="1" x14ac:dyDescent="0.2">
      <c r="A1181" s="26">
        <v>1041</v>
      </c>
      <c r="B1181" s="27" t="s">
        <v>2185</v>
      </c>
      <c r="C1181" s="27" t="s">
        <v>26</v>
      </c>
      <c r="D1181" s="28">
        <v>0.06</v>
      </c>
      <c r="E1181" s="29">
        <v>55.94</v>
      </c>
      <c r="F1181" s="29">
        <v>4</v>
      </c>
      <c r="G1181" s="30" t="s">
        <v>39</v>
      </c>
      <c r="H1181" s="27" t="s">
        <v>3095</v>
      </c>
      <c r="I1181" s="27" t="s">
        <v>41</v>
      </c>
      <c r="J1181" s="27" t="s">
        <v>42</v>
      </c>
      <c r="K1181" s="27" t="s">
        <v>73</v>
      </c>
      <c r="L1181" s="31" t="s">
        <v>1784</v>
      </c>
      <c r="M1181" s="32">
        <v>0.74</v>
      </c>
      <c r="N1181" s="27" t="s">
        <v>33</v>
      </c>
      <c r="O1181" s="27" t="s">
        <v>60</v>
      </c>
      <c r="P1181" s="27" t="s">
        <v>90</v>
      </c>
      <c r="Q1181" s="27" t="s">
        <v>2186</v>
      </c>
      <c r="R1181" s="33">
        <v>95695</v>
      </c>
      <c r="S1181" s="34">
        <v>42111</v>
      </c>
      <c r="T1181" s="34">
        <v>42112</v>
      </c>
      <c r="U1181" s="29">
        <v>-13.77</v>
      </c>
      <c r="V1181" s="26">
        <v>6</v>
      </c>
      <c r="W1181" s="29">
        <v>322.77</v>
      </c>
      <c r="X1181" s="26">
        <v>87846</v>
      </c>
      <c r="Y1181" s="35">
        <v>125.97999999999999</v>
      </c>
      <c r="Z1181" s="1" t="s">
        <v>3013</v>
      </c>
      <c r="AA1181" s="36">
        <v>20.138399999999997</v>
      </c>
      <c r="AB1181" s="54">
        <v>83.920199999999994</v>
      </c>
      <c r="AC1181" s="54">
        <v>39.808299999999996</v>
      </c>
      <c r="AD1181" s="36">
        <v>312.40159999999997</v>
      </c>
    </row>
    <row r="1182" spans="1:30" s="37" customFormat="1" ht="15.75" customHeight="1" x14ac:dyDescent="0.2">
      <c r="A1182" s="26">
        <v>2867</v>
      </c>
      <c r="B1182" s="27" t="s">
        <v>2189</v>
      </c>
      <c r="C1182" s="27" t="s">
        <v>38</v>
      </c>
      <c r="D1182" s="28">
        <v>0.01</v>
      </c>
      <c r="E1182" s="29">
        <v>125.99</v>
      </c>
      <c r="F1182" s="29">
        <v>8.99</v>
      </c>
      <c r="G1182" s="30" t="s">
        <v>39</v>
      </c>
      <c r="H1182" s="27" t="s">
        <v>94</v>
      </c>
      <c r="I1182" s="27" t="s">
        <v>41</v>
      </c>
      <c r="J1182" s="27" t="s">
        <v>135</v>
      </c>
      <c r="K1182" s="27" t="s">
        <v>73</v>
      </c>
      <c r="L1182" s="31" t="s">
        <v>353</v>
      </c>
      <c r="M1182" s="32">
        <v>0.59</v>
      </c>
      <c r="N1182" s="27" t="s">
        <v>33</v>
      </c>
      <c r="O1182" s="27" t="s">
        <v>111</v>
      </c>
      <c r="P1182" s="27" t="s">
        <v>374</v>
      </c>
      <c r="Q1182" s="27" t="s">
        <v>67</v>
      </c>
      <c r="R1182" s="33">
        <v>20016</v>
      </c>
      <c r="S1182" s="34">
        <v>42111</v>
      </c>
      <c r="T1182" s="34">
        <v>42112</v>
      </c>
      <c r="U1182" s="29">
        <v>-582.64800000000002</v>
      </c>
      <c r="V1182" s="26">
        <v>2</v>
      </c>
      <c r="W1182" s="29">
        <v>226.88</v>
      </c>
      <c r="X1182" s="26">
        <v>11013</v>
      </c>
      <c r="Y1182" s="35">
        <v>78.709999999999994</v>
      </c>
      <c r="Z1182" s="1" t="s">
        <v>3014</v>
      </c>
      <c r="AA1182" s="36">
        <v>2.5198</v>
      </c>
      <c r="AB1182" s="54">
        <v>93.020800000000008</v>
      </c>
      <c r="AC1182" s="54">
        <v>66.929599999999994</v>
      </c>
      <c r="AD1182" s="36">
        <v>798.01819999999998</v>
      </c>
    </row>
    <row r="1183" spans="1:30" s="37" customFormat="1" ht="15.75" customHeight="1" x14ac:dyDescent="0.2">
      <c r="A1183" s="26">
        <v>2868</v>
      </c>
      <c r="B1183" s="27" t="s">
        <v>322</v>
      </c>
      <c r="C1183" s="27" t="s">
        <v>38</v>
      </c>
      <c r="D1183" s="28">
        <v>0.01</v>
      </c>
      <c r="E1183" s="29">
        <v>125.99</v>
      </c>
      <c r="F1183" s="29">
        <v>8.99</v>
      </c>
      <c r="G1183" s="30" t="s">
        <v>39</v>
      </c>
      <c r="H1183" s="27" t="s">
        <v>94</v>
      </c>
      <c r="I1183" s="27" t="s">
        <v>41</v>
      </c>
      <c r="J1183" s="27" t="s">
        <v>135</v>
      </c>
      <c r="K1183" s="27" t="s">
        <v>73</v>
      </c>
      <c r="L1183" s="31" t="s">
        <v>353</v>
      </c>
      <c r="M1183" s="32">
        <v>0.59</v>
      </c>
      <c r="N1183" s="27" t="s">
        <v>33</v>
      </c>
      <c r="O1183" s="27" t="s">
        <v>60</v>
      </c>
      <c r="P1183" s="27" t="s">
        <v>67</v>
      </c>
      <c r="Q1183" s="27" t="s">
        <v>324</v>
      </c>
      <c r="R1183" s="33">
        <v>98026</v>
      </c>
      <c r="S1183" s="34">
        <v>42111</v>
      </c>
      <c r="T1183" s="34">
        <v>42112</v>
      </c>
      <c r="U1183" s="29">
        <v>-582.64800000000002</v>
      </c>
      <c r="V1183" s="26">
        <v>1</v>
      </c>
      <c r="W1183" s="29">
        <v>113.44</v>
      </c>
      <c r="X1183" s="26">
        <v>85827</v>
      </c>
      <c r="Y1183" s="35">
        <v>419.17</v>
      </c>
      <c r="Z1183" s="1" t="s">
        <v>3013</v>
      </c>
      <c r="AA1183" s="36">
        <v>1.2599</v>
      </c>
      <c r="AB1183" s="54">
        <v>46.510400000000004</v>
      </c>
      <c r="AC1183" s="54">
        <v>66.929599999999994</v>
      </c>
      <c r="AD1183" s="36">
        <v>685.83809999999994</v>
      </c>
    </row>
    <row r="1184" spans="1:30" s="37" customFormat="1" ht="15.75" customHeight="1" x14ac:dyDescent="0.2">
      <c r="A1184" s="26">
        <v>1041</v>
      </c>
      <c r="B1184" s="27" t="s">
        <v>2185</v>
      </c>
      <c r="C1184" s="27" t="s">
        <v>26</v>
      </c>
      <c r="D1184" s="28">
        <v>7.0000000000000007E-2</v>
      </c>
      <c r="E1184" s="29">
        <v>6.3</v>
      </c>
      <c r="F1184" s="29">
        <v>0.5</v>
      </c>
      <c r="G1184" s="30" t="s">
        <v>39</v>
      </c>
      <c r="H1184" s="27" t="s">
        <v>3095</v>
      </c>
      <c r="I1184" s="27" t="s">
        <v>49</v>
      </c>
      <c r="J1184" s="27" t="s">
        <v>152</v>
      </c>
      <c r="K1184" s="27" t="s">
        <v>73</v>
      </c>
      <c r="L1184" s="31" t="s">
        <v>826</v>
      </c>
      <c r="M1184" s="32">
        <v>0.39</v>
      </c>
      <c r="N1184" s="27" t="s">
        <v>33</v>
      </c>
      <c r="O1184" s="27" t="s">
        <v>60</v>
      </c>
      <c r="P1184" s="27" t="s">
        <v>90</v>
      </c>
      <c r="Q1184" s="27" t="s">
        <v>2186</v>
      </c>
      <c r="R1184" s="33">
        <v>95695</v>
      </c>
      <c r="S1184" s="34">
        <v>42111</v>
      </c>
      <c r="T1184" s="34">
        <v>42111</v>
      </c>
      <c r="U1184" s="29">
        <v>44.912100000000002</v>
      </c>
      <c r="V1184" s="26">
        <v>11</v>
      </c>
      <c r="W1184" s="29">
        <v>65.09</v>
      </c>
      <c r="X1184" s="26">
        <v>87846</v>
      </c>
      <c r="Y1184" s="35">
        <v>25.95</v>
      </c>
      <c r="Z1184" s="1" t="s">
        <v>3013</v>
      </c>
      <c r="AA1184" s="36">
        <v>4.851</v>
      </c>
      <c r="AB1184" s="54">
        <v>39.704900000000002</v>
      </c>
      <c r="AC1184" s="54">
        <v>2.3077363636363639</v>
      </c>
      <c r="AD1184" s="36">
        <v>14.826900000000002</v>
      </c>
    </row>
    <row r="1185" spans="1:30" s="37" customFormat="1" ht="15.75" customHeight="1" x14ac:dyDescent="0.2">
      <c r="A1185" s="26">
        <v>1350</v>
      </c>
      <c r="B1185" s="27" t="s">
        <v>2187</v>
      </c>
      <c r="C1185" s="27" t="s">
        <v>38</v>
      </c>
      <c r="D1185" s="28">
        <v>0</v>
      </c>
      <c r="E1185" s="29">
        <v>12.2</v>
      </c>
      <c r="F1185" s="29">
        <v>6.02</v>
      </c>
      <c r="G1185" s="30" t="s">
        <v>87</v>
      </c>
      <c r="H1185" s="27" t="s">
        <v>71</v>
      </c>
      <c r="I1185" s="27" t="s">
        <v>29</v>
      </c>
      <c r="J1185" s="27" t="s">
        <v>126</v>
      </c>
      <c r="K1185" s="27" t="s">
        <v>43</v>
      </c>
      <c r="L1185" s="31" t="s">
        <v>2156</v>
      </c>
      <c r="M1185" s="32">
        <v>0.43</v>
      </c>
      <c r="N1185" s="27" t="s">
        <v>33</v>
      </c>
      <c r="O1185" s="27" t="s">
        <v>34</v>
      </c>
      <c r="P1185" s="27" t="s">
        <v>123</v>
      </c>
      <c r="Q1185" s="27" t="s">
        <v>2188</v>
      </c>
      <c r="R1185" s="33">
        <v>33055</v>
      </c>
      <c r="S1185" s="34">
        <v>42111</v>
      </c>
      <c r="T1185" s="34">
        <v>42112</v>
      </c>
      <c r="U1185" s="29">
        <v>-172.298</v>
      </c>
      <c r="V1185" s="26">
        <v>4</v>
      </c>
      <c r="W1185" s="29">
        <v>56.24</v>
      </c>
      <c r="X1185" s="26">
        <v>88233</v>
      </c>
      <c r="Y1185" s="35">
        <v>4.1800000000000006</v>
      </c>
      <c r="Z1185" s="1" t="s">
        <v>3011</v>
      </c>
      <c r="AA1185" s="36">
        <v>0</v>
      </c>
      <c r="AB1185" s="54">
        <v>32.056800000000003</v>
      </c>
      <c r="AC1185" s="54">
        <v>6.0457999999999998</v>
      </c>
      <c r="AD1185" s="36">
        <v>222.518</v>
      </c>
    </row>
    <row r="1186" spans="1:30" s="37" customFormat="1" ht="15.75" customHeight="1" x14ac:dyDescent="0.2">
      <c r="A1186" s="26">
        <v>2004</v>
      </c>
      <c r="B1186" s="27" t="s">
        <v>2196</v>
      </c>
      <c r="C1186" s="27" t="s">
        <v>116</v>
      </c>
      <c r="D1186" s="28">
        <v>0.06</v>
      </c>
      <c r="E1186" s="29">
        <v>4.24</v>
      </c>
      <c r="F1186" s="29">
        <v>5.41</v>
      </c>
      <c r="G1186" s="30" t="s">
        <v>39</v>
      </c>
      <c r="H1186" s="27" t="s">
        <v>71</v>
      </c>
      <c r="I1186" s="27" t="s">
        <v>49</v>
      </c>
      <c r="J1186" s="27" t="s">
        <v>72</v>
      </c>
      <c r="K1186" s="27" t="s">
        <v>73</v>
      </c>
      <c r="L1186" s="31" t="s">
        <v>1671</v>
      </c>
      <c r="M1186" s="32">
        <v>0.35</v>
      </c>
      <c r="N1186" s="27" t="s">
        <v>33</v>
      </c>
      <c r="O1186" s="27" t="s">
        <v>60</v>
      </c>
      <c r="P1186" s="27" t="s">
        <v>277</v>
      </c>
      <c r="Q1186" s="27" t="s">
        <v>916</v>
      </c>
      <c r="R1186" s="33">
        <v>59715</v>
      </c>
      <c r="S1186" s="34">
        <v>42111</v>
      </c>
      <c r="T1186" s="34">
        <v>42113</v>
      </c>
      <c r="U1186" s="29">
        <v>-78.916679999999999</v>
      </c>
      <c r="V1186" s="26">
        <v>10</v>
      </c>
      <c r="W1186" s="29">
        <v>45</v>
      </c>
      <c r="X1186" s="26">
        <v>91277</v>
      </c>
      <c r="Y1186" s="35">
        <v>6782.9800000000005</v>
      </c>
      <c r="Z1186" s="1" t="s">
        <v>3013</v>
      </c>
      <c r="AA1186" s="36">
        <v>2.544</v>
      </c>
      <c r="AB1186" s="54">
        <v>29.25</v>
      </c>
      <c r="AC1186" s="54">
        <v>1.575</v>
      </c>
      <c r="AD1186" s="36">
        <v>115.96268000000001</v>
      </c>
    </row>
    <row r="1187" spans="1:30" s="37" customFormat="1" ht="15.75" customHeight="1" x14ac:dyDescent="0.2">
      <c r="A1187" s="26">
        <v>1959</v>
      </c>
      <c r="B1187" s="27" t="s">
        <v>709</v>
      </c>
      <c r="C1187" s="27" t="s">
        <v>48</v>
      </c>
      <c r="D1187" s="28">
        <v>0.02</v>
      </c>
      <c r="E1187" s="29">
        <v>48.04</v>
      </c>
      <c r="F1187" s="29">
        <v>5.79</v>
      </c>
      <c r="G1187" s="30" t="s">
        <v>39</v>
      </c>
      <c r="H1187" s="27" t="s">
        <v>71</v>
      </c>
      <c r="I1187" s="27" t="s">
        <v>49</v>
      </c>
      <c r="J1187" s="27" t="s">
        <v>88</v>
      </c>
      <c r="K1187" s="27" t="s">
        <v>73</v>
      </c>
      <c r="L1187" s="31" t="s">
        <v>2201</v>
      </c>
      <c r="M1187" s="32">
        <v>0.37</v>
      </c>
      <c r="N1187" s="27" t="s">
        <v>33</v>
      </c>
      <c r="O1187" s="27" t="s">
        <v>34</v>
      </c>
      <c r="P1187" s="27" t="s">
        <v>123</v>
      </c>
      <c r="Q1187" s="27" t="s">
        <v>128</v>
      </c>
      <c r="R1187" s="33">
        <v>33916</v>
      </c>
      <c r="S1187" s="34">
        <v>42112</v>
      </c>
      <c r="T1187" s="34">
        <v>42117</v>
      </c>
      <c r="U1187" s="29">
        <v>624.23900000000003</v>
      </c>
      <c r="V1187" s="26">
        <v>74</v>
      </c>
      <c r="W1187" s="29">
        <v>3598.82</v>
      </c>
      <c r="X1187" s="26">
        <v>26342</v>
      </c>
      <c r="Y1187" s="35">
        <v>55.97</v>
      </c>
      <c r="Z1187" s="1" t="s">
        <v>3011</v>
      </c>
      <c r="AA1187" s="36">
        <v>71.099199999999996</v>
      </c>
      <c r="AB1187" s="54">
        <v>2267.2566000000002</v>
      </c>
      <c r="AC1187" s="54">
        <v>17.9941</v>
      </c>
      <c r="AD1187" s="36">
        <v>2897.6918000000001</v>
      </c>
    </row>
    <row r="1188" spans="1:30" s="37" customFormat="1" ht="15.75" customHeight="1" x14ac:dyDescent="0.2">
      <c r="A1188" s="26">
        <v>2097</v>
      </c>
      <c r="B1188" s="27" t="s">
        <v>2208</v>
      </c>
      <c r="C1188" s="27" t="s">
        <v>116</v>
      </c>
      <c r="D1188" s="28">
        <v>0.1</v>
      </c>
      <c r="E1188" s="29">
        <v>300.97000000000003</v>
      </c>
      <c r="F1188" s="29">
        <v>7.18</v>
      </c>
      <c r="G1188" s="30" t="s">
        <v>39</v>
      </c>
      <c r="H1188" s="27" t="s">
        <v>71</v>
      </c>
      <c r="I1188" s="27" t="s">
        <v>41</v>
      </c>
      <c r="J1188" s="27" t="s">
        <v>42</v>
      </c>
      <c r="K1188" s="27" t="s">
        <v>73</v>
      </c>
      <c r="L1188" s="31" t="s">
        <v>2209</v>
      </c>
      <c r="M1188" s="32">
        <v>0.48</v>
      </c>
      <c r="N1188" s="27" t="s">
        <v>33</v>
      </c>
      <c r="O1188" s="27" t="s">
        <v>34</v>
      </c>
      <c r="P1188" s="27" t="s">
        <v>271</v>
      </c>
      <c r="Q1188" s="27" t="s">
        <v>272</v>
      </c>
      <c r="R1188" s="33">
        <v>29915</v>
      </c>
      <c r="S1188" s="34">
        <v>42112</v>
      </c>
      <c r="T1188" s="34">
        <v>42113</v>
      </c>
      <c r="U1188" s="29">
        <v>138.018</v>
      </c>
      <c r="V1188" s="26">
        <v>4</v>
      </c>
      <c r="W1188" s="29">
        <v>1094.33</v>
      </c>
      <c r="X1188" s="26">
        <v>87889</v>
      </c>
      <c r="Y1188" s="35">
        <v>65.949999999999989</v>
      </c>
      <c r="Z1188" s="1" t="s">
        <v>3011</v>
      </c>
      <c r="AA1188" s="36">
        <v>120.38800000000002</v>
      </c>
      <c r="AB1188" s="54">
        <v>569.05160000000001</v>
      </c>
      <c r="AC1188" s="54">
        <v>131.31959999999998</v>
      </c>
      <c r="AD1188" s="36">
        <v>828.74399999999991</v>
      </c>
    </row>
    <row r="1189" spans="1:30" s="37" customFormat="1" ht="15.75" customHeight="1" x14ac:dyDescent="0.2">
      <c r="A1189" s="26">
        <v>507</v>
      </c>
      <c r="B1189" s="27" t="s">
        <v>2197</v>
      </c>
      <c r="C1189" s="27" t="s">
        <v>26</v>
      </c>
      <c r="D1189" s="28">
        <v>0.04</v>
      </c>
      <c r="E1189" s="29">
        <v>65.989999999999995</v>
      </c>
      <c r="F1189" s="29">
        <v>8.99</v>
      </c>
      <c r="G1189" s="30" t="s">
        <v>39</v>
      </c>
      <c r="H1189" s="27" t="s">
        <v>94</v>
      </c>
      <c r="I1189" s="27" t="s">
        <v>41</v>
      </c>
      <c r="J1189" s="27" t="s">
        <v>135</v>
      </c>
      <c r="K1189" s="27" t="s">
        <v>73</v>
      </c>
      <c r="L1189" s="31" t="s">
        <v>1864</v>
      </c>
      <c r="M1189" s="32">
        <v>0.56000000000000005</v>
      </c>
      <c r="N1189" s="27" t="s">
        <v>33</v>
      </c>
      <c r="O1189" s="27" t="s">
        <v>34</v>
      </c>
      <c r="P1189" s="27" t="s">
        <v>388</v>
      </c>
      <c r="Q1189" s="27" t="s">
        <v>2198</v>
      </c>
      <c r="R1189" s="33">
        <v>42104</v>
      </c>
      <c r="S1189" s="34">
        <v>42112</v>
      </c>
      <c r="T1189" s="34">
        <v>42113</v>
      </c>
      <c r="U1189" s="29">
        <v>131.334</v>
      </c>
      <c r="V1189" s="26">
        <v>17</v>
      </c>
      <c r="W1189" s="29">
        <v>946.29</v>
      </c>
      <c r="X1189" s="26">
        <v>87357</v>
      </c>
      <c r="Y1189" s="35">
        <v>130.95999999999998</v>
      </c>
      <c r="Z1189" s="1" t="s">
        <v>3011</v>
      </c>
      <c r="AA1189" s="36">
        <v>44.873199999999997</v>
      </c>
      <c r="AB1189" s="54">
        <v>416.36759999999992</v>
      </c>
      <c r="AC1189" s="54">
        <v>31.171905882352945</v>
      </c>
      <c r="AD1189" s="36">
        <v>761.0927999999999</v>
      </c>
    </row>
    <row r="1190" spans="1:30" s="37" customFormat="1" ht="15.75" customHeight="1" x14ac:dyDescent="0.2">
      <c r="A1190" s="26">
        <v>1962</v>
      </c>
      <c r="B1190" s="27" t="s">
        <v>2202</v>
      </c>
      <c r="C1190" s="27" t="s">
        <v>48</v>
      </c>
      <c r="D1190" s="28">
        <v>0.02</v>
      </c>
      <c r="E1190" s="29">
        <v>48.04</v>
      </c>
      <c r="F1190" s="29">
        <v>5.79</v>
      </c>
      <c r="G1190" s="30" t="s">
        <v>39</v>
      </c>
      <c r="H1190" s="27" t="s">
        <v>71</v>
      </c>
      <c r="I1190" s="27" t="s">
        <v>49</v>
      </c>
      <c r="J1190" s="27" t="s">
        <v>88</v>
      </c>
      <c r="K1190" s="27" t="s">
        <v>73</v>
      </c>
      <c r="L1190" s="31" t="s">
        <v>2201</v>
      </c>
      <c r="M1190" s="32">
        <v>0.37</v>
      </c>
      <c r="N1190" s="27" t="s">
        <v>33</v>
      </c>
      <c r="O1190" s="27" t="s">
        <v>53</v>
      </c>
      <c r="P1190" s="27" t="s">
        <v>289</v>
      </c>
      <c r="Q1190" s="27" t="s">
        <v>2203</v>
      </c>
      <c r="R1190" s="33">
        <v>48601</v>
      </c>
      <c r="S1190" s="34">
        <v>42112</v>
      </c>
      <c r="T1190" s="34">
        <v>42117</v>
      </c>
      <c r="U1190" s="29">
        <v>604.01909999999998</v>
      </c>
      <c r="V1190" s="26">
        <v>18</v>
      </c>
      <c r="W1190" s="29">
        <v>875.39</v>
      </c>
      <c r="X1190" s="26">
        <v>88857</v>
      </c>
      <c r="Y1190" s="35">
        <v>9.9700000000000006</v>
      </c>
      <c r="Z1190" s="1" t="s">
        <v>3012</v>
      </c>
      <c r="AA1190" s="36">
        <v>17.2944</v>
      </c>
      <c r="AB1190" s="54">
        <v>551.49569999999994</v>
      </c>
      <c r="AC1190" s="54">
        <v>17.994127777777777</v>
      </c>
      <c r="AD1190" s="36">
        <v>248.28650000000005</v>
      </c>
    </row>
    <row r="1191" spans="1:30" s="37" customFormat="1" ht="15.75" customHeight="1" x14ac:dyDescent="0.2">
      <c r="A1191" s="26">
        <v>665</v>
      </c>
      <c r="B1191" s="27" t="s">
        <v>551</v>
      </c>
      <c r="C1191" s="27" t="s">
        <v>26</v>
      </c>
      <c r="D1191" s="28">
        <v>0.02</v>
      </c>
      <c r="E1191" s="29">
        <v>130.97999999999999</v>
      </c>
      <c r="F1191" s="29">
        <v>30</v>
      </c>
      <c r="G1191" s="30" t="s">
        <v>27</v>
      </c>
      <c r="H1191" s="27" t="s">
        <v>94</v>
      </c>
      <c r="I1191" s="27" t="s">
        <v>29</v>
      </c>
      <c r="J1191" s="27" t="s">
        <v>109</v>
      </c>
      <c r="K1191" s="27" t="s">
        <v>58</v>
      </c>
      <c r="L1191" s="31" t="s">
        <v>2199</v>
      </c>
      <c r="M1191" s="32">
        <v>0.78</v>
      </c>
      <c r="N1191" s="27" t="s">
        <v>33</v>
      </c>
      <c r="O1191" s="27" t="s">
        <v>34</v>
      </c>
      <c r="P1191" s="27" t="s">
        <v>400</v>
      </c>
      <c r="Q1191" s="27" t="s">
        <v>552</v>
      </c>
      <c r="R1191" s="33">
        <v>37130</v>
      </c>
      <c r="S1191" s="34">
        <v>42112</v>
      </c>
      <c r="T1191" s="34">
        <v>42113</v>
      </c>
      <c r="U1191" s="29">
        <v>90.762</v>
      </c>
      <c r="V1191" s="26">
        <v>6</v>
      </c>
      <c r="W1191" s="29">
        <v>793.39</v>
      </c>
      <c r="X1191" s="26">
        <v>88678</v>
      </c>
      <c r="Y1191" s="35">
        <v>48.019999999999996</v>
      </c>
      <c r="Z1191" s="1" t="s">
        <v>3011</v>
      </c>
      <c r="AA1191" s="36">
        <v>15.717599999999997</v>
      </c>
      <c r="AB1191" s="54">
        <v>174.54579999999999</v>
      </c>
      <c r="AC1191" s="54">
        <v>103.1407</v>
      </c>
      <c r="AD1191" s="36">
        <v>656.91039999999998</v>
      </c>
    </row>
    <row r="1192" spans="1:30" s="37" customFormat="1" ht="15.75" customHeight="1" x14ac:dyDescent="0.2">
      <c r="A1192" s="26">
        <v>507</v>
      </c>
      <c r="B1192" s="27" t="s">
        <v>2197</v>
      </c>
      <c r="C1192" s="27" t="s">
        <v>26</v>
      </c>
      <c r="D1192" s="28">
        <v>0.01</v>
      </c>
      <c r="E1192" s="29">
        <v>55.98</v>
      </c>
      <c r="F1192" s="29">
        <v>4.8600000000000003</v>
      </c>
      <c r="G1192" s="30" t="s">
        <v>87</v>
      </c>
      <c r="H1192" s="27" t="s">
        <v>94</v>
      </c>
      <c r="I1192" s="27" t="s">
        <v>49</v>
      </c>
      <c r="J1192" s="27" t="s">
        <v>88</v>
      </c>
      <c r="K1192" s="27" t="s">
        <v>73</v>
      </c>
      <c r="L1192" s="31" t="s">
        <v>1715</v>
      </c>
      <c r="M1192" s="32">
        <v>0.36</v>
      </c>
      <c r="N1192" s="27" t="s">
        <v>33</v>
      </c>
      <c r="O1192" s="27" t="s">
        <v>34</v>
      </c>
      <c r="P1192" s="27" t="s">
        <v>388</v>
      </c>
      <c r="Q1192" s="27" t="s">
        <v>2198</v>
      </c>
      <c r="R1192" s="33">
        <v>42104</v>
      </c>
      <c r="S1192" s="34">
        <v>42112</v>
      </c>
      <c r="T1192" s="34">
        <v>42114</v>
      </c>
      <c r="U1192" s="29">
        <v>32.940899999999999</v>
      </c>
      <c r="V1192" s="26">
        <v>11</v>
      </c>
      <c r="W1192" s="29">
        <v>646.97</v>
      </c>
      <c r="X1192" s="26">
        <v>87357</v>
      </c>
      <c r="Y1192" s="35">
        <v>6.64</v>
      </c>
      <c r="Z1192" s="1" t="s">
        <v>3011</v>
      </c>
      <c r="AA1192" s="36">
        <v>6.1577999999999999</v>
      </c>
      <c r="AB1192" s="54">
        <v>414.06080000000003</v>
      </c>
      <c r="AC1192" s="54">
        <v>21.173563636363639</v>
      </c>
      <c r="AD1192" s="36">
        <v>603.01130000000001</v>
      </c>
    </row>
    <row r="1193" spans="1:30" s="37" customFormat="1" ht="15.75" customHeight="1" x14ac:dyDescent="0.2">
      <c r="A1193" s="26">
        <v>2655</v>
      </c>
      <c r="B1193" s="27" t="s">
        <v>2076</v>
      </c>
      <c r="C1193" s="27" t="s">
        <v>116</v>
      </c>
      <c r="D1193" s="28">
        <v>0.09</v>
      </c>
      <c r="E1193" s="29">
        <v>89.99</v>
      </c>
      <c r="F1193" s="29">
        <v>42</v>
      </c>
      <c r="G1193" s="30" t="s">
        <v>27</v>
      </c>
      <c r="H1193" s="27" t="s">
        <v>40</v>
      </c>
      <c r="I1193" s="27" t="s">
        <v>29</v>
      </c>
      <c r="J1193" s="27" t="s">
        <v>109</v>
      </c>
      <c r="K1193" s="27" t="s">
        <v>58</v>
      </c>
      <c r="L1193" s="31" t="s">
        <v>1211</v>
      </c>
      <c r="M1193" s="32">
        <v>0.66</v>
      </c>
      <c r="N1193" s="27" t="s">
        <v>33</v>
      </c>
      <c r="O1193" s="27" t="s">
        <v>34</v>
      </c>
      <c r="P1193" s="27" t="s">
        <v>75</v>
      </c>
      <c r="Q1193" s="27" t="s">
        <v>361</v>
      </c>
      <c r="R1193" s="33">
        <v>30318</v>
      </c>
      <c r="S1193" s="34">
        <v>42112</v>
      </c>
      <c r="T1193" s="34">
        <v>42112</v>
      </c>
      <c r="U1193" s="29">
        <v>223.416</v>
      </c>
      <c r="V1193" s="26">
        <v>6</v>
      </c>
      <c r="W1193" s="29">
        <v>511.25</v>
      </c>
      <c r="X1193" s="26">
        <v>86063</v>
      </c>
      <c r="Y1193" s="35">
        <v>48.019999999999996</v>
      </c>
      <c r="Z1193" s="1" t="s">
        <v>3011</v>
      </c>
      <c r="AA1193" s="36">
        <v>48.5946</v>
      </c>
      <c r="AB1193" s="54">
        <v>173.82499999999999</v>
      </c>
      <c r="AC1193" s="54">
        <v>56.237499999999997</v>
      </c>
      <c r="AD1193" s="36">
        <v>197.23939999999999</v>
      </c>
    </row>
    <row r="1194" spans="1:30" s="37" customFormat="1" ht="15.75" customHeight="1" x14ac:dyDescent="0.2">
      <c r="A1194" s="26">
        <v>1959</v>
      </c>
      <c r="B1194" s="27" t="s">
        <v>709</v>
      </c>
      <c r="C1194" s="27" t="s">
        <v>48</v>
      </c>
      <c r="D1194" s="28">
        <v>0.02</v>
      </c>
      <c r="E1194" s="29">
        <v>9.99</v>
      </c>
      <c r="F1194" s="29">
        <v>11.59</v>
      </c>
      <c r="G1194" s="30" t="s">
        <v>39</v>
      </c>
      <c r="H1194" s="27" t="s">
        <v>71</v>
      </c>
      <c r="I1194" s="27" t="s">
        <v>49</v>
      </c>
      <c r="J1194" s="27" t="s">
        <v>88</v>
      </c>
      <c r="K1194" s="27" t="s">
        <v>73</v>
      </c>
      <c r="L1194" s="31" t="s">
        <v>2200</v>
      </c>
      <c r="M1194" s="32">
        <v>0.4</v>
      </c>
      <c r="N1194" s="27" t="s">
        <v>33</v>
      </c>
      <c r="O1194" s="27" t="s">
        <v>34</v>
      </c>
      <c r="P1194" s="27" t="s">
        <v>123</v>
      </c>
      <c r="Q1194" s="27" t="s">
        <v>128</v>
      </c>
      <c r="R1194" s="33">
        <v>33916</v>
      </c>
      <c r="S1194" s="34">
        <v>42112</v>
      </c>
      <c r="T1194" s="34">
        <v>42121</v>
      </c>
      <c r="U1194" s="29">
        <v>-171.15770000000001</v>
      </c>
      <c r="V1194" s="26">
        <v>43</v>
      </c>
      <c r="W1194" s="29">
        <v>475.42</v>
      </c>
      <c r="X1194" s="26">
        <v>26342</v>
      </c>
      <c r="Y1194" s="35">
        <v>6.64</v>
      </c>
      <c r="Z1194" s="1" t="s">
        <v>3011</v>
      </c>
      <c r="AA1194" s="36">
        <v>8.5914000000000001</v>
      </c>
      <c r="AB1194" s="54">
        <v>285.25200000000001</v>
      </c>
      <c r="AC1194" s="54">
        <v>4.4225116279069772</v>
      </c>
      <c r="AD1194" s="36">
        <v>626.3963</v>
      </c>
    </row>
    <row r="1195" spans="1:30" s="37" customFormat="1" ht="15.75" customHeight="1" x14ac:dyDescent="0.2">
      <c r="A1195" s="26">
        <v>2098</v>
      </c>
      <c r="B1195" s="27" t="s">
        <v>2210</v>
      </c>
      <c r="C1195" s="27" t="s">
        <v>116</v>
      </c>
      <c r="D1195" s="28">
        <v>0.06</v>
      </c>
      <c r="E1195" s="29">
        <v>39.89</v>
      </c>
      <c r="F1195" s="29">
        <v>3.04</v>
      </c>
      <c r="G1195" s="30" t="s">
        <v>39</v>
      </c>
      <c r="H1195" s="27" t="s">
        <v>71</v>
      </c>
      <c r="I1195" s="27" t="s">
        <v>29</v>
      </c>
      <c r="J1195" s="27" t="s">
        <v>126</v>
      </c>
      <c r="K1195" s="27" t="s">
        <v>51</v>
      </c>
      <c r="L1195" s="31" t="s">
        <v>2211</v>
      </c>
      <c r="M1195" s="32">
        <v>0.53</v>
      </c>
      <c r="N1195" s="27" t="s">
        <v>33</v>
      </c>
      <c r="O1195" s="27" t="s">
        <v>34</v>
      </c>
      <c r="P1195" s="27" t="s">
        <v>271</v>
      </c>
      <c r="Q1195" s="27" t="s">
        <v>2212</v>
      </c>
      <c r="R1195" s="33">
        <v>29464</v>
      </c>
      <c r="S1195" s="34">
        <v>42112</v>
      </c>
      <c r="T1195" s="34">
        <v>42114</v>
      </c>
      <c r="U1195" s="29">
        <v>38.874000000000002</v>
      </c>
      <c r="V1195" s="26">
        <v>10</v>
      </c>
      <c r="W1195" s="29">
        <v>389.97</v>
      </c>
      <c r="X1195" s="26">
        <v>87889</v>
      </c>
      <c r="Y1195" s="35">
        <v>52.89</v>
      </c>
      <c r="Z1195" s="1" t="s">
        <v>3011</v>
      </c>
      <c r="AA1195" s="36">
        <v>23.933999999999997</v>
      </c>
      <c r="AB1195" s="54">
        <v>183.2859</v>
      </c>
      <c r="AC1195" s="54">
        <v>20.668410000000002</v>
      </c>
      <c r="AD1195" s="36">
        <v>324.12200000000001</v>
      </c>
    </row>
    <row r="1196" spans="1:30" s="37" customFormat="1" ht="15.75" customHeight="1" x14ac:dyDescent="0.2">
      <c r="A1196" s="26">
        <v>1827</v>
      </c>
      <c r="B1196" s="27" t="s">
        <v>1266</v>
      </c>
      <c r="C1196" s="27" t="s">
        <v>116</v>
      </c>
      <c r="D1196" s="28">
        <v>0.03</v>
      </c>
      <c r="E1196" s="29">
        <v>85.99</v>
      </c>
      <c r="F1196" s="29">
        <v>0.99</v>
      </c>
      <c r="G1196" s="30" t="s">
        <v>39</v>
      </c>
      <c r="H1196" s="27" t="s">
        <v>94</v>
      </c>
      <c r="I1196" s="27" t="s">
        <v>41</v>
      </c>
      <c r="J1196" s="27" t="s">
        <v>135</v>
      </c>
      <c r="K1196" s="27" t="s">
        <v>51</v>
      </c>
      <c r="L1196" s="31" t="s">
        <v>1176</v>
      </c>
      <c r="M1196" s="32">
        <v>0.55000000000000004</v>
      </c>
      <c r="N1196" s="27" t="s">
        <v>33</v>
      </c>
      <c r="O1196" s="27" t="s">
        <v>53</v>
      </c>
      <c r="P1196" s="27" t="s">
        <v>213</v>
      </c>
      <c r="Q1196" s="27" t="s">
        <v>928</v>
      </c>
      <c r="R1196" s="33">
        <v>52601</v>
      </c>
      <c r="S1196" s="34">
        <v>42112</v>
      </c>
      <c r="T1196" s="34">
        <v>42114</v>
      </c>
      <c r="U1196" s="29">
        <v>264.16649999999998</v>
      </c>
      <c r="V1196" s="26">
        <v>5</v>
      </c>
      <c r="W1196" s="29">
        <v>382.85</v>
      </c>
      <c r="X1196" s="26">
        <v>86958</v>
      </c>
      <c r="Y1196" s="35">
        <v>100.91000000000001</v>
      </c>
      <c r="Z1196" s="1" t="s">
        <v>3012</v>
      </c>
      <c r="AA1196" s="36">
        <v>12.898499999999999</v>
      </c>
      <c r="AB1196" s="54">
        <v>172.2825</v>
      </c>
      <c r="AC1196" s="54">
        <v>42.113500000000009</v>
      </c>
      <c r="AD1196" s="36">
        <v>104.79500000000002</v>
      </c>
    </row>
    <row r="1197" spans="1:30" s="37" customFormat="1" ht="15.75" customHeight="1" x14ac:dyDescent="0.2">
      <c r="A1197" s="26">
        <v>1826</v>
      </c>
      <c r="B1197" s="27" t="s">
        <v>2204</v>
      </c>
      <c r="C1197" s="27" t="s">
        <v>116</v>
      </c>
      <c r="D1197" s="28">
        <v>0.1</v>
      </c>
      <c r="E1197" s="29">
        <v>52.99</v>
      </c>
      <c r="F1197" s="29">
        <v>19.989999999999998</v>
      </c>
      <c r="G1197" s="30" t="s">
        <v>87</v>
      </c>
      <c r="H1197" s="27" t="s">
        <v>94</v>
      </c>
      <c r="I1197" s="27" t="s">
        <v>49</v>
      </c>
      <c r="J1197" s="27" t="s">
        <v>78</v>
      </c>
      <c r="K1197" s="27" t="s">
        <v>73</v>
      </c>
      <c r="L1197" s="31" t="s">
        <v>2205</v>
      </c>
      <c r="M1197" s="32">
        <v>0.81</v>
      </c>
      <c r="N1197" s="27" t="s">
        <v>33</v>
      </c>
      <c r="O1197" s="27" t="s">
        <v>53</v>
      </c>
      <c r="P1197" s="27" t="s">
        <v>213</v>
      </c>
      <c r="Q1197" s="27" t="s">
        <v>2206</v>
      </c>
      <c r="R1197" s="33">
        <v>52722</v>
      </c>
      <c r="S1197" s="34">
        <v>42112</v>
      </c>
      <c r="T1197" s="34">
        <v>42113</v>
      </c>
      <c r="U1197" s="29">
        <v>-517.16999999999996</v>
      </c>
      <c r="V1197" s="26">
        <v>7</v>
      </c>
      <c r="W1197" s="29">
        <v>337.59</v>
      </c>
      <c r="X1197" s="26">
        <v>86958</v>
      </c>
      <c r="Y1197" s="35">
        <v>85.96</v>
      </c>
      <c r="Z1197" s="1" t="s">
        <v>3012</v>
      </c>
      <c r="AA1197" s="36">
        <v>37.093000000000004</v>
      </c>
      <c r="AB1197" s="54">
        <v>64.142099999999971</v>
      </c>
      <c r="AC1197" s="54">
        <v>39.063985714285714</v>
      </c>
      <c r="AD1197" s="36">
        <v>797.67699999999991</v>
      </c>
    </row>
    <row r="1198" spans="1:30" s="37" customFormat="1" ht="15.75" customHeight="1" x14ac:dyDescent="0.2">
      <c r="A1198" s="26">
        <v>1827</v>
      </c>
      <c r="B1198" s="27" t="s">
        <v>1266</v>
      </c>
      <c r="C1198" s="27" t="s">
        <v>116</v>
      </c>
      <c r="D1198" s="28">
        <v>7.0000000000000007E-2</v>
      </c>
      <c r="E1198" s="29">
        <v>100.98</v>
      </c>
      <c r="F1198" s="29">
        <v>57.38</v>
      </c>
      <c r="G1198" s="30" t="s">
        <v>27</v>
      </c>
      <c r="H1198" s="27" t="s">
        <v>94</v>
      </c>
      <c r="I1198" s="27" t="s">
        <v>29</v>
      </c>
      <c r="J1198" s="27" t="s">
        <v>117</v>
      </c>
      <c r="K1198" s="27" t="s">
        <v>31</v>
      </c>
      <c r="L1198" s="31" t="s">
        <v>2207</v>
      </c>
      <c r="M1198" s="32">
        <v>0.78</v>
      </c>
      <c r="N1198" s="27" t="s">
        <v>33</v>
      </c>
      <c r="O1198" s="27" t="s">
        <v>53</v>
      </c>
      <c r="P1198" s="27" t="s">
        <v>213</v>
      </c>
      <c r="Q1198" s="27" t="s">
        <v>928</v>
      </c>
      <c r="R1198" s="33">
        <v>52601</v>
      </c>
      <c r="S1198" s="34">
        <v>42112</v>
      </c>
      <c r="T1198" s="34">
        <v>42115</v>
      </c>
      <c r="U1198" s="29">
        <v>-429.86</v>
      </c>
      <c r="V1198" s="26">
        <v>2</v>
      </c>
      <c r="W1198" s="29">
        <v>215.32</v>
      </c>
      <c r="X1198" s="26">
        <v>86958</v>
      </c>
      <c r="Y1198" s="35">
        <v>300.87</v>
      </c>
      <c r="Z1198" s="1" t="s">
        <v>3012</v>
      </c>
      <c r="AA1198" s="36">
        <v>14.137200000000002</v>
      </c>
      <c r="AB1198" s="54">
        <v>47.370399999999989</v>
      </c>
      <c r="AC1198" s="54">
        <v>83.974800000000002</v>
      </c>
      <c r="AD1198" s="36">
        <v>573.66280000000006</v>
      </c>
    </row>
    <row r="1199" spans="1:30" s="37" customFormat="1" ht="15.75" customHeight="1" x14ac:dyDescent="0.2">
      <c r="A1199" s="26">
        <v>1959</v>
      </c>
      <c r="B1199" s="27" t="s">
        <v>709</v>
      </c>
      <c r="C1199" s="27" t="s">
        <v>48</v>
      </c>
      <c r="D1199" s="28">
        <v>0.04</v>
      </c>
      <c r="E1199" s="29">
        <v>6.68</v>
      </c>
      <c r="F1199" s="29">
        <v>4.91</v>
      </c>
      <c r="G1199" s="30" t="s">
        <v>39</v>
      </c>
      <c r="H1199" s="27" t="s">
        <v>71</v>
      </c>
      <c r="I1199" s="27" t="s">
        <v>49</v>
      </c>
      <c r="J1199" s="27" t="s">
        <v>88</v>
      </c>
      <c r="K1199" s="27" t="s">
        <v>73</v>
      </c>
      <c r="L1199" s="31" t="s">
        <v>276</v>
      </c>
      <c r="M1199" s="32">
        <v>0.37</v>
      </c>
      <c r="N1199" s="27" t="s">
        <v>33</v>
      </c>
      <c r="O1199" s="27" t="s">
        <v>34</v>
      </c>
      <c r="P1199" s="27" t="s">
        <v>123</v>
      </c>
      <c r="Q1199" s="27" t="s">
        <v>128</v>
      </c>
      <c r="R1199" s="33">
        <v>33916</v>
      </c>
      <c r="S1199" s="34">
        <v>42112</v>
      </c>
      <c r="T1199" s="34">
        <v>42119</v>
      </c>
      <c r="U1199" s="29">
        <v>-14.3241</v>
      </c>
      <c r="V1199" s="26">
        <v>5</v>
      </c>
      <c r="W1199" s="29">
        <v>41.22</v>
      </c>
      <c r="X1199" s="26">
        <v>26342</v>
      </c>
      <c r="Y1199" s="35">
        <v>39.83</v>
      </c>
      <c r="Z1199" s="1" t="s">
        <v>3011</v>
      </c>
      <c r="AA1199" s="36">
        <v>1.3359999999999999</v>
      </c>
      <c r="AB1199" s="54">
        <v>25.968599999999999</v>
      </c>
      <c r="AC1199" s="54">
        <v>3.0502799999999999</v>
      </c>
      <c r="AD1199" s="36">
        <v>49.298099999999998</v>
      </c>
    </row>
    <row r="1200" spans="1:30" s="37" customFormat="1" ht="15.75" customHeight="1" x14ac:dyDescent="0.2">
      <c r="A1200" s="26">
        <v>1962</v>
      </c>
      <c r="B1200" s="27" t="s">
        <v>2202</v>
      </c>
      <c r="C1200" s="27" t="s">
        <v>48</v>
      </c>
      <c r="D1200" s="28">
        <v>0.04</v>
      </c>
      <c r="E1200" s="29">
        <v>6.68</v>
      </c>
      <c r="F1200" s="29">
        <v>4.91</v>
      </c>
      <c r="G1200" s="30" t="s">
        <v>39</v>
      </c>
      <c r="H1200" s="27" t="s">
        <v>71</v>
      </c>
      <c r="I1200" s="27" t="s">
        <v>49</v>
      </c>
      <c r="J1200" s="27" t="s">
        <v>88</v>
      </c>
      <c r="K1200" s="27" t="s">
        <v>73</v>
      </c>
      <c r="L1200" s="31" t="s">
        <v>276</v>
      </c>
      <c r="M1200" s="32">
        <v>0.37</v>
      </c>
      <c r="N1200" s="27" t="s">
        <v>33</v>
      </c>
      <c r="O1200" s="27" t="s">
        <v>53</v>
      </c>
      <c r="P1200" s="27" t="s">
        <v>289</v>
      </c>
      <c r="Q1200" s="27" t="s">
        <v>2203</v>
      </c>
      <c r="R1200" s="33">
        <v>48601</v>
      </c>
      <c r="S1200" s="34">
        <v>42112</v>
      </c>
      <c r="T1200" s="34">
        <v>42119</v>
      </c>
      <c r="U1200" s="29">
        <v>-11.631600000000001</v>
      </c>
      <c r="V1200" s="26">
        <v>1</v>
      </c>
      <c r="W1200" s="29">
        <v>8.24</v>
      </c>
      <c r="X1200" s="26">
        <v>88857</v>
      </c>
      <c r="Y1200" s="35">
        <v>89.899999999999991</v>
      </c>
      <c r="Z1200" s="1" t="s">
        <v>3012</v>
      </c>
      <c r="AA1200" s="36">
        <v>0.26719999999999999</v>
      </c>
      <c r="AB1200" s="54">
        <v>5.1912000000000003</v>
      </c>
      <c r="AC1200" s="54">
        <v>3.0488</v>
      </c>
      <c r="AD1200" s="36">
        <v>14.694400000000002</v>
      </c>
    </row>
    <row r="1201" spans="1:30" s="37" customFormat="1" ht="15.75" customHeight="1" x14ac:dyDescent="0.2">
      <c r="A1201" s="26">
        <v>3155</v>
      </c>
      <c r="B1201" s="27" t="s">
        <v>642</v>
      </c>
      <c r="C1201" s="27" t="s">
        <v>26</v>
      </c>
      <c r="D1201" s="28">
        <v>0.05</v>
      </c>
      <c r="E1201" s="29">
        <v>159.99</v>
      </c>
      <c r="F1201" s="29">
        <v>5.5</v>
      </c>
      <c r="G1201" s="30" t="s">
        <v>39</v>
      </c>
      <c r="H1201" s="27" t="s">
        <v>40</v>
      </c>
      <c r="I1201" s="27" t="s">
        <v>41</v>
      </c>
      <c r="J1201" s="27" t="s">
        <v>42</v>
      </c>
      <c r="K1201" s="27" t="s">
        <v>73</v>
      </c>
      <c r="L1201" s="31" t="s">
        <v>2213</v>
      </c>
      <c r="M1201" s="32">
        <v>0.49</v>
      </c>
      <c r="N1201" s="27" t="s">
        <v>33</v>
      </c>
      <c r="O1201" s="27" t="s">
        <v>34</v>
      </c>
      <c r="P1201" s="27" t="s">
        <v>123</v>
      </c>
      <c r="Q1201" s="27" t="s">
        <v>332</v>
      </c>
      <c r="R1201" s="33">
        <v>32771</v>
      </c>
      <c r="S1201" s="34">
        <v>42113</v>
      </c>
      <c r="T1201" s="34">
        <v>42115</v>
      </c>
      <c r="U1201" s="29">
        <v>12.263999999999999</v>
      </c>
      <c r="V1201" s="26">
        <v>23</v>
      </c>
      <c r="W1201" s="29">
        <v>3600.65</v>
      </c>
      <c r="X1201" s="26">
        <v>86902</v>
      </c>
      <c r="Y1201" s="35">
        <v>159.94</v>
      </c>
      <c r="Z1201" s="1" t="s">
        <v>3011</v>
      </c>
      <c r="AA1201" s="36">
        <v>183.98850000000002</v>
      </c>
      <c r="AB1201" s="54">
        <v>1836.3315</v>
      </c>
      <c r="AC1201" s="54">
        <v>76.709500000000006</v>
      </c>
      <c r="AD1201" s="36">
        <v>3398.8975</v>
      </c>
    </row>
    <row r="1202" spans="1:30" s="37" customFormat="1" ht="15.75" customHeight="1" x14ac:dyDescent="0.2">
      <c r="A1202" s="26">
        <v>1940</v>
      </c>
      <c r="B1202" s="27" t="s">
        <v>1795</v>
      </c>
      <c r="C1202" s="27" t="s">
        <v>48</v>
      </c>
      <c r="D1202" s="28">
        <v>0.08</v>
      </c>
      <c r="E1202" s="29">
        <v>122.99</v>
      </c>
      <c r="F1202" s="29">
        <v>70.2</v>
      </c>
      <c r="G1202" s="30" t="s">
        <v>27</v>
      </c>
      <c r="H1202" s="27" t="s">
        <v>94</v>
      </c>
      <c r="I1202" s="27" t="s">
        <v>29</v>
      </c>
      <c r="J1202" s="27" t="s">
        <v>109</v>
      </c>
      <c r="K1202" s="27" t="s">
        <v>58</v>
      </c>
      <c r="L1202" s="31" t="s">
        <v>804</v>
      </c>
      <c r="M1202" s="32">
        <v>0.74</v>
      </c>
      <c r="N1202" s="27" t="s">
        <v>33</v>
      </c>
      <c r="O1202" s="27" t="s">
        <v>60</v>
      </c>
      <c r="P1202" s="27" t="s">
        <v>146</v>
      </c>
      <c r="Q1202" s="27" t="s">
        <v>147</v>
      </c>
      <c r="R1202" s="33">
        <v>84020</v>
      </c>
      <c r="S1202" s="34">
        <v>42113</v>
      </c>
      <c r="T1202" s="34">
        <v>42118</v>
      </c>
      <c r="U1202" s="29">
        <v>-1867.97</v>
      </c>
      <c r="V1202" s="26">
        <v>10</v>
      </c>
      <c r="W1202" s="29">
        <v>1216.52</v>
      </c>
      <c r="X1202" s="26">
        <v>88871</v>
      </c>
      <c r="Y1202" s="35">
        <v>155.98000000000002</v>
      </c>
      <c r="Z1202" s="1" t="s">
        <v>3013</v>
      </c>
      <c r="AA1202" s="36">
        <v>98.391999999999996</v>
      </c>
      <c r="AB1202" s="54">
        <v>316.29520000000002</v>
      </c>
      <c r="AC1202" s="54">
        <v>90.022480000000002</v>
      </c>
      <c r="AD1202" s="36">
        <v>2915.8980000000001</v>
      </c>
    </row>
    <row r="1203" spans="1:30" s="37" customFormat="1" ht="15.75" customHeight="1" x14ac:dyDescent="0.2">
      <c r="A1203" s="26">
        <v>2212</v>
      </c>
      <c r="B1203" s="27" t="s">
        <v>2217</v>
      </c>
      <c r="C1203" s="27" t="s">
        <v>38</v>
      </c>
      <c r="D1203" s="28">
        <v>0.09</v>
      </c>
      <c r="E1203" s="29">
        <v>199.99</v>
      </c>
      <c r="F1203" s="29">
        <v>24.49</v>
      </c>
      <c r="G1203" s="30" t="s">
        <v>87</v>
      </c>
      <c r="H1203" s="27" t="s">
        <v>71</v>
      </c>
      <c r="I1203" s="27" t="s">
        <v>41</v>
      </c>
      <c r="J1203" s="27" t="s">
        <v>64</v>
      </c>
      <c r="K1203" s="27" t="s">
        <v>65</v>
      </c>
      <c r="L1203" s="31" t="s">
        <v>747</v>
      </c>
      <c r="M1203" s="32">
        <v>0.46</v>
      </c>
      <c r="N1203" s="27" t="s">
        <v>33</v>
      </c>
      <c r="O1203" s="27" t="s">
        <v>111</v>
      </c>
      <c r="P1203" s="27" t="s">
        <v>418</v>
      </c>
      <c r="Q1203" s="27" t="s">
        <v>2218</v>
      </c>
      <c r="R1203" s="33">
        <v>21228</v>
      </c>
      <c r="S1203" s="34">
        <v>42113</v>
      </c>
      <c r="T1203" s="34">
        <v>42115</v>
      </c>
      <c r="U1203" s="29">
        <v>631.33000000000004</v>
      </c>
      <c r="V1203" s="26">
        <v>5</v>
      </c>
      <c r="W1203" s="29">
        <v>990.25</v>
      </c>
      <c r="X1203" s="26">
        <v>88029</v>
      </c>
      <c r="Y1203" s="35">
        <v>5.9700000000000006</v>
      </c>
      <c r="Z1203" s="1" t="s">
        <v>3014</v>
      </c>
      <c r="AA1203" s="36">
        <v>89.995499999999993</v>
      </c>
      <c r="AB1203" s="54">
        <v>534.73500000000001</v>
      </c>
      <c r="AC1203" s="54">
        <v>91.103000000000009</v>
      </c>
      <c r="AD1203" s="36">
        <v>244.43449999999996</v>
      </c>
    </row>
    <row r="1204" spans="1:30" s="37" customFormat="1" ht="15.75" customHeight="1" x14ac:dyDescent="0.2">
      <c r="A1204" s="26">
        <v>1836</v>
      </c>
      <c r="B1204" s="27" t="s">
        <v>2214</v>
      </c>
      <c r="C1204" s="27" t="s">
        <v>38</v>
      </c>
      <c r="D1204" s="28">
        <v>0.01</v>
      </c>
      <c r="E1204" s="29">
        <v>155.99</v>
      </c>
      <c r="F1204" s="29">
        <v>8.99</v>
      </c>
      <c r="G1204" s="30" t="s">
        <v>87</v>
      </c>
      <c r="H1204" s="27" t="s">
        <v>94</v>
      </c>
      <c r="I1204" s="27" t="s">
        <v>41</v>
      </c>
      <c r="J1204" s="27" t="s">
        <v>135</v>
      </c>
      <c r="K1204" s="27" t="s">
        <v>73</v>
      </c>
      <c r="L1204" s="31" t="s">
        <v>1297</v>
      </c>
      <c r="M1204" s="32">
        <v>0.57999999999999996</v>
      </c>
      <c r="N1204" s="27" t="s">
        <v>33</v>
      </c>
      <c r="O1204" s="27" t="s">
        <v>60</v>
      </c>
      <c r="P1204" s="27" t="s">
        <v>90</v>
      </c>
      <c r="Q1204" s="27" t="s">
        <v>941</v>
      </c>
      <c r="R1204" s="33">
        <v>94110</v>
      </c>
      <c r="S1204" s="34">
        <v>42113</v>
      </c>
      <c r="T1204" s="34">
        <v>42114</v>
      </c>
      <c r="U1204" s="29">
        <v>-219.07908</v>
      </c>
      <c r="V1204" s="26">
        <v>5</v>
      </c>
      <c r="W1204" s="29">
        <v>675.83</v>
      </c>
      <c r="X1204" s="26">
        <v>86600</v>
      </c>
      <c r="Y1204" s="35">
        <v>199.9</v>
      </c>
      <c r="Z1204" s="1" t="s">
        <v>3013</v>
      </c>
      <c r="AA1204" s="36">
        <v>7.7995000000000001</v>
      </c>
      <c r="AB1204" s="54">
        <v>283.84860000000003</v>
      </c>
      <c r="AC1204" s="54">
        <v>78.39627999999999</v>
      </c>
      <c r="AD1204" s="36">
        <v>878.11958000000004</v>
      </c>
    </row>
    <row r="1205" spans="1:30" s="37" customFormat="1" ht="15.75" customHeight="1" x14ac:dyDescent="0.2">
      <c r="A1205" s="26">
        <v>152</v>
      </c>
      <c r="B1205" s="27" t="s">
        <v>505</v>
      </c>
      <c r="C1205" s="27" t="s">
        <v>48</v>
      </c>
      <c r="D1205" s="28">
        <v>0.01</v>
      </c>
      <c r="E1205" s="29">
        <v>79.52</v>
      </c>
      <c r="F1205" s="29">
        <v>48.2</v>
      </c>
      <c r="G1205" s="30" t="s">
        <v>39</v>
      </c>
      <c r="H1205" s="27" t="s">
        <v>71</v>
      </c>
      <c r="I1205" s="27" t="s">
        <v>29</v>
      </c>
      <c r="J1205" s="27" t="s">
        <v>126</v>
      </c>
      <c r="K1205" s="27" t="s">
        <v>144</v>
      </c>
      <c r="L1205" s="31" t="s">
        <v>2219</v>
      </c>
      <c r="M1205" s="32">
        <v>0.74</v>
      </c>
      <c r="N1205" s="27" t="s">
        <v>33</v>
      </c>
      <c r="O1205" s="27" t="s">
        <v>34</v>
      </c>
      <c r="P1205" s="27" t="s">
        <v>400</v>
      </c>
      <c r="Q1205" s="27" t="s">
        <v>507</v>
      </c>
      <c r="R1205" s="33">
        <v>37918</v>
      </c>
      <c r="S1205" s="34">
        <v>42113</v>
      </c>
      <c r="T1205" s="34">
        <v>42120</v>
      </c>
      <c r="U1205" s="29">
        <v>-40.683999999999997</v>
      </c>
      <c r="V1205" s="26">
        <v>8</v>
      </c>
      <c r="W1205" s="29">
        <v>667.84</v>
      </c>
      <c r="X1205" s="26">
        <v>89522</v>
      </c>
      <c r="Y1205" s="35">
        <v>79.509999999999991</v>
      </c>
      <c r="Z1205" s="1" t="s">
        <v>3011</v>
      </c>
      <c r="AA1205" s="36">
        <v>6.3616000000000001</v>
      </c>
      <c r="AB1205" s="54">
        <v>173.63840000000002</v>
      </c>
      <c r="AC1205" s="54">
        <v>61.775200000000005</v>
      </c>
      <c r="AD1205" s="36">
        <v>653.9624</v>
      </c>
    </row>
    <row r="1206" spans="1:30" s="37" customFormat="1" ht="15.75" customHeight="1" x14ac:dyDescent="0.2">
      <c r="A1206" s="26">
        <v>1940</v>
      </c>
      <c r="B1206" s="27" t="s">
        <v>1795</v>
      </c>
      <c r="C1206" s="27" t="s">
        <v>48</v>
      </c>
      <c r="D1206" s="28">
        <v>0</v>
      </c>
      <c r="E1206" s="29">
        <v>78.650000000000006</v>
      </c>
      <c r="F1206" s="29">
        <v>13.99</v>
      </c>
      <c r="G1206" s="30" t="s">
        <v>39</v>
      </c>
      <c r="H1206" s="27" t="s">
        <v>94</v>
      </c>
      <c r="I1206" s="27" t="s">
        <v>49</v>
      </c>
      <c r="J1206" s="27" t="s">
        <v>95</v>
      </c>
      <c r="K1206" s="27" t="s">
        <v>144</v>
      </c>
      <c r="L1206" s="31" t="s">
        <v>1714</v>
      </c>
      <c r="M1206" s="32">
        <v>0.52</v>
      </c>
      <c r="N1206" s="27" t="s">
        <v>33</v>
      </c>
      <c r="O1206" s="27" t="s">
        <v>60</v>
      </c>
      <c r="P1206" s="27" t="s">
        <v>146</v>
      </c>
      <c r="Q1206" s="27" t="s">
        <v>147</v>
      </c>
      <c r="R1206" s="33">
        <v>84020</v>
      </c>
      <c r="S1206" s="34">
        <v>42113</v>
      </c>
      <c r="T1206" s="34">
        <v>42120</v>
      </c>
      <c r="U1206" s="29">
        <v>386.00670000000002</v>
      </c>
      <c r="V1206" s="26">
        <v>7</v>
      </c>
      <c r="W1206" s="29">
        <v>559.42999999999995</v>
      </c>
      <c r="X1206" s="26">
        <v>88871</v>
      </c>
      <c r="Y1206" s="35">
        <v>3.52</v>
      </c>
      <c r="Z1206" s="1" t="s">
        <v>3013</v>
      </c>
      <c r="AA1206" s="36">
        <v>0</v>
      </c>
      <c r="AB1206" s="54">
        <v>268.52639999999997</v>
      </c>
      <c r="AC1206" s="54">
        <v>41.557657142857146</v>
      </c>
      <c r="AD1206" s="36">
        <v>159.43329999999992</v>
      </c>
    </row>
    <row r="1207" spans="1:30" s="37" customFormat="1" ht="15.75" customHeight="1" x14ac:dyDescent="0.2">
      <c r="A1207" s="26">
        <v>1933</v>
      </c>
      <c r="B1207" s="27" t="s">
        <v>2220</v>
      </c>
      <c r="C1207" s="27" t="s">
        <v>48</v>
      </c>
      <c r="D1207" s="28">
        <v>0.06</v>
      </c>
      <c r="E1207" s="29">
        <v>3.58</v>
      </c>
      <c r="F1207" s="29">
        <v>1.63</v>
      </c>
      <c r="G1207" s="30" t="s">
        <v>39</v>
      </c>
      <c r="H1207" s="27" t="s">
        <v>94</v>
      </c>
      <c r="I1207" s="27" t="s">
        <v>49</v>
      </c>
      <c r="J1207" s="27" t="s">
        <v>176</v>
      </c>
      <c r="K1207" s="27" t="s">
        <v>51</v>
      </c>
      <c r="L1207" s="31" t="s">
        <v>2221</v>
      </c>
      <c r="M1207" s="32">
        <v>0.36</v>
      </c>
      <c r="N1207" s="27" t="s">
        <v>33</v>
      </c>
      <c r="O1207" s="27" t="s">
        <v>53</v>
      </c>
      <c r="P1207" s="27" t="s">
        <v>187</v>
      </c>
      <c r="Q1207" s="27" t="s">
        <v>2222</v>
      </c>
      <c r="R1207" s="33">
        <v>75043</v>
      </c>
      <c r="S1207" s="34">
        <v>42113</v>
      </c>
      <c r="T1207" s="34">
        <v>42117</v>
      </c>
      <c r="U1207" s="29">
        <v>14</v>
      </c>
      <c r="V1207" s="26">
        <v>10</v>
      </c>
      <c r="W1207" s="29">
        <v>34.76</v>
      </c>
      <c r="X1207" s="26">
        <v>86687</v>
      </c>
      <c r="Y1207" s="35">
        <v>78.650000000000006</v>
      </c>
      <c r="Z1207" s="1" t="s">
        <v>3012</v>
      </c>
      <c r="AA1207" s="36">
        <v>2.1479999999999997</v>
      </c>
      <c r="AB1207" s="54">
        <v>22.246399999999998</v>
      </c>
      <c r="AC1207" s="54">
        <v>1.25136</v>
      </c>
      <c r="AD1207" s="36">
        <v>16.981999999999999</v>
      </c>
    </row>
    <row r="1208" spans="1:30" s="37" customFormat="1" ht="15.75" customHeight="1" x14ac:dyDescent="0.2">
      <c r="A1208" s="26">
        <v>2066</v>
      </c>
      <c r="B1208" s="27" t="s">
        <v>1872</v>
      </c>
      <c r="C1208" s="27" t="s">
        <v>48</v>
      </c>
      <c r="D1208" s="28">
        <v>0.1</v>
      </c>
      <c r="E1208" s="29">
        <v>4.24</v>
      </c>
      <c r="F1208" s="29">
        <v>5.41</v>
      </c>
      <c r="G1208" s="30" t="s">
        <v>39</v>
      </c>
      <c r="H1208" s="27" t="s">
        <v>94</v>
      </c>
      <c r="I1208" s="27" t="s">
        <v>49</v>
      </c>
      <c r="J1208" s="27" t="s">
        <v>72</v>
      </c>
      <c r="K1208" s="27" t="s">
        <v>73</v>
      </c>
      <c r="L1208" s="31" t="s">
        <v>1671</v>
      </c>
      <c r="M1208" s="32">
        <v>0.35</v>
      </c>
      <c r="N1208" s="27" t="s">
        <v>33</v>
      </c>
      <c r="O1208" s="27" t="s">
        <v>34</v>
      </c>
      <c r="P1208" s="27" t="s">
        <v>97</v>
      </c>
      <c r="Q1208" s="27" t="s">
        <v>1874</v>
      </c>
      <c r="R1208" s="33">
        <v>28079</v>
      </c>
      <c r="S1208" s="34">
        <v>42113</v>
      </c>
      <c r="T1208" s="34">
        <v>42117</v>
      </c>
      <c r="U1208" s="29">
        <v>-61.6</v>
      </c>
      <c r="V1208" s="26">
        <v>8</v>
      </c>
      <c r="W1208" s="29">
        <v>34.159999999999997</v>
      </c>
      <c r="X1208" s="26">
        <v>85835</v>
      </c>
      <c r="Y1208" s="35">
        <v>122.91</v>
      </c>
      <c r="Z1208" s="1" t="s">
        <v>3011</v>
      </c>
      <c r="AA1208" s="36">
        <v>3.3920000000000003</v>
      </c>
      <c r="AB1208" s="54">
        <v>22.203999999999997</v>
      </c>
      <c r="AC1208" s="54">
        <v>1.4944999999999997</v>
      </c>
      <c r="AD1208" s="36">
        <v>86.957999999999998</v>
      </c>
    </row>
    <row r="1209" spans="1:30" s="37" customFormat="1" ht="15.75" customHeight="1" x14ac:dyDescent="0.2">
      <c r="A1209" s="26">
        <v>1837</v>
      </c>
      <c r="B1209" s="27" t="s">
        <v>2215</v>
      </c>
      <c r="C1209" s="27" t="s">
        <v>38</v>
      </c>
      <c r="D1209" s="28">
        <v>0.01</v>
      </c>
      <c r="E1209" s="29">
        <v>5.98</v>
      </c>
      <c r="F1209" s="29">
        <v>5.46</v>
      </c>
      <c r="G1209" s="30" t="s">
        <v>39</v>
      </c>
      <c r="H1209" s="27" t="s">
        <v>94</v>
      </c>
      <c r="I1209" s="27" t="s">
        <v>49</v>
      </c>
      <c r="J1209" s="27" t="s">
        <v>88</v>
      </c>
      <c r="K1209" s="27" t="s">
        <v>73</v>
      </c>
      <c r="L1209" s="31" t="s">
        <v>1156</v>
      </c>
      <c r="M1209" s="32">
        <v>0.36</v>
      </c>
      <c r="N1209" s="27" t="s">
        <v>33</v>
      </c>
      <c r="O1209" s="27" t="s">
        <v>60</v>
      </c>
      <c r="P1209" s="27" t="s">
        <v>90</v>
      </c>
      <c r="Q1209" s="27" t="s">
        <v>2216</v>
      </c>
      <c r="R1209" s="33">
        <v>91776</v>
      </c>
      <c r="S1209" s="34">
        <v>42113</v>
      </c>
      <c r="T1209" s="34">
        <v>42115</v>
      </c>
      <c r="U1209" s="29">
        <v>-18.878399999999999</v>
      </c>
      <c r="V1209" s="26">
        <v>4</v>
      </c>
      <c r="W1209" s="29">
        <v>28</v>
      </c>
      <c r="X1209" s="26">
        <v>86600</v>
      </c>
      <c r="Y1209" s="35">
        <v>4.1400000000000006</v>
      </c>
      <c r="Z1209" s="1" t="s">
        <v>3013</v>
      </c>
      <c r="AA1209" s="36">
        <v>0.23920000000000002</v>
      </c>
      <c r="AB1209" s="54">
        <v>17.920000000000002</v>
      </c>
      <c r="AC1209" s="54">
        <v>2.52</v>
      </c>
      <c r="AD1209" s="36">
        <v>41.179199999999994</v>
      </c>
    </row>
    <row r="1210" spans="1:30" s="37" customFormat="1" ht="15.75" customHeight="1" x14ac:dyDescent="0.2">
      <c r="A1210" s="26">
        <v>2547</v>
      </c>
      <c r="B1210" s="27" t="s">
        <v>2223</v>
      </c>
      <c r="C1210" s="27" t="s">
        <v>48</v>
      </c>
      <c r="D1210" s="28">
        <v>7.0000000000000007E-2</v>
      </c>
      <c r="E1210" s="29">
        <v>6.48</v>
      </c>
      <c r="F1210" s="29">
        <v>9.5399999999999991</v>
      </c>
      <c r="G1210" s="30" t="s">
        <v>39</v>
      </c>
      <c r="H1210" s="27" t="s">
        <v>3095</v>
      </c>
      <c r="I1210" s="27" t="s">
        <v>49</v>
      </c>
      <c r="J1210" s="27" t="s">
        <v>88</v>
      </c>
      <c r="K1210" s="27" t="s">
        <v>73</v>
      </c>
      <c r="L1210" s="31" t="s">
        <v>2224</v>
      </c>
      <c r="M1210" s="32">
        <v>0.37</v>
      </c>
      <c r="N1210" s="27" t="s">
        <v>33</v>
      </c>
      <c r="O1210" s="27" t="s">
        <v>34</v>
      </c>
      <c r="P1210" s="27" t="s">
        <v>242</v>
      </c>
      <c r="Q1210" s="27" t="s">
        <v>2225</v>
      </c>
      <c r="R1210" s="33">
        <v>23464</v>
      </c>
      <c r="S1210" s="34">
        <v>42113</v>
      </c>
      <c r="T1210" s="34">
        <v>42113</v>
      </c>
      <c r="U1210" s="29">
        <v>2.2320000000000002</v>
      </c>
      <c r="V1210" s="26">
        <v>1</v>
      </c>
      <c r="W1210" s="29">
        <v>10.86</v>
      </c>
      <c r="X1210" s="26">
        <v>87916</v>
      </c>
      <c r="Y1210" s="35">
        <v>6.41</v>
      </c>
      <c r="Z1210" s="1" t="s">
        <v>3011</v>
      </c>
      <c r="AA1210" s="36">
        <v>0.45360000000000006</v>
      </c>
      <c r="AB1210" s="54">
        <v>6.8418000000000001</v>
      </c>
      <c r="AC1210" s="54">
        <v>4.0181999999999993</v>
      </c>
      <c r="AD1210" s="36">
        <v>-1.3655999999999988</v>
      </c>
    </row>
    <row r="1211" spans="1:30" s="37" customFormat="1" ht="15.75" customHeight="1" x14ac:dyDescent="0.2">
      <c r="A1211" s="26">
        <v>2117</v>
      </c>
      <c r="B1211" s="27" t="s">
        <v>2231</v>
      </c>
      <c r="C1211" s="27" t="s">
        <v>38</v>
      </c>
      <c r="D1211" s="28">
        <v>0.03</v>
      </c>
      <c r="E1211" s="29">
        <v>320.98</v>
      </c>
      <c r="F1211" s="29">
        <v>24.49</v>
      </c>
      <c r="G1211" s="30" t="s">
        <v>39</v>
      </c>
      <c r="H1211" s="27" t="s">
        <v>71</v>
      </c>
      <c r="I1211" s="27" t="s">
        <v>29</v>
      </c>
      <c r="J1211" s="27" t="s">
        <v>109</v>
      </c>
      <c r="K1211" s="27" t="s">
        <v>65</v>
      </c>
      <c r="L1211" s="31" t="s">
        <v>2232</v>
      </c>
      <c r="M1211" s="32">
        <v>0.55000000000000004</v>
      </c>
      <c r="N1211" s="27" t="s">
        <v>33</v>
      </c>
      <c r="O1211" s="27" t="s">
        <v>53</v>
      </c>
      <c r="P1211" s="27" t="s">
        <v>187</v>
      </c>
      <c r="Q1211" s="27" t="s">
        <v>1027</v>
      </c>
      <c r="R1211" s="33">
        <v>75401</v>
      </c>
      <c r="S1211" s="34">
        <v>42114</v>
      </c>
      <c r="T1211" s="34">
        <v>42116</v>
      </c>
      <c r="U1211" s="29">
        <v>4554.4346999999998</v>
      </c>
      <c r="V1211" s="26">
        <v>20</v>
      </c>
      <c r="W1211" s="29">
        <v>6600.63</v>
      </c>
      <c r="X1211" s="26">
        <v>90891</v>
      </c>
      <c r="Y1211" s="35">
        <v>315.95000000000005</v>
      </c>
      <c r="Z1211" s="1" t="s">
        <v>3012</v>
      </c>
      <c r="AA1211" s="36">
        <v>192.58800000000002</v>
      </c>
      <c r="AB1211" s="54">
        <v>2970.2834999999995</v>
      </c>
      <c r="AC1211" s="54">
        <v>181.517325</v>
      </c>
      <c r="AD1211" s="36">
        <v>1829.1173000000008</v>
      </c>
    </row>
    <row r="1212" spans="1:30" s="37" customFormat="1" ht="15.75" customHeight="1" x14ac:dyDescent="0.2">
      <c r="A1212" s="26">
        <v>3380</v>
      </c>
      <c r="B1212" s="27" t="s">
        <v>2226</v>
      </c>
      <c r="C1212" s="27" t="s">
        <v>26</v>
      </c>
      <c r="D1212" s="28">
        <v>0.03</v>
      </c>
      <c r="E1212" s="29">
        <v>315.98</v>
      </c>
      <c r="F1212" s="29">
        <v>19.989999999999998</v>
      </c>
      <c r="G1212" s="30" t="s">
        <v>39</v>
      </c>
      <c r="H1212" s="27" t="s">
        <v>71</v>
      </c>
      <c r="I1212" s="27" t="s">
        <v>49</v>
      </c>
      <c r="J1212" s="27" t="s">
        <v>72</v>
      </c>
      <c r="K1212" s="27" t="s">
        <v>73</v>
      </c>
      <c r="L1212" s="31" t="s">
        <v>2227</v>
      </c>
      <c r="M1212" s="32">
        <v>0.38</v>
      </c>
      <c r="N1212" s="27" t="s">
        <v>33</v>
      </c>
      <c r="O1212" s="27" t="s">
        <v>34</v>
      </c>
      <c r="P1212" s="27" t="s">
        <v>75</v>
      </c>
      <c r="Q1212" s="27" t="s">
        <v>2228</v>
      </c>
      <c r="R1212" s="33">
        <v>30240</v>
      </c>
      <c r="S1212" s="34">
        <v>42114</v>
      </c>
      <c r="T1212" s="34">
        <v>42116</v>
      </c>
      <c r="U1212" s="29">
        <v>-4.4800000000000004</v>
      </c>
      <c r="V1212" s="26">
        <v>18</v>
      </c>
      <c r="W1212" s="29">
        <v>5572.18</v>
      </c>
      <c r="X1212" s="26">
        <v>88838</v>
      </c>
      <c r="Y1212" s="35">
        <v>63.91</v>
      </c>
      <c r="Z1212" s="1" t="s">
        <v>3011</v>
      </c>
      <c r="AA1212" s="36">
        <v>170.6292</v>
      </c>
      <c r="AB1212" s="54">
        <v>3454.7516000000001</v>
      </c>
      <c r="AC1212" s="54">
        <v>117.63491111111112</v>
      </c>
      <c r="AD1212" s="36">
        <v>5386.0408000000007</v>
      </c>
    </row>
    <row r="1213" spans="1:30" s="37" customFormat="1" ht="15.75" customHeight="1" x14ac:dyDescent="0.2">
      <c r="A1213" s="26">
        <v>241</v>
      </c>
      <c r="B1213" s="27" t="s">
        <v>2240</v>
      </c>
      <c r="C1213" s="27" t="s">
        <v>116</v>
      </c>
      <c r="D1213" s="28">
        <v>0.06</v>
      </c>
      <c r="E1213" s="29">
        <v>259.70999999999998</v>
      </c>
      <c r="F1213" s="29">
        <v>66.67</v>
      </c>
      <c r="G1213" s="30" t="s">
        <v>27</v>
      </c>
      <c r="H1213" s="27" t="s">
        <v>3095</v>
      </c>
      <c r="I1213" s="27" t="s">
        <v>29</v>
      </c>
      <c r="J1213" s="27" t="s">
        <v>30</v>
      </c>
      <c r="K1213" s="27" t="s">
        <v>31</v>
      </c>
      <c r="L1213" s="31" t="s">
        <v>1026</v>
      </c>
      <c r="M1213" s="32">
        <v>0.61</v>
      </c>
      <c r="N1213" s="27" t="s">
        <v>33</v>
      </c>
      <c r="O1213" s="27" t="s">
        <v>60</v>
      </c>
      <c r="P1213" s="27" t="s">
        <v>61</v>
      </c>
      <c r="Q1213" s="27" t="s">
        <v>2241</v>
      </c>
      <c r="R1213" s="33">
        <v>81503</v>
      </c>
      <c r="S1213" s="34">
        <v>42114</v>
      </c>
      <c r="T1213" s="34">
        <v>42115</v>
      </c>
      <c r="U1213" s="29">
        <v>785.63</v>
      </c>
      <c r="V1213" s="26">
        <v>11</v>
      </c>
      <c r="W1213" s="29">
        <v>2809.87</v>
      </c>
      <c r="X1213" s="26">
        <v>90479</v>
      </c>
      <c r="Y1213" s="35">
        <v>5.8900000000000006</v>
      </c>
      <c r="Z1213" s="1" t="s">
        <v>3013</v>
      </c>
      <c r="AA1213" s="36">
        <v>171.40859999999998</v>
      </c>
      <c r="AB1213" s="54">
        <v>1095.8493000000001</v>
      </c>
      <c r="AC1213" s="54">
        <v>155.82006363636364</v>
      </c>
      <c r="AD1213" s="36">
        <v>1786.1614</v>
      </c>
    </row>
    <row r="1214" spans="1:30" s="37" customFormat="1" ht="15.75" customHeight="1" x14ac:dyDescent="0.2">
      <c r="A1214" s="26">
        <v>2117</v>
      </c>
      <c r="B1214" s="27" t="s">
        <v>2231</v>
      </c>
      <c r="C1214" s="27" t="s">
        <v>38</v>
      </c>
      <c r="D1214" s="28">
        <v>0.06</v>
      </c>
      <c r="E1214" s="29">
        <v>125.99</v>
      </c>
      <c r="F1214" s="29">
        <v>8.8000000000000007</v>
      </c>
      <c r="G1214" s="30" t="s">
        <v>39</v>
      </c>
      <c r="H1214" s="27" t="s">
        <v>71</v>
      </c>
      <c r="I1214" s="27" t="s">
        <v>41</v>
      </c>
      <c r="J1214" s="27" t="s">
        <v>135</v>
      </c>
      <c r="K1214" s="27" t="s">
        <v>73</v>
      </c>
      <c r="L1214" s="31" t="s">
        <v>2233</v>
      </c>
      <c r="M1214" s="32">
        <v>0.59</v>
      </c>
      <c r="N1214" s="27" t="s">
        <v>33</v>
      </c>
      <c r="O1214" s="27" t="s">
        <v>53</v>
      </c>
      <c r="P1214" s="27" t="s">
        <v>187</v>
      </c>
      <c r="Q1214" s="27" t="s">
        <v>1027</v>
      </c>
      <c r="R1214" s="33">
        <v>75401</v>
      </c>
      <c r="S1214" s="34">
        <v>42114</v>
      </c>
      <c r="T1214" s="34">
        <v>42115</v>
      </c>
      <c r="U1214" s="29">
        <v>618.19308000000001</v>
      </c>
      <c r="V1214" s="26">
        <v>18</v>
      </c>
      <c r="W1214" s="29">
        <v>1811.99</v>
      </c>
      <c r="X1214" s="26">
        <v>90891</v>
      </c>
      <c r="Y1214" s="35">
        <v>3.66</v>
      </c>
      <c r="Z1214" s="1" t="s">
        <v>3012</v>
      </c>
      <c r="AA1214" s="36">
        <v>136.0692</v>
      </c>
      <c r="AB1214" s="54">
        <v>742.91590000000008</v>
      </c>
      <c r="AC1214" s="54">
        <v>59.393005555555547</v>
      </c>
      <c r="AD1214" s="36">
        <v>1048.9277200000001</v>
      </c>
    </row>
    <row r="1215" spans="1:30" s="37" customFormat="1" ht="15.75" customHeight="1" x14ac:dyDescent="0.2">
      <c r="A1215" s="26">
        <v>970</v>
      </c>
      <c r="B1215" s="27" t="s">
        <v>2242</v>
      </c>
      <c r="C1215" s="27" t="s">
        <v>116</v>
      </c>
      <c r="D1215" s="28">
        <v>0</v>
      </c>
      <c r="E1215" s="29">
        <v>170.98</v>
      </c>
      <c r="F1215" s="29">
        <v>35.89</v>
      </c>
      <c r="G1215" s="30" t="s">
        <v>27</v>
      </c>
      <c r="H1215" s="27" t="s">
        <v>40</v>
      </c>
      <c r="I1215" s="27" t="s">
        <v>29</v>
      </c>
      <c r="J1215" s="27" t="s">
        <v>117</v>
      </c>
      <c r="K1215" s="27" t="s">
        <v>31</v>
      </c>
      <c r="L1215" s="31" t="s">
        <v>1469</v>
      </c>
      <c r="M1215" s="32">
        <v>0.66</v>
      </c>
      <c r="N1215" s="27" t="s">
        <v>33</v>
      </c>
      <c r="O1215" s="27" t="s">
        <v>34</v>
      </c>
      <c r="P1215" s="27" t="s">
        <v>242</v>
      </c>
      <c r="Q1215" s="27" t="s">
        <v>2243</v>
      </c>
      <c r="R1215" s="33">
        <v>24281</v>
      </c>
      <c r="S1215" s="34">
        <v>42114</v>
      </c>
      <c r="T1215" s="34">
        <v>42115</v>
      </c>
      <c r="U1215" s="29">
        <v>-102.66200000000001</v>
      </c>
      <c r="V1215" s="26">
        <v>8</v>
      </c>
      <c r="W1215" s="29">
        <v>1452.18</v>
      </c>
      <c r="X1215" s="26">
        <v>86173</v>
      </c>
      <c r="Y1215" s="35">
        <v>320.95000000000005</v>
      </c>
      <c r="Z1215" s="1" t="s">
        <v>3011</v>
      </c>
      <c r="AA1215" s="36">
        <v>0</v>
      </c>
      <c r="AB1215" s="54">
        <v>493.74119999999999</v>
      </c>
      <c r="AC1215" s="54">
        <v>119.80485000000002</v>
      </c>
      <c r="AD1215" s="36">
        <v>1518.952</v>
      </c>
    </row>
    <row r="1216" spans="1:30" s="37" customFormat="1" ht="15.75" customHeight="1" x14ac:dyDescent="0.2">
      <c r="A1216" s="26">
        <v>3084</v>
      </c>
      <c r="B1216" s="27" t="s">
        <v>2234</v>
      </c>
      <c r="C1216" s="27" t="s">
        <v>38</v>
      </c>
      <c r="D1216" s="28">
        <v>0</v>
      </c>
      <c r="E1216" s="29">
        <v>65.989999999999995</v>
      </c>
      <c r="F1216" s="29">
        <v>5.99</v>
      </c>
      <c r="G1216" s="30" t="s">
        <v>87</v>
      </c>
      <c r="H1216" s="27" t="s">
        <v>3095</v>
      </c>
      <c r="I1216" s="27" t="s">
        <v>41</v>
      </c>
      <c r="J1216" s="27" t="s">
        <v>135</v>
      </c>
      <c r="K1216" s="27" t="s">
        <v>73</v>
      </c>
      <c r="L1216" s="31" t="s">
        <v>298</v>
      </c>
      <c r="M1216" s="32">
        <v>0.57999999999999996</v>
      </c>
      <c r="N1216" s="27" t="s">
        <v>33</v>
      </c>
      <c r="O1216" s="27" t="s">
        <v>60</v>
      </c>
      <c r="P1216" s="27" t="s">
        <v>67</v>
      </c>
      <c r="Q1216" s="27" t="s">
        <v>487</v>
      </c>
      <c r="R1216" s="33">
        <v>98503</v>
      </c>
      <c r="S1216" s="34">
        <v>42114</v>
      </c>
      <c r="T1216" s="34">
        <v>42116</v>
      </c>
      <c r="U1216" s="29">
        <v>313.81200000000001</v>
      </c>
      <c r="V1216" s="26">
        <v>14</v>
      </c>
      <c r="W1216" s="29">
        <v>798.89</v>
      </c>
      <c r="X1216" s="26">
        <v>89879</v>
      </c>
      <c r="Y1216" s="35">
        <v>125.92999999999999</v>
      </c>
      <c r="Z1216" s="1" t="s">
        <v>3013</v>
      </c>
      <c r="AA1216" s="36">
        <v>0</v>
      </c>
      <c r="AB1216" s="54">
        <v>335.53380000000004</v>
      </c>
      <c r="AC1216" s="54">
        <v>33.096871428571426</v>
      </c>
      <c r="AD1216" s="36">
        <v>479.08799999999997</v>
      </c>
    </row>
    <row r="1217" spans="1:30" s="37" customFormat="1" ht="15.75" customHeight="1" x14ac:dyDescent="0.2">
      <c r="A1217" s="26">
        <v>3380</v>
      </c>
      <c r="B1217" s="27" t="s">
        <v>2226</v>
      </c>
      <c r="C1217" s="27" t="s">
        <v>26</v>
      </c>
      <c r="D1217" s="28">
        <v>0.03</v>
      </c>
      <c r="E1217" s="29">
        <v>63.94</v>
      </c>
      <c r="F1217" s="29">
        <v>14.48</v>
      </c>
      <c r="G1217" s="30" t="s">
        <v>39</v>
      </c>
      <c r="H1217" s="27" t="s">
        <v>71</v>
      </c>
      <c r="I1217" s="27" t="s">
        <v>29</v>
      </c>
      <c r="J1217" s="27" t="s">
        <v>126</v>
      </c>
      <c r="K1217" s="27" t="s">
        <v>73</v>
      </c>
      <c r="L1217" s="31" t="s">
        <v>1994</v>
      </c>
      <c r="M1217" s="32">
        <v>0.46</v>
      </c>
      <c r="N1217" s="27" t="s">
        <v>33</v>
      </c>
      <c r="O1217" s="27" t="s">
        <v>34</v>
      </c>
      <c r="P1217" s="27" t="s">
        <v>75</v>
      </c>
      <c r="Q1217" s="27" t="s">
        <v>2228</v>
      </c>
      <c r="R1217" s="33">
        <v>30240</v>
      </c>
      <c r="S1217" s="34">
        <v>42114</v>
      </c>
      <c r="T1217" s="34">
        <v>42115</v>
      </c>
      <c r="U1217" s="29">
        <v>43.691699999999997</v>
      </c>
      <c r="V1217" s="26">
        <v>8</v>
      </c>
      <c r="W1217" s="29">
        <v>522.46</v>
      </c>
      <c r="X1217" s="26">
        <v>88838</v>
      </c>
      <c r="Y1217" s="35">
        <v>65.989999999999995</v>
      </c>
      <c r="Z1217" s="1" t="s">
        <v>3011</v>
      </c>
      <c r="AA1217" s="36">
        <v>15.345599999999999</v>
      </c>
      <c r="AB1217" s="54">
        <v>282.12840000000006</v>
      </c>
      <c r="AC1217" s="54">
        <v>30.041450000000005</v>
      </c>
      <c r="AD1217" s="36">
        <v>448.94270000000006</v>
      </c>
    </row>
    <row r="1218" spans="1:30" s="37" customFormat="1" ht="15.75" customHeight="1" x14ac:dyDescent="0.2">
      <c r="A1218" s="26">
        <v>56</v>
      </c>
      <c r="B1218" s="27" t="s">
        <v>2235</v>
      </c>
      <c r="C1218" s="27" t="s">
        <v>116</v>
      </c>
      <c r="D1218" s="28">
        <v>0.06</v>
      </c>
      <c r="E1218" s="29">
        <v>3.8</v>
      </c>
      <c r="F1218" s="29">
        <v>1.49</v>
      </c>
      <c r="G1218" s="30" t="s">
        <v>39</v>
      </c>
      <c r="H1218" s="27" t="s">
        <v>40</v>
      </c>
      <c r="I1218" s="27" t="s">
        <v>49</v>
      </c>
      <c r="J1218" s="27" t="s">
        <v>72</v>
      </c>
      <c r="K1218" s="27" t="s">
        <v>73</v>
      </c>
      <c r="L1218" s="31" t="s">
        <v>1192</v>
      </c>
      <c r="M1218" s="32">
        <v>0.38</v>
      </c>
      <c r="N1218" s="27" t="s">
        <v>33</v>
      </c>
      <c r="O1218" s="27" t="s">
        <v>111</v>
      </c>
      <c r="P1218" s="27" t="s">
        <v>112</v>
      </c>
      <c r="Q1218" s="27" t="s">
        <v>2236</v>
      </c>
      <c r="R1218" s="33">
        <v>14150</v>
      </c>
      <c r="S1218" s="34">
        <v>42114</v>
      </c>
      <c r="T1218" s="34">
        <v>42115</v>
      </c>
      <c r="U1218" s="29">
        <v>19.6282</v>
      </c>
      <c r="V1218" s="26">
        <v>20</v>
      </c>
      <c r="W1218" s="29">
        <v>73.55</v>
      </c>
      <c r="X1218" s="26">
        <v>88075</v>
      </c>
      <c r="Y1218" s="35">
        <v>3.7399999999999998</v>
      </c>
      <c r="Z1218" s="1" t="s">
        <v>3014</v>
      </c>
      <c r="AA1218" s="36">
        <v>4.5599999999999996</v>
      </c>
      <c r="AB1218" s="54">
        <v>45.600999999999999</v>
      </c>
      <c r="AC1218" s="54">
        <v>1.3974499999999999</v>
      </c>
      <c r="AD1218" s="36">
        <v>47.8718</v>
      </c>
    </row>
    <row r="1219" spans="1:30" s="37" customFormat="1" ht="15.75" customHeight="1" x14ac:dyDescent="0.2">
      <c r="A1219" s="26">
        <v>240</v>
      </c>
      <c r="B1219" s="27" t="s">
        <v>2237</v>
      </c>
      <c r="C1219" s="27" t="s">
        <v>116</v>
      </c>
      <c r="D1219" s="28">
        <v>0.1</v>
      </c>
      <c r="E1219" s="29">
        <v>19.98</v>
      </c>
      <c r="F1219" s="29">
        <v>5.77</v>
      </c>
      <c r="G1219" s="30" t="s">
        <v>87</v>
      </c>
      <c r="H1219" s="27" t="s">
        <v>3095</v>
      </c>
      <c r="I1219" s="27" t="s">
        <v>49</v>
      </c>
      <c r="J1219" s="27" t="s">
        <v>88</v>
      </c>
      <c r="K1219" s="27" t="s">
        <v>73</v>
      </c>
      <c r="L1219" s="31" t="s">
        <v>2238</v>
      </c>
      <c r="M1219" s="32">
        <v>0.38</v>
      </c>
      <c r="N1219" s="27" t="s">
        <v>33</v>
      </c>
      <c r="O1219" s="27" t="s">
        <v>60</v>
      </c>
      <c r="P1219" s="27" t="s">
        <v>61</v>
      </c>
      <c r="Q1219" s="27" t="s">
        <v>2239</v>
      </c>
      <c r="R1219" s="33">
        <v>80817</v>
      </c>
      <c r="S1219" s="34">
        <v>42114</v>
      </c>
      <c r="T1219" s="34">
        <v>42114</v>
      </c>
      <c r="U1219" s="29">
        <v>35.090000000000003</v>
      </c>
      <c r="V1219" s="26">
        <v>3</v>
      </c>
      <c r="W1219" s="29">
        <v>57.41</v>
      </c>
      <c r="X1219" s="26">
        <v>90479</v>
      </c>
      <c r="Y1219" s="35">
        <v>1.7</v>
      </c>
      <c r="Z1219" s="1" t="s">
        <v>3013</v>
      </c>
      <c r="AA1219" s="36">
        <v>5.9940000000000007</v>
      </c>
      <c r="AB1219" s="54">
        <v>35.594200000000001</v>
      </c>
      <c r="AC1219" s="54">
        <v>7.2719333333333331</v>
      </c>
      <c r="AD1219" s="36">
        <v>10.555999999999997</v>
      </c>
    </row>
    <row r="1220" spans="1:30" s="37" customFormat="1" ht="15.75" customHeight="1" x14ac:dyDescent="0.2">
      <c r="A1220" s="26">
        <v>1259</v>
      </c>
      <c r="B1220" s="27" t="s">
        <v>2229</v>
      </c>
      <c r="C1220" s="27" t="s">
        <v>38</v>
      </c>
      <c r="D1220" s="28">
        <v>0.03</v>
      </c>
      <c r="E1220" s="29">
        <v>3.69</v>
      </c>
      <c r="F1220" s="29">
        <v>2.5</v>
      </c>
      <c r="G1220" s="30" t="s">
        <v>87</v>
      </c>
      <c r="H1220" s="27" t="s">
        <v>71</v>
      </c>
      <c r="I1220" s="27" t="s">
        <v>49</v>
      </c>
      <c r="J1220" s="27" t="s">
        <v>345</v>
      </c>
      <c r="K1220" s="27" t="s">
        <v>73</v>
      </c>
      <c r="L1220" s="31" t="s">
        <v>2230</v>
      </c>
      <c r="M1220" s="32">
        <v>0.39</v>
      </c>
      <c r="N1220" s="27" t="s">
        <v>33</v>
      </c>
      <c r="O1220" s="27" t="s">
        <v>34</v>
      </c>
      <c r="P1220" s="27" t="s">
        <v>388</v>
      </c>
      <c r="Q1220" s="27" t="s">
        <v>1586</v>
      </c>
      <c r="R1220" s="33">
        <v>40422</v>
      </c>
      <c r="S1220" s="34">
        <v>42114</v>
      </c>
      <c r="T1220" s="34">
        <v>42114</v>
      </c>
      <c r="U1220" s="29">
        <v>-2196.6840000000002</v>
      </c>
      <c r="V1220" s="26">
        <v>9</v>
      </c>
      <c r="W1220" s="29">
        <v>38.65</v>
      </c>
      <c r="X1220" s="26">
        <v>86534</v>
      </c>
      <c r="Y1220" s="35">
        <v>19.88</v>
      </c>
      <c r="Z1220" s="1" t="s">
        <v>3011</v>
      </c>
      <c r="AA1220" s="36">
        <v>0.99629999999999996</v>
      </c>
      <c r="AB1220" s="54">
        <v>23.576499999999999</v>
      </c>
      <c r="AC1220" s="54">
        <v>1.6748333333333334</v>
      </c>
      <c r="AD1220" s="36">
        <v>2231.8377000000005</v>
      </c>
    </row>
    <row r="1221" spans="1:30" s="37" customFormat="1" ht="15.75" customHeight="1" x14ac:dyDescent="0.2">
      <c r="A1221" s="26">
        <v>56</v>
      </c>
      <c r="B1221" s="27" t="s">
        <v>2235</v>
      </c>
      <c r="C1221" s="27" t="s">
        <v>116</v>
      </c>
      <c r="D1221" s="28">
        <v>0.06</v>
      </c>
      <c r="E1221" s="29">
        <v>1.76</v>
      </c>
      <c r="F1221" s="29">
        <v>0.7</v>
      </c>
      <c r="G1221" s="30" t="s">
        <v>39</v>
      </c>
      <c r="H1221" s="27" t="s">
        <v>40</v>
      </c>
      <c r="I1221" s="27" t="s">
        <v>49</v>
      </c>
      <c r="J1221" s="27" t="s">
        <v>50</v>
      </c>
      <c r="K1221" s="27" t="s">
        <v>51</v>
      </c>
      <c r="L1221" s="31" t="s">
        <v>1663</v>
      </c>
      <c r="M1221" s="32">
        <v>0.56000000000000005</v>
      </c>
      <c r="N1221" s="27" t="s">
        <v>33</v>
      </c>
      <c r="O1221" s="27" t="s">
        <v>111</v>
      </c>
      <c r="P1221" s="27" t="s">
        <v>112</v>
      </c>
      <c r="Q1221" s="27" t="s">
        <v>2236</v>
      </c>
      <c r="R1221" s="33">
        <v>14150</v>
      </c>
      <c r="S1221" s="34">
        <v>42114</v>
      </c>
      <c r="T1221" s="34">
        <v>42115</v>
      </c>
      <c r="U1221" s="29">
        <v>-1.6524000000000001</v>
      </c>
      <c r="V1221" s="26">
        <v>17</v>
      </c>
      <c r="W1221" s="29">
        <v>29.57</v>
      </c>
      <c r="X1221" s="26">
        <v>88075</v>
      </c>
      <c r="Y1221" s="35">
        <v>259.64999999999998</v>
      </c>
      <c r="Z1221" s="1" t="s">
        <v>3014</v>
      </c>
      <c r="AA1221" s="36">
        <v>1.7951999999999999</v>
      </c>
      <c r="AB1221" s="54">
        <v>13.010799999999998</v>
      </c>
      <c r="AC1221" s="54">
        <v>0.97407058823529424</v>
      </c>
      <c r="AD1221" s="36">
        <v>28.7272</v>
      </c>
    </row>
    <row r="1222" spans="1:30" s="37" customFormat="1" ht="15.75" customHeight="1" x14ac:dyDescent="0.2">
      <c r="A1222" s="26">
        <v>151</v>
      </c>
      <c r="B1222" s="27" t="s">
        <v>703</v>
      </c>
      <c r="C1222" s="27" t="s">
        <v>38</v>
      </c>
      <c r="D1222" s="28">
        <v>0.09</v>
      </c>
      <c r="E1222" s="29">
        <v>5.98</v>
      </c>
      <c r="F1222" s="29">
        <v>2.5</v>
      </c>
      <c r="G1222" s="30" t="s">
        <v>39</v>
      </c>
      <c r="H1222" s="27" t="s">
        <v>71</v>
      </c>
      <c r="I1222" s="27" t="s">
        <v>49</v>
      </c>
      <c r="J1222" s="27" t="s">
        <v>345</v>
      </c>
      <c r="K1222" s="27" t="s">
        <v>73</v>
      </c>
      <c r="L1222" s="31" t="s">
        <v>1270</v>
      </c>
      <c r="M1222" s="32">
        <v>0.36</v>
      </c>
      <c r="N1222" s="27" t="s">
        <v>33</v>
      </c>
      <c r="O1222" s="27" t="s">
        <v>34</v>
      </c>
      <c r="P1222" s="27" t="s">
        <v>400</v>
      </c>
      <c r="Q1222" s="27" t="s">
        <v>705</v>
      </c>
      <c r="R1222" s="33">
        <v>37664</v>
      </c>
      <c r="S1222" s="34">
        <v>42114</v>
      </c>
      <c r="T1222" s="34">
        <v>42116</v>
      </c>
      <c r="U1222" s="29">
        <v>13.896000000000001</v>
      </c>
      <c r="V1222" s="26">
        <v>5</v>
      </c>
      <c r="W1222" s="29">
        <v>28.11</v>
      </c>
      <c r="X1222" s="26">
        <v>89523</v>
      </c>
      <c r="Y1222" s="35">
        <v>170.98</v>
      </c>
      <c r="Z1222" s="1" t="s">
        <v>3011</v>
      </c>
      <c r="AA1222" s="36">
        <v>2.6909999999999998</v>
      </c>
      <c r="AB1222" s="54">
        <v>17.990400000000001</v>
      </c>
      <c r="AC1222" s="54">
        <v>2.0239199999999999</v>
      </c>
      <c r="AD1222" s="36">
        <v>9.0229999999999997</v>
      </c>
    </row>
    <row r="1223" spans="1:30" s="37" customFormat="1" ht="15.75" customHeight="1" x14ac:dyDescent="0.2">
      <c r="A1223" s="26">
        <v>627</v>
      </c>
      <c r="B1223" s="27" t="s">
        <v>2253</v>
      </c>
      <c r="C1223" s="27" t="s">
        <v>116</v>
      </c>
      <c r="D1223" s="28">
        <v>0.02</v>
      </c>
      <c r="E1223" s="29">
        <v>419.19</v>
      </c>
      <c r="F1223" s="29">
        <v>19.989999999999998</v>
      </c>
      <c r="G1223" s="30" t="s">
        <v>39</v>
      </c>
      <c r="H1223" s="27" t="s">
        <v>94</v>
      </c>
      <c r="I1223" s="27" t="s">
        <v>49</v>
      </c>
      <c r="J1223" s="27" t="s">
        <v>78</v>
      </c>
      <c r="K1223" s="27" t="s">
        <v>73</v>
      </c>
      <c r="L1223" s="31" t="s">
        <v>2192</v>
      </c>
      <c r="M1223" s="32">
        <v>0.57999999999999996</v>
      </c>
      <c r="N1223" s="27" t="s">
        <v>33</v>
      </c>
      <c r="O1223" s="27" t="s">
        <v>111</v>
      </c>
      <c r="P1223" s="27" t="s">
        <v>317</v>
      </c>
      <c r="Q1223" s="27" t="s">
        <v>2254</v>
      </c>
      <c r="R1223" s="33">
        <v>43952</v>
      </c>
      <c r="S1223" s="34">
        <v>42115</v>
      </c>
      <c r="T1223" s="34">
        <v>42116</v>
      </c>
      <c r="U1223" s="29">
        <v>6610.2</v>
      </c>
      <c r="V1223" s="26">
        <v>22</v>
      </c>
      <c r="W1223" s="29">
        <v>9580</v>
      </c>
      <c r="X1223" s="26">
        <v>90469</v>
      </c>
      <c r="Y1223" s="35">
        <v>363.2</v>
      </c>
      <c r="Z1223" s="1" t="s">
        <v>3014</v>
      </c>
      <c r="AA1223" s="36">
        <v>184.4436</v>
      </c>
      <c r="AB1223" s="54">
        <v>4023.6000000000004</v>
      </c>
      <c r="AC1223" s="54">
        <v>252.56363636363633</v>
      </c>
      <c r="AD1223" s="36">
        <v>2765.3664000000008</v>
      </c>
    </row>
    <row r="1224" spans="1:30" s="37" customFormat="1" ht="15.75" customHeight="1" x14ac:dyDescent="0.2">
      <c r="A1224" s="26">
        <v>2548</v>
      </c>
      <c r="B1224" s="27" t="s">
        <v>1984</v>
      </c>
      <c r="C1224" s="27" t="s">
        <v>48</v>
      </c>
      <c r="D1224" s="28">
        <v>0.04</v>
      </c>
      <c r="E1224" s="29">
        <v>212.6</v>
      </c>
      <c r="F1224" s="29">
        <v>110.2</v>
      </c>
      <c r="G1224" s="30" t="s">
        <v>27</v>
      </c>
      <c r="H1224" s="27" t="s">
        <v>3095</v>
      </c>
      <c r="I1224" s="27" t="s">
        <v>29</v>
      </c>
      <c r="J1224" s="27" t="s">
        <v>30</v>
      </c>
      <c r="K1224" s="27" t="s">
        <v>31</v>
      </c>
      <c r="L1224" s="31" t="s">
        <v>163</v>
      </c>
      <c r="M1224" s="32">
        <v>0.73</v>
      </c>
      <c r="N1224" s="27" t="s">
        <v>33</v>
      </c>
      <c r="O1224" s="27" t="s">
        <v>60</v>
      </c>
      <c r="P1224" s="27" t="s">
        <v>90</v>
      </c>
      <c r="Q1224" s="27" t="s">
        <v>100</v>
      </c>
      <c r="R1224" s="33">
        <v>90068</v>
      </c>
      <c r="S1224" s="34">
        <v>42115</v>
      </c>
      <c r="T1224" s="34">
        <v>42119</v>
      </c>
      <c r="U1224" s="29">
        <v>-513.79042000000004</v>
      </c>
      <c r="V1224" s="26">
        <v>33</v>
      </c>
      <c r="W1224" s="29">
        <v>7384.18</v>
      </c>
      <c r="X1224" s="26">
        <v>40997</v>
      </c>
      <c r="Y1224" s="35">
        <v>40.93</v>
      </c>
      <c r="Z1224" s="1" t="s">
        <v>3013</v>
      </c>
      <c r="AA1224" s="36">
        <v>280.63200000000001</v>
      </c>
      <c r="AB1224" s="54">
        <v>1993.7286000000001</v>
      </c>
      <c r="AC1224" s="54">
        <v>163.34701212121212</v>
      </c>
      <c r="AD1224" s="36">
        <v>7507.1384200000002</v>
      </c>
    </row>
    <row r="1225" spans="1:30" s="37" customFormat="1" ht="15.75" customHeight="1" x14ac:dyDescent="0.2">
      <c r="A1225" s="26">
        <v>3283</v>
      </c>
      <c r="B1225" s="27" t="s">
        <v>2244</v>
      </c>
      <c r="C1225" s="27" t="s">
        <v>26</v>
      </c>
      <c r="D1225" s="28">
        <v>0.05</v>
      </c>
      <c r="E1225" s="29">
        <v>363.25</v>
      </c>
      <c r="F1225" s="29">
        <v>19.989999999999998</v>
      </c>
      <c r="G1225" s="30" t="s">
        <v>87</v>
      </c>
      <c r="H1225" s="27" t="s">
        <v>94</v>
      </c>
      <c r="I1225" s="27" t="s">
        <v>49</v>
      </c>
      <c r="J1225" s="27" t="s">
        <v>95</v>
      </c>
      <c r="K1225" s="27" t="s">
        <v>73</v>
      </c>
      <c r="L1225" s="31" t="s">
        <v>199</v>
      </c>
      <c r="M1225" s="32">
        <v>0.56999999999999995</v>
      </c>
      <c r="N1225" s="27" t="s">
        <v>33</v>
      </c>
      <c r="O1225" s="27" t="s">
        <v>34</v>
      </c>
      <c r="P1225" s="27" t="s">
        <v>123</v>
      </c>
      <c r="Q1225" s="27" t="s">
        <v>2245</v>
      </c>
      <c r="R1225" s="33">
        <v>33156</v>
      </c>
      <c r="S1225" s="34">
        <v>42115</v>
      </c>
      <c r="T1225" s="34">
        <v>42115</v>
      </c>
      <c r="U1225" s="29">
        <v>-269.75549999999998</v>
      </c>
      <c r="V1225" s="26">
        <v>5</v>
      </c>
      <c r="W1225" s="29">
        <v>1867.04</v>
      </c>
      <c r="X1225" s="26">
        <v>90752</v>
      </c>
      <c r="Y1225" s="35">
        <v>4.9000000000000004</v>
      </c>
      <c r="Z1225" s="1" t="s">
        <v>3011</v>
      </c>
      <c r="AA1225" s="36">
        <v>90.8125</v>
      </c>
      <c r="AB1225" s="54">
        <v>802.82720000000006</v>
      </c>
      <c r="AC1225" s="54">
        <v>212.84255999999999</v>
      </c>
      <c r="AD1225" s="36">
        <v>2025.9929999999999</v>
      </c>
    </row>
    <row r="1226" spans="1:30" s="37" customFormat="1" ht="15.75" customHeight="1" x14ac:dyDescent="0.2">
      <c r="A1226" s="26">
        <v>2549</v>
      </c>
      <c r="B1226" s="27" t="s">
        <v>2251</v>
      </c>
      <c r="C1226" s="27" t="s">
        <v>48</v>
      </c>
      <c r="D1226" s="28">
        <v>0.04</v>
      </c>
      <c r="E1226" s="29">
        <v>212.6</v>
      </c>
      <c r="F1226" s="29">
        <v>110.2</v>
      </c>
      <c r="G1226" s="30" t="s">
        <v>27</v>
      </c>
      <c r="H1226" s="27" t="s">
        <v>3095</v>
      </c>
      <c r="I1226" s="27" t="s">
        <v>29</v>
      </c>
      <c r="J1226" s="27" t="s">
        <v>30</v>
      </c>
      <c r="K1226" s="27" t="s">
        <v>31</v>
      </c>
      <c r="L1226" s="31" t="s">
        <v>163</v>
      </c>
      <c r="M1226" s="32">
        <v>0.73</v>
      </c>
      <c r="N1226" s="27" t="s">
        <v>33</v>
      </c>
      <c r="O1226" s="27" t="s">
        <v>111</v>
      </c>
      <c r="P1226" s="27" t="s">
        <v>317</v>
      </c>
      <c r="Q1226" s="27" t="s">
        <v>2252</v>
      </c>
      <c r="R1226" s="33">
        <v>43213</v>
      </c>
      <c r="S1226" s="34">
        <v>42115</v>
      </c>
      <c r="T1226" s="34">
        <v>42119</v>
      </c>
      <c r="U1226" s="29">
        <v>-513.79042000000004</v>
      </c>
      <c r="V1226" s="26">
        <v>8</v>
      </c>
      <c r="W1226" s="29">
        <v>1790.1</v>
      </c>
      <c r="X1226" s="26">
        <v>88657</v>
      </c>
      <c r="Y1226" s="35">
        <v>119.89999999999999</v>
      </c>
      <c r="Z1226" s="1" t="s">
        <v>3014</v>
      </c>
      <c r="AA1226" s="36">
        <v>68.031999999999996</v>
      </c>
      <c r="AB1226" s="54">
        <v>483.327</v>
      </c>
      <c r="AC1226" s="54">
        <v>163.34662499999999</v>
      </c>
      <c r="AD1226" s="36">
        <v>2125.6584199999998</v>
      </c>
    </row>
    <row r="1227" spans="1:30" s="37" customFormat="1" ht="15.75" customHeight="1" x14ac:dyDescent="0.2">
      <c r="A1227" s="26">
        <v>2548</v>
      </c>
      <c r="B1227" s="27" t="s">
        <v>1984</v>
      </c>
      <c r="C1227" s="27" t="s">
        <v>48</v>
      </c>
      <c r="D1227" s="28">
        <v>0.05</v>
      </c>
      <c r="E1227" s="29">
        <v>22.99</v>
      </c>
      <c r="F1227" s="29">
        <v>8.99</v>
      </c>
      <c r="G1227" s="30" t="s">
        <v>39</v>
      </c>
      <c r="H1227" s="27" t="s">
        <v>3095</v>
      </c>
      <c r="I1227" s="27" t="s">
        <v>49</v>
      </c>
      <c r="J1227" s="27" t="s">
        <v>50</v>
      </c>
      <c r="K1227" s="27" t="s">
        <v>43</v>
      </c>
      <c r="L1227" s="31" t="s">
        <v>2250</v>
      </c>
      <c r="M1227" s="32">
        <v>0.56999999999999995</v>
      </c>
      <c r="N1227" s="27" t="s">
        <v>33</v>
      </c>
      <c r="O1227" s="27" t="s">
        <v>60</v>
      </c>
      <c r="P1227" s="27" t="s">
        <v>90</v>
      </c>
      <c r="Q1227" s="27" t="s">
        <v>100</v>
      </c>
      <c r="R1227" s="33">
        <v>90068</v>
      </c>
      <c r="S1227" s="34">
        <v>42115</v>
      </c>
      <c r="T1227" s="34">
        <v>42122</v>
      </c>
      <c r="U1227" s="29">
        <v>18.27</v>
      </c>
      <c r="V1227" s="26">
        <v>37</v>
      </c>
      <c r="W1227" s="29">
        <v>881.74</v>
      </c>
      <c r="X1227" s="26">
        <v>40997</v>
      </c>
      <c r="Y1227" s="35">
        <v>42.919999999999995</v>
      </c>
      <c r="Z1227" s="1" t="s">
        <v>3013</v>
      </c>
      <c r="AA1227" s="36">
        <v>42.531500000000001</v>
      </c>
      <c r="AB1227" s="54">
        <v>379.14820000000003</v>
      </c>
      <c r="AC1227" s="54">
        <v>13.58356216216216</v>
      </c>
      <c r="AD1227" s="36">
        <v>811.94849999999997</v>
      </c>
    </row>
    <row r="1228" spans="1:30" s="37" customFormat="1" ht="15.75" customHeight="1" x14ac:dyDescent="0.2">
      <c r="A1228" s="26">
        <v>2260</v>
      </c>
      <c r="B1228" s="27" t="s">
        <v>1196</v>
      </c>
      <c r="C1228" s="27" t="s">
        <v>38</v>
      </c>
      <c r="D1228" s="28">
        <v>0.09</v>
      </c>
      <c r="E1228" s="29">
        <v>119.99</v>
      </c>
      <c r="F1228" s="29">
        <v>14</v>
      </c>
      <c r="G1228" s="30" t="s">
        <v>27</v>
      </c>
      <c r="H1228" s="27" t="s">
        <v>94</v>
      </c>
      <c r="I1228" s="27" t="s">
        <v>41</v>
      </c>
      <c r="J1228" s="27" t="s">
        <v>57</v>
      </c>
      <c r="K1228" s="27" t="s">
        <v>58</v>
      </c>
      <c r="L1228" s="31" t="s">
        <v>2151</v>
      </c>
      <c r="M1228" s="32">
        <v>0.36</v>
      </c>
      <c r="N1228" s="27" t="s">
        <v>33</v>
      </c>
      <c r="O1228" s="27" t="s">
        <v>34</v>
      </c>
      <c r="P1228" s="27" t="s">
        <v>75</v>
      </c>
      <c r="Q1228" s="27" t="s">
        <v>1197</v>
      </c>
      <c r="R1228" s="33">
        <v>30161</v>
      </c>
      <c r="S1228" s="34">
        <v>42115</v>
      </c>
      <c r="T1228" s="34">
        <v>42117</v>
      </c>
      <c r="U1228" s="29">
        <v>1055.604</v>
      </c>
      <c r="V1228" s="26">
        <v>4</v>
      </c>
      <c r="W1228" s="29">
        <v>461.24</v>
      </c>
      <c r="X1228" s="26">
        <v>89602</v>
      </c>
      <c r="Y1228" s="35">
        <v>15.99</v>
      </c>
      <c r="Z1228" s="1" t="s">
        <v>3011</v>
      </c>
      <c r="AA1228" s="36">
        <v>43.196399999999997</v>
      </c>
      <c r="AB1228" s="54">
        <v>295.1936</v>
      </c>
      <c r="AC1228" s="54">
        <v>41.511600000000001</v>
      </c>
      <c r="AD1228" s="36">
        <v>-651.56040000000007</v>
      </c>
    </row>
    <row r="1229" spans="1:30" s="37" customFormat="1" ht="15.75" customHeight="1" x14ac:dyDescent="0.2">
      <c r="A1229" s="26">
        <v>535</v>
      </c>
      <c r="B1229" s="27" t="s">
        <v>2248</v>
      </c>
      <c r="C1229" s="27" t="s">
        <v>48</v>
      </c>
      <c r="D1229" s="28">
        <v>0</v>
      </c>
      <c r="E1229" s="29">
        <v>15.99</v>
      </c>
      <c r="F1229" s="29">
        <v>13.18</v>
      </c>
      <c r="G1229" s="30" t="s">
        <v>39</v>
      </c>
      <c r="H1229" s="27" t="s">
        <v>94</v>
      </c>
      <c r="I1229" s="27" t="s">
        <v>49</v>
      </c>
      <c r="J1229" s="27" t="s">
        <v>72</v>
      </c>
      <c r="K1229" s="27" t="s">
        <v>73</v>
      </c>
      <c r="L1229" s="31" t="s">
        <v>295</v>
      </c>
      <c r="M1229" s="32">
        <v>0.37</v>
      </c>
      <c r="N1229" s="27" t="s">
        <v>33</v>
      </c>
      <c r="O1229" s="27" t="s">
        <v>34</v>
      </c>
      <c r="P1229" s="27" t="s">
        <v>242</v>
      </c>
      <c r="Q1229" s="27" t="s">
        <v>1501</v>
      </c>
      <c r="R1229" s="33">
        <v>22025</v>
      </c>
      <c r="S1229" s="34">
        <v>42115</v>
      </c>
      <c r="T1229" s="34">
        <v>42119</v>
      </c>
      <c r="U1229" s="29">
        <v>46.488</v>
      </c>
      <c r="V1229" s="26">
        <v>23</v>
      </c>
      <c r="W1229" s="29">
        <v>403.25</v>
      </c>
      <c r="X1229" s="26">
        <v>88511</v>
      </c>
      <c r="Y1229" s="35">
        <v>30.93</v>
      </c>
      <c r="Z1229" s="1" t="s">
        <v>3011</v>
      </c>
      <c r="AA1229" s="36">
        <v>0</v>
      </c>
      <c r="AB1229" s="54">
        <v>254.04750000000001</v>
      </c>
      <c r="AC1229" s="54">
        <v>6.4870652173913053</v>
      </c>
      <c r="AD1229" s="36">
        <v>343.58199999999999</v>
      </c>
    </row>
    <row r="1230" spans="1:30" s="37" customFormat="1" ht="15.75" customHeight="1" x14ac:dyDescent="0.2">
      <c r="A1230" s="26">
        <v>2548</v>
      </c>
      <c r="B1230" s="27" t="s">
        <v>1984</v>
      </c>
      <c r="C1230" s="27" t="s">
        <v>48</v>
      </c>
      <c r="D1230" s="28">
        <v>0.05</v>
      </c>
      <c r="E1230" s="29">
        <v>30.98</v>
      </c>
      <c r="F1230" s="29">
        <v>9.18</v>
      </c>
      <c r="G1230" s="30" t="s">
        <v>87</v>
      </c>
      <c r="H1230" s="27" t="s">
        <v>3095</v>
      </c>
      <c r="I1230" s="27" t="s">
        <v>49</v>
      </c>
      <c r="J1230" s="27" t="s">
        <v>88</v>
      </c>
      <c r="K1230" s="27" t="s">
        <v>73</v>
      </c>
      <c r="L1230" s="31" t="s">
        <v>2249</v>
      </c>
      <c r="M1230" s="32">
        <v>0.4</v>
      </c>
      <c r="N1230" s="27" t="s">
        <v>33</v>
      </c>
      <c r="O1230" s="27" t="s">
        <v>60</v>
      </c>
      <c r="P1230" s="27" t="s">
        <v>90</v>
      </c>
      <c r="Q1230" s="27" t="s">
        <v>100</v>
      </c>
      <c r="R1230" s="33">
        <v>90068</v>
      </c>
      <c r="S1230" s="34">
        <v>42115</v>
      </c>
      <c r="T1230" s="34">
        <v>42115</v>
      </c>
      <c r="U1230" s="29">
        <v>61.47</v>
      </c>
      <c r="V1230" s="26">
        <v>12</v>
      </c>
      <c r="W1230" s="29">
        <v>382.29</v>
      </c>
      <c r="X1230" s="26">
        <v>40997</v>
      </c>
      <c r="Y1230" s="35">
        <v>22.939999999999998</v>
      </c>
      <c r="Z1230" s="1" t="s">
        <v>3013</v>
      </c>
      <c r="AA1230" s="36">
        <v>18.588000000000001</v>
      </c>
      <c r="AB1230" s="54">
        <v>229.374</v>
      </c>
      <c r="AC1230" s="54">
        <v>12.743000000000002</v>
      </c>
      <c r="AD1230" s="36">
        <v>293.05200000000002</v>
      </c>
    </row>
    <row r="1231" spans="1:30" s="37" customFormat="1" ht="15.75" customHeight="1" x14ac:dyDescent="0.2">
      <c r="A1231" s="26">
        <v>2038</v>
      </c>
      <c r="B1231" s="27" t="s">
        <v>2246</v>
      </c>
      <c r="C1231" s="27" t="s">
        <v>38</v>
      </c>
      <c r="D1231" s="28">
        <v>0.06</v>
      </c>
      <c r="E1231" s="29">
        <v>40.99</v>
      </c>
      <c r="F1231" s="29">
        <v>17.48</v>
      </c>
      <c r="G1231" s="30" t="s">
        <v>39</v>
      </c>
      <c r="H1231" s="27" t="s">
        <v>3095</v>
      </c>
      <c r="I1231" s="27" t="s">
        <v>49</v>
      </c>
      <c r="J1231" s="27" t="s">
        <v>88</v>
      </c>
      <c r="K1231" s="27" t="s">
        <v>73</v>
      </c>
      <c r="L1231" s="31" t="s">
        <v>1398</v>
      </c>
      <c r="M1231" s="32">
        <v>0.36</v>
      </c>
      <c r="N1231" s="27" t="s">
        <v>33</v>
      </c>
      <c r="O1231" s="27" t="s">
        <v>111</v>
      </c>
      <c r="P1231" s="27" t="s">
        <v>112</v>
      </c>
      <c r="Q1231" s="27" t="s">
        <v>68</v>
      </c>
      <c r="R1231" s="33">
        <v>10550</v>
      </c>
      <c r="S1231" s="34">
        <v>42115</v>
      </c>
      <c r="T1231" s="34">
        <v>42115</v>
      </c>
      <c r="U1231" s="29">
        <v>109.16</v>
      </c>
      <c r="V1231" s="26">
        <v>7</v>
      </c>
      <c r="W1231" s="29">
        <v>277.12</v>
      </c>
      <c r="X1231" s="26">
        <v>89334</v>
      </c>
      <c r="Y1231" s="35">
        <v>212.56</v>
      </c>
      <c r="Z1231" s="1" t="s">
        <v>3014</v>
      </c>
      <c r="AA1231" s="36">
        <v>17.215800000000002</v>
      </c>
      <c r="AB1231" s="54">
        <v>177.35679999999999</v>
      </c>
      <c r="AC1231" s="54">
        <v>14.251885714285713</v>
      </c>
      <c r="AD1231" s="36">
        <v>133.26420000000002</v>
      </c>
    </row>
    <row r="1232" spans="1:30" s="37" customFormat="1" ht="15.75" customHeight="1" x14ac:dyDescent="0.2">
      <c r="A1232" s="26">
        <v>2549</v>
      </c>
      <c r="B1232" s="27" t="s">
        <v>2251</v>
      </c>
      <c r="C1232" s="27" t="s">
        <v>48</v>
      </c>
      <c r="D1232" s="28">
        <v>0.05</v>
      </c>
      <c r="E1232" s="29">
        <v>22.99</v>
      </c>
      <c r="F1232" s="29">
        <v>8.99</v>
      </c>
      <c r="G1232" s="30" t="s">
        <v>39</v>
      </c>
      <c r="H1232" s="27" t="s">
        <v>3095</v>
      </c>
      <c r="I1232" s="27" t="s">
        <v>49</v>
      </c>
      <c r="J1232" s="27" t="s">
        <v>50</v>
      </c>
      <c r="K1232" s="27" t="s">
        <v>43</v>
      </c>
      <c r="L1232" s="31" t="s">
        <v>2250</v>
      </c>
      <c r="M1232" s="32">
        <v>0.56999999999999995</v>
      </c>
      <c r="N1232" s="27" t="s">
        <v>33</v>
      </c>
      <c r="O1232" s="27" t="s">
        <v>111</v>
      </c>
      <c r="P1232" s="27" t="s">
        <v>317</v>
      </c>
      <c r="Q1232" s="27" t="s">
        <v>2252</v>
      </c>
      <c r="R1232" s="33">
        <v>43213</v>
      </c>
      <c r="S1232" s="34">
        <v>42115</v>
      </c>
      <c r="T1232" s="34">
        <v>42122</v>
      </c>
      <c r="U1232" s="29">
        <v>18.27</v>
      </c>
      <c r="V1232" s="26">
        <v>9</v>
      </c>
      <c r="W1232" s="29">
        <v>214.48</v>
      </c>
      <c r="X1232" s="26">
        <v>88657</v>
      </c>
      <c r="Y1232" s="35">
        <v>30.93</v>
      </c>
      <c r="Z1232" s="1" t="s">
        <v>3014</v>
      </c>
      <c r="AA1232" s="36">
        <v>10.345499999999999</v>
      </c>
      <c r="AB1232" s="54">
        <v>92.226400000000012</v>
      </c>
      <c r="AC1232" s="54">
        <v>13.583733333333331</v>
      </c>
      <c r="AD1232" s="36">
        <v>176.87449999999998</v>
      </c>
    </row>
    <row r="1233" spans="1:30" s="37" customFormat="1" ht="15.75" customHeight="1" x14ac:dyDescent="0.2">
      <c r="A1233" s="26">
        <v>2549</v>
      </c>
      <c r="B1233" s="27" t="s">
        <v>2251</v>
      </c>
      <c r="C1233" s="27" t="s">
        <v>48</v>
      </c>
      <c r="D1233" s="28">
        <v>0.05</v>
      </c>
      <c r="E1233" s="29">
        <v>30.98</v>
      </c>
      <c r="F1233" s="29">
        <v>9.18</v>
      </c>
      <c r="G1233" s="30" t="s">
        <v>87</v>
      </c>
      <c r="H1233" s="27" t="s">
        <v>3095</v>
      </c>
      <c r="I1233" s="27" t="s">
        <v>49</v>
      </c>
      <c r="J1233" s="27" t="s">
        <v>88</v>
      </c>
      <c r="K1233" s="27" t="s">
        <v>73</v>
      </c>
      <c r="L1233" s="31" t="s">
        <v>2249</v>
      </c>
      <c r="M1233" s="32">
        <v>0.4</v>
      </c>
      <c r="N1233" s="27" t="s">
        <v>33</v>
      </c>
      <c r="O1233" s="27" t="s">
        <v>111</v>
      </c>
      <c r="P1233" s="27" t="s">
        <v>317</v>
      </c>
      <c r="Q1233" s="27" t="s">
        <v>2252</v>
      </c>
      <c r="R1233" s="33">
        <v>43213</v>
      </c>
      <c r="S1233" s="34">
        <v>42115</v>
      </c>
      <c r="T1233" s="34">
        <v>42115</v>
      </c>
      <c r="U1233" s="29">
        <v>61.47</v>
      </c>
      <c r="V1233" s="26">
        <v>3</v>
      </c>
      <c r="W1233" s="29">
        <v>95.57</v>
      </c>
      <c r="X1233" s="26">
        <v>88657</v>
      </c>
      <c r="Y1233" s="35">
        <v>22.939999999999998</v>
      </c>
      <c r="Z1233" s="1" t="s">
        <v>3014</v>
      </c>
      <c r="AA1233" s="36">
        <v>4.6470000000000002</v>
      </c>
      <c r="AB1233" s="54">
        <v>57.341999999999992</v>
      </c>
      <c r="AC1233" s="54">
        <v>12.742666666666667</v>
      </c>
      <c r="AD1233" s="36">
        <v>20.272999999999982</v>
      </c>
    </row>
    <row r="1234" spans="1:30" s="37" customFormat="1" ht="15.75" customHeight="1" x14ac:dyDescent="0.2">
      <c r="A1234" s="26">
        <v>2964</v>
      </c>
      <c r="B1234" s="27" t="s">
        <v>2247</v>
      </c>
      <c r="C1234" s="27" t="s">
        <v>38</v>
      </c>
      <c r="D1234" s="28">
        <v>0.06</v>
      </c>
      <c r="E1234" s="29">
        <v>42.98</v>
      </c>
      <c r="F1234" s="29">
        <v>4.62</v>
      </c>
      <c r="G1234" s="30" t="s">
        <v>39</v>
      </c>
      <c r="H1234" s="27" t="s">
        <v>40</v>
      </c>
      <c r="I1234" s="27" t="s">
        <v>49</v>
      </c>
      <c r="J1234" s="27" t="s">
        <v>95</v>
      </c>
      <c r="K1234" s="27" t="s">
        <v>73</v>
      </c>
      <c r="L1234" s="31" t="s">
        <v>280</v>
      </c>
      <c r="M1234" s="32">
        <v>0.56000000000000005</v>
      </c>
      <c r="N1234" s="27" t="s">
        <v>33</v>
      </c>
      <c r="O1234" s="27" t="s">
        <v>111</v>
      </c>
      <c r="P1234" s="27" t="s">
        <v>317</v>
      </c>
      <c r="Q1234" s="27" t="s">
        <v>68</v>
      </c>
      <c r="R1234" s="33">
        <v>43050</v>
      </c>
      <c r="S1234" s="34">
        <v>42115</v>
      </c>
      <c r="T1234" s="34">
        <v>42117</v>
      </c>
      <c r="U1234" s="29">
        <v>-24.63</v>
      </c>
      <c r="V1234" s="26">
        <v>1</v>
      </c>
      <c r="W1234" s="29">
        <v>47.04</v>
      </c>
      <c r="X1234" s="26">
        <v>88610</v>
      </c>
      <c r="Y1234" s="35">
        <v>212.56</v>
      </c>
      <c r="Z1234" s="1" t="s">
        <v>3014</v>
      </c>
      <c r="AA1234" s="36">
        <v>2.5787999999999998</v>
      </c>
      <c r="AB1234" s="54">
        <v>20.697599999999998</v>
      </c>
      <c r="AC1234" s="54">
        <v>26.342400000000001</v>
      </c>
      <c r="AD1234" s="36">
        <v>64.471199999999996</v>
      </c>
    </row>
    <row r="1235" spans="1:30" s="37" customFormat="1" ht="15.75" customHeight="1" x14ac:dyDescent="0.2">
      <c r="A1235" s="26">
        <v>2668</v>
      </c>
      <c r="B1235" s="27" t="s">
        <v>1896</v>
      </c>
      <c r="C1235" s="27" t="s">
        <v>3094</v>
      </c>
      <c r="D1235" s="28">
        <v>0.06</v>
      </c>
      <c r="E1235" s="29">
        <v>3.93</v>
      </c>
      <c r="F1235" s="29">
        <v>0.99</v>
      </c>
      <c r="G1235" s="30" t="s">
        <v>39</v>
      </c>
      <c r="H1235" s="27" t="s">
        <v>71</v>
      </c>
      <c r="I1235" s="27" t="s">
        <v>49</v>
      </c>
      <c r="J1235" s="27" t="s">
        <v>176</v>
      </c>
      <c r="K1235" s="27" t="s">
        <v>51</v>
      </c>
      <c r="L1235" s="31" t="s">
        <v>2255</v>
      </c>
      <c r="M1235" s="32">
        <v>0.39</v>
      </c>
      <c r="N1235" s="27" t="s">
        <v>33</v>
      </c>
      <c r="O1235" s="27" t="s">
        <v>53</v>
      </c>
      <c r="P1235" s="27" t="s">
        <v>1071</v>
      </c>
      <c r="Q1235" s="27" t="s">
        <v>1898</v>
      </c>
      <c r="R1235" s="33">
        <v>57701</v>
      </c>
      <c r="S1235" s="34">
        <v>42115</v>
      </c>
      <c r="T1235" s="34">
        <v>42117</v>
      </c>
      <c r="U1235" s="29">
        <v>10.782400000000001</v>
      </c>
      <c r="V1235" s="26">
        <v>6</v>
      </c>
      <c r="W1235" s="29">
        <v>24.18</v>
      </c>
      <c r="X1235" s="26">
        <v>87832</v>
      </c>
      <c r="Y1235" s="35">
        <v>419.17</v>
      </c>
      <c r="Z1235" s="1" t="s">
        <v>3012</v>
      </c>
      <c r="AA1235" s="36">
        <v>1.4148000000000001</v>
      </c>
      <c r="AB1235" s="54">
        <v>14.749799999999999</v>
      </c>
      <c r="AC1235" s="54">
        <v>1.5717000000000001</v>
      </c>
      <c r="AD1235" s="36">
        <v>10.992799999999999</v>
      </c>
    </row>
    <row r="1236" spans="1:30" s="37" customFormat="1" ht="15.75" customHeight="1" x14ac:dyDescent="0.2">
      <c r="A1236" s="26">
        <v>2260</v>
      </c>
      <c r="B1236" s="27" t="s">
        <v>1196</v>
      </c>
      <c r="C1236" s="27" t="s">
        <v>38</v>
      </c>
      <c r="D1236" s="28">
        <v>0.08</v>
      </c>
      <c r="E1236" s="29">
        <v>4.9800000000000004</v>
      </c>
      <c r="F1236" s="29">
        <v>0.49</v>
      </c>
      <c r="G1236" s="30" t="s">
        <v>39</v>
      </c>
      <c r="H1236" s="27" t="s">
        <v>94</v>
      </c>
      <c r="I1236" s="27" t="s">
        <v>49</v>
      </c>
      <c r="J1236" s="27" t="s">
        <v>152</v>
      </c>
      <c r="K1236" s="27" t="s">
        <v>73</v>
      </c>
      <c r="L1236" s="31" t="s">
        <v>1103</v>
      </c>
      <c r="M1236" s="32">
        <v>0.39</v>
      </c>
      <c r="N1236" s="27" t="s">
        <v>33</v>
      </c>
      <c r="O1236" s="27" t="s">
        <v>34</v>
      </c>
      <c r="P1236" s="27" t="s">
        <v>75</v>
      </c>
      <c r="Q1236" s="27" t="s">
        <v>1197</v>
      </c>
      <c r="R1236" s="33">
        <v>30161</v>
      </c>
      <c r="S1236" s="34">
        <v>42115</v>
      </c>
      <c r="T1236" s="34">
        <v>42116</v>
      </c>
      <c r="U1236" s="29">
        <v>4949.9160000000002</v>
      </c>
      <c r="V1236" s="26">
        <v>1</v>
      </c>
      <c r="W1236" s="29">
        <v>4.95</v>
      </c>
      <c r="X1236" s="26">
        <v>89602</v>
      </c>
      <c r="Y1236" s="35">
        <v>3.87</v>
      </c>
      <c r="Z1236" s="1" t="s">
        <v>3011</v>
      </c>
      <c r="AA1236" s="36">
        <v>0.39840000000000003</v>
      </c>
      <c r="AB1236" s="54">
        <v>3.0194999999999999</v>
      </c>
      <c r="AC1236" s="54">
        <v>1.9305000000000001</v>
      </c>
      <c r="AD1236" s="36">
        <v>-4945.8544000000002</v>
      </c>
    </row>
    <row r="1237" spans="1:30" s="37" customFormat="1" ht="15.75" customHeight="1" x14ac:dyDescent="0.2">
      <c r="A1237" s="26">
        <v>2938</v>
      </c>
      <c r="B1237" s="27" t="s">
        <v>2258</v>
      </c>
      <c r="C1237" s="27" t="s">
        <v>38</v>
      </c>
      <c r="D1237" s="28">
        <v>0.03</v>
      </c>
      <c r="E1237" s="29">
        <v>47.9</v>
      </c>
      <c r="F1237" s="29">
        <v>5.86</v>
      </c>
      <c r="G1237" s="30" t="s">
        <v>39</v>
      </c>
      <c r="H1237" s="27" t="s">
        <v>3095</v>
      </c>
      <c r="I1237" s="27" t="s">
        <v>49</v>
      </c>
      <c r="J1237" s="27" t="s">
        <v>88</v>
      </c>
      <c r="K1237" s="27" t="s">
        <v>73</v>
      </c>
      <c r="L1237" s="31" t="s">
        <v>1309</v>
      </c>
      <c r="M1237" s="32">
        <v>0.37</v>
      </c>
      <c r="N1237" s="27" t="s">
        <v>33</v>
      </c>
      <c r="O1237" s="27" t="s">
        <v>111</v>
      </c>
      <c r="P1237" s="27" t="s">
        <v>403</v>
      </c>
      <c r="Q1237" s="27" t="s">
        <v>2259</v>
      </c>
      <c r="R1237" s="33">
        <v>2180</v>
      </c>
      <c r="S1237" s="34">
        <v>42116</v>
      </c>
      <c r="T1237" s="34">
        <v>42119</v>
      </c>
      <c r="U1237" s="29">
        <v>642.99030000000005</v>
      </c>
      <c r="V1237" s="26">
        <v>20</v>
      </c>
      <c r="W1237" s="29">
        <v>931.87</v>
      </c>
      <c r="X1237" s="26">
        <v>87620</v>
      </c>
      <c r="Y1237" s="35">
        <v>35.43</v>
      </c>
      <c r="Z1237" s="1" t="s">
        <v>3014</v>
      </c>
      <c r="AA1237" s="36">
        <v>28.739999999999995</v>
      </c>
      <c r="AB1237" s="54">
        <v>587.07810000000006</v>
      </c>
      <c r="AC1237" s="54">
        <v>17.239594999999998</v>
      </c>
      <c r="AD1237" s="36">
        <v>254.27969999999993</v>
      </c>
    </row>
    <row r="1238" spans="1:30" s="37" customFormat="1" ht="15.75" customHeight="1" x14ac:dyDescent="0.2">
      <c r="A1238" s="26">
        <v>2737</v>
      </c>
      <c r="B1238" s="27" t="s">
        <v>2270</v>
      </c>
      <c r="C1238" s="27" t="s">
        <v>3094</v>
      </c>
      <c r="D1238" s="28">
        <v>0.05</v>
      </c>
      <c r="E1238" s="29">
        <v>100.98</v>
      </c>
      <c r="F1238" s="29">
        <v>7.18</v>
      </c>
      <c r="G1238" s="30" t="s">
        <v>39</v>
      </c>
      <c r="H1238" s="27" t="s">
        <v>3095</v>
      </c>
      <c r="I1238" s="27" t="s">
        <v>41</v>
      </c>
      <c r="J1238" s="27" t="s">
        <v>42</v>
      </c>
      <c r="K1238" s="27" t="s">
        <v>73</v>
      </c>
      <c r="L1238" s="31" t="s">
        <v>669</v>
      </c>
      <c r="M1238" s="32">
        <v>0.4</v>
      </c>
      <c r="N1238" s="27" t="s">
        <v>33</v>
      </c>
      <c r="O1238" s="27" t="s">
        <v>111</v>
      </c>
      <c r="P1238" s="27" t="s">
        <v>633</v>
      </c>
      <c r="Q1238" s="27" t="s">
        <v>1946</v>
      </c>
      <c r="R1238" s="33">
        <v>5701</v>
      </c>
      <c r="S1238" s="34">
        <v>42116</v>
      </c>
      <c r="T1238" s="34">
        <v>42118</v>
      </c>
      <c r="U1238" s="29">
        <v>566.60730000000001</v>
      </c>
      <c r="V1238" s="26">
        <v>8</v>
      </c>
      <c r="W1238" s="29">
        <v>821.17</v>
      </c>
      <c r="X1238" s="26">
        <v>89018</v>
      </c>
      <c r="Y1238" s="35">
        <v>47.87</v>
      </c>
      <c r="Z1238" s="1" t="s">
        <v>3014</v>
      </c>
      <c r="AA1238" s="36">
        <v>40.392000000000003</v>
      </c>
      <c r="AB1238" s="54">
        <v>492.70199999999994</v>
      </c>
      <c r="AC1238" s="54">
        <v>41.058500000000002</v>
      </c>
      <c r="AD1238" s="36">
        <v>206.99069999999995</v>
      </c>
    </row>
    <row r="1239" spans="1:30" s="37" customFormat="1" ht="15.75" customHeight="1" x14ac:dyDescent="0.2">
      <c r="A1239" s="26">
        <v>2760</v>
      </c>
      <c r="B1239" s="27" t="s">
        <v>2266</v>
      </c>
      <c r="C1239" s="27" t="s">
        <v>116</v>
      </c>
      <c r="D1239" s="28">
        <v>0.08</v>
      </c>
      <c r="E1239" s="29">
        <v>22.01</v>
      </c>
      <c r="F1239" s="29">
        <v>5.53</v>
      </c>
      <c r="G1239" s="30" t="s">
        <v>39</v>
      </c>
      <c r="H1239" s="27" t="s">
        <v>94</v>
      </c>
      <c r="I1239" s="27" t="s">
        <v>49</v>
      </c>
      <c r="J1239" s="27" t="s">
        <v>50</v>
      </c>
      <c r="K1239" s="27" t="s">
        <v>43</v>
      </c>
      <c r="L1239" s="31" t="s">
        <v>496</v>
      </c>
      <c r="M1239" s="32">
        <v>0.59</v>
      </c>
      <c r="N1239" s="27" t="s">
        <v>33</v>
      </c>
      <c r="O1239" s="27" t="s">
        <v>111</v>
      </c>
      <c r="P1239" s="27" t="s">
        <v>248</v>
      </c>
      <c r="Q1239" s="27" t="s">
        <v>2267</v>
      </c>
      <c r="R1239" s="33">
        <v>6708</v>
      </c>
      <c r="S1239" s="34">
        <v>42116</v>
      </c>
      <c r="T1239" s="34">
        <v>42118</v>
      </c>
      <c r="U1239" s="29">
        <v>105.7</v>
      </c>
      <c r="V1239" s="26">
        <v>11</v>
      </c>
      <c r="W1239" s="29">
        <v>241.97</v>
      </c>
      <c r="X1239" s="26">
        <v>90724</v>
      </c>
      <c r="Y1239" s="35">
        <v>4.5500000000000007</v>
      </c>
      <c r="Z1239" s="1" t="s">
        <v>3014</v>
      </c>
      <c r="AA1239" s="36">
        <v>19.3688</v>
      </c>
      <c r="AB1239" s="54">
        <v>99.207700000000003</v>
      </c>
      <c r="AC1239" s="54">
        <v>12.978390909090908</v>
      </c>
      <c r="AD1239" s="36">
        <v>111.37119999999999</v>
      </c>
    </row>
    <row r="1240" spans="1:30" s="37" customFormat="1" ht="15.75" customHeight="1" x14ac:dyDescent="0.2">
      <c r="A1240" s="26">
        <v>667</v>
      </c>
      <c r="B1240" s="27" t="s">
        <v>553</v>
      </c>
      <c r="C1240" s="27" t="s">
        <v>48</v>
      </c>
      <c r="D1240" s="28">
        <v>0.02</v>
      </c>
      <c r="E1240" s="29">
        <v>4.57</v>
      </c>
      <c r="F1240" s="29">
        <v>5.42</v>
      </c>
      <c r="G1240" s="30" t="s">
        <v>39</v>
      </c>
      <c r="H1240" s="27" t="s">
        <v>94</v>
      </c>
      <c r="I1240" s="27" t="s">
        <v>49</v>
      </c>
      <c r="J1240" s="27" t="s">
        <v>72</v>
      </c>
      <c r="K1240" s="27" t="s">
        <v>73</v>
      </c>
      <c r="L1240" s="31" t="s">
        <v>2261</v>
      </c>
      <c r="M1240" s="32">
        <v>0.37</v>
      </c>
      <c r="N1240" s="27" t="s">
        <v>33</v>
      </c>
      <c r="O1240" s="27" t="s">
        <v>53</v>
      </c>
      <c r="P1240" s="27" t="s">
        <v>187</v>
      </c>
      <c r="Q1240" s="27" t="s">
        <v>554</v>
      </c>
      <c r="R1240" s="33">
        <v>75203</v>
      </c>
      <c r="S1240" s="34">
        <v>42116</v>
      </c>
      <c r="T1240" s="34">
        <v>42120</v>
      </c>
      <c r="U1240" s="29">
        <v>-124.2805</v>
      </c>
      <c r="V1240" s="26">
        <v>45</v>
      </c>
      <c r="W1240" s="29">
        <v>221.06</v>
      </c>
      <c r="X1240" s="26">
        <v>48257</v>
      </c>
      <c r="Y1240" s="35">
        <v>4.5500000000000007</v>
      </c>
      <c r="Z1240" s="1" t="s">
        <v>3012</v>
      </c>
      <c r="AA1240" s="36">
        <v>4.1130000000000004</v>
      </c>
      <c r="AB1240" s="54">
        <v>139.26779999999999</v>
      </c>
      <c r="AC1240" s="54">
        <v>1.8176044444444446</v>
      </c>
      <c r="AD1240" s="36">
        <v>335.8075</v>
      </c>
    </row>
    <row r="1241" spans="1:30" s="37" customFormat="1" ht="15.75" customHeight="1" x14ac:dyDescent="0.2">
      <c r="A1241" s="26">
        <v>2764</v>
      </c>
      <c r="B1241" s="27" t="s">
        <v>2268</v>
      </c>
      <c r="C1241" s="27" t="s">
        <v>116</v>
      </c>
      <c r="D1241" s="28">
        <v>0.02</v>
      </c>
      <c r="E1241" s="29">
        <v>29.74</v>
      </c>
      <c r="F1241" s="29">
        <v>6.64</v>
      </c>
      <c r="G1241" s="30" t="s">
        <v>39</v>
      </c>
      <c r="H1241" s="27" t="s">
        <v>94</v>
      </c>
      <c r="I1241" s="27" t="s">
        <v>49</v>
      </c>
      <c r="J1241" s="27" t="s">
        <v>78</v>
      </c>
      <c r="K1241" s="27" t="s">
        <v>73</v>
      </c>
      <c r="L1241" s="31" t="s">
        <v>2269</v>
      </c>
      <c r="M1241" s="32">
        <v>0.7</v>
      </c>
      <c r="N1241" s="27" t="s">
        <v>33</v>
      </c>
      <c r="O1241" s="27" t="s">
        <v>111</v>
      </c>
      <c r="P1241" s="27" t="s">
        <v>397</v>
      </c>
      <c r="Q1241" s="27" t="s">
        <v>2005</v>
      </c>
      <c r="R1241" s="33">
        <v>7601</v>
      </c>
      <c r="S1241" s="34">
        <v>42116</v>
      </c>
      <c r="T1241" s="34">
        <v>42116</v>
      </c>
      <c r="U1241" s="29">
        <v>-21.06</v>
      </c>
      <c r="V1241" s="26">
        <v>4</v>
      </c>
      <c r="W1241" s="29">
        <v>120.81</v>
      </c>
      <c r="X1241" s="26">
        <v>90724</v>
      </c>
      <c r="Y1241" s="35">
        <v>5.3599999999999994</v>
      </c>
      <c r="Z1241" s="1" t="s">
        <v>3014</v>
      </c>
      <c r="AA1241" s="36">
        <v>2.3792</v>
      </c>
      <c r="AB1241" s="54">
        <v>36.243000000000009</v>
      </c>
      <c r="AC1241" s="54">
        <v>21.141749999999998</v>
      </c>
      <c r="AD1241" s="36">
        <v>132.85079999999999</v>
      </c>
    </row>
    <row r="1242" spans="1:30" s="37" customFormat="1" ht="15.75" customHeight="1" x14ac:dyDescent="0.2">
      <c r="A1242" s="26">
        <v>678</v>
      </c>
      <c r="B1242" s="27" t="s">
        <v>2264</v>
      </c>
      <c r="C1242" s="27" t="s">
        <v>116</v>
      </c>
      <c r="D1242" s="28">
        <v>0.04</v>
      </c>
      <c r="E1242" s="29">
        <v>15.42</v>
      </c>
      <c r="F1242" s="29">
        <v>10.68</v>
      </c>
      <c r="G1242" s="30" t="s">
        <v>87</v>
      </c>
      <c r="H1242" s="27" t="s">
        <v>94</v>
      </c>
      <c r="I1242" s="27" t="s">
        <v>49</v>
      </c>
      <c r="J1242" s="27" t="s">
        <v>78</v>
      </c>
      <c r="K1242" s="27" t="s">
        <v>73</v>
      </c>
      <c r="L1242" s="31" t="s">
        <v>2265</v>
      </c>
      <c r="M1242" s="32">
        <v>0.57999999999999996</v>
      </c>
      <c r="N1242" s="27" t="s">
        <v>33</v>
      </c>
      <c r="O1242" s="27" t="s">
        <v>34</v>
      </c>
      <c r="P1242" s="27" t="s">
        <v>242</v>
      </c>
      <c r="Q1242" s="27" t="s">
        <v>2243</v>
      </c>
      <c r="R1242" s="33">
        <v>24281</v>
      </c>
      <c r="S1242" s="34">
        <v>42116</v>
      </c>
      <c r="T1242" s="34">
        <v>42117</v>
      </c>
      <c r="U1242" s="29">
        <v>-109.70399999999999</v>
      </c>
      <c r="V1242" s="26">
        <v>5</v>
      </c>
      <c r="W1242" s="29">
        <v>81.14</v>
      </c>
      <c r="X1242" s="26">
        <v>88889</v>
      </c>
      <c r="Y1242" s="35">
        <v>15.38</v>
      </c>
      <c r="Z1242" s="1" t="s">
        <v>3011</v>
      </c>
      <c r="AA1242" s="36">
        <v>3.0840000000000001</v>
      </c>
      <c r="AB1242" s="54">
        <v>34.078800000000001</v>
      </c>
      <c r="AC1242" s="54">
        <v>9.4122400000000006</v>
      </c>
      <c r="AD1242" s="36">
        <v>177.07999999999998</v>
      </c>
    </row>
    <row r="1243" spans="1:30" s="37" customFormat="1" ht="15.75" customHeight="1" x14ac:dyDescent="0.2">
      <c r="A1243" s="26">
        <v>2932</v>
      </c>
      <c r="B1243" s="27" t="s">
        <v>2256</v>
      </c>
      <c r="C1243" s="27" t="s">
        <v>38</v>
      </c>
      <c r="D1243" s="28">
        <v>0.01</v>
      </c>
      <c r="E1243" s="29">
        <v>35.44</v>
      </c>
      <c r="F1243" s="29">
        <v>19.989999999999998</v>
      </c>
      <c r="G1243" s="30" t="s">
        <v>39</v>
      </c>
      <c r="H1243" s="27" t="s">
        <v>3095</v>
      </c>
      <c r="I1243" s="27" t="s">
        <v>49</v>
      </c>
      <c r="J1243" s="27" t="s">
        <v>88</v>
      </c>
      <c r="K1243" s="27" t="s">
        <v>73</v>
      </c>
      <c r="L1243" s="31" t="s">
        <v>2257</v>
      </c>
      <c r="M1243" s="32">
        <v>0.38</v>
      </c>
      <c r="N1243" s="27" t="s">
        <v>33</v>
      </c>
      <c r="O1243" s="27" t="s">
        <v>111</v>
      </c>
      <c r="P1243" s="27" t="s">
        <v>248</v>
      </c>
      <c r="Q1243" s="27" t="s">
        <v>1655</v>
      </c>
      <c r="R1243" s="33">
        <v>6614</v>
      </c>
      <c r="S1243" s="34">
        <v>42116</v>
      </c>
      <c r="T1243" s="34">
        <v>42117</v>
      </c>
      <c r="U1243" s="29">
        <v>-52.822800000000001</v>
      </c>
      <c r="V1243" s="26">
        <v>1</v>
      </c>
      <c r="W1243" s="29">
        <v>55.43</v>
      </c>
      <c r="X1243" s="26">
        <v>87620</v>
      </c>
      <c r="Y1243" s="35">
        <v>21.930000000000003</v>
      </c>
      <c r="Z1243" s="1" t="s">
        <v>3014</v>
      </c>
      <c r="AA1243" s="36">
        <v>0.35439999999999999</v>
      </c>
      <c r="AB1243" s="54">
        <v>34.366599999999998</v>
      </c>
      <c r="AC1243" s="54">
        <v>21.063400000000001</v>
      </c>
      <c r="AD1243" s="36">
        <v>87.9084</v>
      </c>
    </row>
    <row r="1244" spans="1:30" s="37" customFormat="1" ht="15.75" customHeight="1" x14ac:dyDescent="0.2">
      <c r="A1244" s="26">
        <v>666</v>
      </c>
      <c r="B1244" s="27" t="s">
        <v>2260</v>
      </c>
      <c r="C1244" s="27" t="s">
        <v>48</v>
      </c>
      <c r="D1244" s="28">
        <v>0.02</v>
      </c>
      <c r="E1244" s="29">
        <v>4.57</v>
      </c>
      <c r="F1244" s="29">
        <v>5.42</v>
      </c>
      <c r="G1244" s="30" t="s">
        <v>39</v>
      </c>
      <c r="H1244" s="27" t="s">
        <v>94</v>
      </c>
      <c r="I1244" s="27" t="s">
        <v>49</v>
      </c>
      <c r="J1244" s="27" t="s">
        <v>72</v>
      </c>
      <c r="K1244" s="27" t="s">
        <v>73</v>
      </c>
      <c r="L1244" s="31" t="s">
        <v>2261</v>
      </c>
      <c r="M1244" s="32">
        <v>0.37</v>
      </c>
      <c r="N1244" s="27" t="s">
        <v>33</v>
      </c>
      <c r="O1244" s="27" t="s">
        <v>34</v>
      </c>
      <c r="P1244" s="27" t="s">
        <v>400</v>
      </c>
      <c r="Q1244" s="27" t="s">
        <v>2262</v>
      </c>
      <c r="R1244" s="33">
        <v>37211</v>
      </c>
      <c r="S1244" s="34">
        <v>42116</v>
      </c>
      <c r="T1244" s="34">
        <v>42120</v>
      </c>
      <c r="U1244" s="29">
        <v>-352.81400000000002</v>
      </c>
      <c r="V1244" s="26">
        <v>11</v>
      </c>
      <c r="W1244" s="29">
        <v>54.04</v>
      </c>
      <c r="X1244" s="26">
        <v>88679</v>
      </c>
      <c r="Y1244" s="35">
        <v>29.72</v>
      </c>
      <c r="Z1244" s="1" t="s">
        <v>3011</v>
      </c>
      <c r="AA1244" s="36">
        <v>1.0054000000000001</v>
      </c>
      <c r="AB1244" s="54">
        <v>34.045200000000001</v>
      </c>
      <c r="AC1244" s="54">
        <v>1.8177090909090909</v>
      </c>
      <c r="AD1244" s="36">
        <v>400.42860000000002</v>
      </c>
    </row>
    <row r="1245" spans="1:30" s="37" customFormat="1" ht="15.75" customHeight="1" x14ac:dyDescent="0.2">
      <c r="A1245" s="26">
        <v>1777</v>
      </c>
      <c r="B1245" s="27" t="s">
        <v>172</v>
      </c>
      <c r="C1245" s="27" t="s">
        <v>48</v>
      </c>
      <c r="D1245" s="28">
        <v>7.0000000000000007E-2</v>
      </c>
      <c r="E1245" s="29">
        <v>5.43</v>
      </c>
      <c r="F1245" s="29">
        <v>0.95</v>
      </c>
      <c r="G1245" s="30" t="s">
        <v>39</v>
      </c>
      <c r="H1245" s="27" t="s">
        <v>40</v>
      </c>
      <c r="I1245" s="27" t="s">
        <v>49</v>
      </c>
      <c r="J1245" s="27" t="s">
        <v>88</v>
      </c>
      <c r="K1245" s="27" t="s">
        <v>51</v>
      </c>
      <c r="L1245" s="31" t="s">
        <v>2263</v>
      </c>
      <c r="M1245" s="32">
        <v>0.36</v>
      </c>
      <c r="N1245" s="27" t="s">
        <v>33</v>
      </c>
      <c r="O1245" s="27" t="s">
        <v>53</v>
      </c>
      <c r="P1245" s="27" t="s">
        <v>54</v>
      </c>
      <c r="Q1245" s="27" t="s">
        <v>174</v>
      </c>
      <c r="R1245" s="33">
        <v>46383</v>
      </c>
      <c r="S1245" s="34">
        <v>42116</v>
      </c>
      <c r="T1245" s="34">
        <v>42120</v>
      </c>
      <c r="U1245" s="29">
        <v>26.5029</v>
      </c>
      <c r="V1245" s="26">
        <v>7</v>
      </c>
      <c r="W1245" s="29">
        <v>38.409999999999997</v>
      </c>
      <c r="X1245" s="26">
        <v>89939</v>
      </c>
      <c r="Y1245" s="35">
        <v>100.93</v>
      </c>
      <c r="Z1245" s="1" t="s">
        <v>3012</v>
      </c>
      <c r="AA1245" s="36">
        <v>2.6606999999999998</v>
      </c>
      <c r="AB1245" s="54">
        <v>24.5824</v>
      </c>
      <c r="AC1245" s="54">
        <v>1.9753714285714283</v>
      </c>
      <c r="AD1245" s="36">
        <v>8.2963999999999984</v>
      </c>
    </row>
    <row r="1246" spans="1:30" s="37" customFormat="1" ht="15.75" customHeight="1" x14ac:dyDescent="0.2">
      <c r="A1246" s="26">
        <v>483</v>
      </c>
      <c r="B1246" s="27" t="s">
        <v>815</v>
      </c>
      <c r="C1246" s="27" t="s">
        <v>3094</v>
      </c>
      <c r="D1246" s="28">
        <v>7.0000000000000007E-2</v>
      </c>
      <c r="E1246" s="29">
        <v>699.99</v>
      </c>
      <c r="F1246" s="29">
        <v>24.49</v>
      </c>
      <c r="G1246" s="30" t="s">
        <v>39</v>
      </c>
      <c r="H1246" s="27" t="s">
        <v>94</v>
      </c>
      <c r="I1246" s="27" t="s">
        <v>41</v>
      </c>
      <c r="J1246" s="27" t="s">
        <v>64</v>
      </c>
      <c r="K1246" s="27" t="s">
        <v>65</v>
      </c>
      <c r="L1246" s="31" t="s">
        <v>313</v>
      </c>
      <c r="M1246" s="32">
        <v>0.41</v>
      </c>
      <c r="N1246" s="27" t="s">
        <v>33</v>
      </c>
      <c r="O1246" s="27" t="s">
        <v>53</v>
      </c>
      <c r="P1246" s="27" t="s">
        <v>103</v>
      </c>
      <c r="Q1246" s="27" t="s">
        <v>817</v>
      </c>
      <c r="R1246" s="33">
        <v>60543</v>
      </c>
      <c r="S1246" s="34">
        <v>42117</v>
      </c>
      <c r="T1246" s="34">
        <v>42119</v>
      </c>
      <c r="U1246" s="29">
        <v>2583.5614799999998</v>
      </c>
      <c r="V1246" s="26">
        <v>9</v>
      </c>
      <c r="W1246" s="29">
        <v>5976.09</v>
      </c>
      <c r="X1246" s="26">
        <v>90354</v>
      </c>
      <c r="Y1246" s="35">
        <v>2.81</v>
      </c>
      <c r="Z1246" s="1" t="s">
        <v>3012</v>
      </c>
      <c r="AA1246" s="36">
        <v>440.99370000000005</v>
      </c>
      <c r="AB1246" s="54">
        <v>3525.8931000000007</v>
      </c>
      <c r="AC1246" s="54">
        <v>272.2441</v>
      </c>
      <c r="AD1246" s="36">
        <v>2927.0448200000005</v>
      </c>
    </row>
    <row r="1247" spans="1:30" s="37" customFormat="1" ht="15.75" customHeight="1" x14ac:dyDescent="0.2">
      <c r="A1247" s="26">
        <v>1253</v>
      </c>
      <c r="B1247" s="27" t="s">
        <v>2272</v>
      </c>
      <c r="C1247" s="27" t="s">
        <v>48</v>
      </c>
      <c r="D1247" s="28">
        <v>0.1</v>
      </c>
      <c r="E1247" s="29">
        <v>212.6</v>
      </c>
      <c r="F1247" s="29">
        <v>110.2</v>
      </c>
      <c r="G1247" s="30" t="s">
        <v>27</v>
      </c>
      <c r="H1247" s="27" t="s">
        <v>71</v>
      </c>
      <c r="I1247" s="27" t="s">
        <v>29</v>
      </c>
      <c r="J1247" s="27" t="s">
        <v>30</v>
      </c>
      <c r="K1247" s="27" t="s">
        <v>31</v>
      </c>
      <c r="L1247" s="31" t="s">
        <v>163</v>
      </c>
      <c r="M1247" s="32">
        <v>0.73</v>
      </c>
      <c r="N1247" s="27" t="s">
        <v>33</v>
      </c>
      <c r="O1247" s="27" t="s">
        <v>53</v>
      </c>
      <c r="P1247" s="27" t="s">
        <v>187</v>
      </c>
      <c r="Q1247" s="27" t="s">
        <v>2273</v>
      </c>
      <c r="R1247" s="33">
        <v>78613</v>
      </c>
      <c r="S1247" s="34">
        <v>42117</v>
      </c>
      <c r="T1247" s="34">
        <v>42119</v>
      </c>
      <c r="U1247" s="29">
        <v>-3465.0720000000001</v>
      </c>
      <c r="V1247" s="26">
        <v>12</v>
      </c>
      <c r="W1247" s="29">
        <v>2346.0300000000002</v>
      </c>
      <c r="X1247" s="26">
        <v>89981</v>
      </c>
      <c r="Y1247" s="35">
        <v>46.87</v>
      </c>
      <c r="Z1247" s="1" t="s">
        <v>3012</v>
      </c>
      <c r="AA1247" s="36">
        <v>255.12</v>
      </c>
      <c r="AB1247" s="54">
        <v>633.42810000000009</v>
      </c>
      <c r="AC1247" s="54">
        <v>142.71682500000003</v>
      </c>
      <c r="AD1247" s="36">
        <v>5445.7820000000011</v>
      </c>
    </row>
    <row r="1248" spans="1:30" s="37" customFormat="1" ht="15.75" customHeight="1" x14ac:dyDescent="0.2">
      <c r="A1248" s="26">
        <v>146</v>
      </c>
      <c r="B1248" s="27" t="s">
        <v>1600</v>
      </c>
      <c r="C1248" s="27" t="s">
        <v>116</v>
      </c>
      <c r="D1248" s="28">
        <v>0.06</v>
      </c>
      <c r="E1248" s="29">
        <v>180.98</v>
      </c>
      <c r="F1248" s="29">
        <v>26.2</v>
      </c>
      <c r="G1248" s="30" t="s">
        <v>27</v>
      </c>
      <c r="H1248" s="27" t="s">
        <v>94</v>
      </c>
      <c r="I1248" s="27" t="s">
        <v>29</v>
      </c>
      <c r="J1248" s="27" t="s">
        <v>109</v>
      </c>
      <c r="K1248" s="27" t="s">
        <v>58</v>
      </c>
      <c r="L1248" s="31" t="s">
        <v>2274</v>
      </c>
      <c r="M1248" s="32">
        <v>0.59</v>
      </c>
      <c r="N1248" s="27" t="s">
        <v>33</v>
      </c>
      <c r="O1248" s="27" t="s">
        <v>53</v>
      </c>
      <c r="P1248" s="27" t="s">
        <v>187</v>
      </c>
      <c r="Q1248" s="27" t="s">
        <v>1602</v>
      </c>
      <c r="R1248" s="33">
        <v>76148</v>
      </c>
      <c r="S1248" s="34">
        <v>42117</v>
      </c>
      <c r="T1248" s="34">
        <v>42118</v>
      </c>
      <c r="U1248" s="29">
        <v>251.4084</v>
      </c>
      <c r="V1248" s="26">
        <v>5</v>
      </c>
      <c r="W1248" s="29">
        <v>929.57</v>
      </c>
      <c r="X1248" s="26">
        <v>91090</v>
      </c>
      <c r="Y1248" s="35">
        <v>140.92999999999998</v>
      </c>
      <c r="Z1248" s="1" t="s">
        <v>3012</v>
      </c>
      <c r="AA1248" s="36">
        <v>54.293999999999997</v>
      </c>
      <c r="AB1248" s="54">
        <v>381.12370000000004</v>
      </c>
      <c r="AC1248" s="54">
        <v>109.68926</v>
      </c>
      <c r="AD1248" s="36">
        <v>597.66759999999999</v>
      </c>
    </row>
    <row r="1249" spans="1:30" s="37" customFormat="1" ht="15.75" customHeight="1" x14ac:dyDescent="0.2">
      <c r="A1249" s="26">
        <v>1253</v>
      </c>
      <c r="B1249" s="27" t="s">
        <v>2272</v>
      </c>
      <c r="C1249" s="27" t="s">
        <v>48</v>
      </c>
      <c r="D1249" s="28">
        <v>0.05</v>
      </c>
      <c r="E1249" s="29">
        <v>140.97999999999999</v>
      </c>
      <c r="F1249" s="29">
        <v>36.090000000000003</v>
      </c>
      <c r="G1249" s="30" t="s">
        <v>27</v>
      </c>
      <c r="H1249" s="27" t="s">
        <v>71</v>
      </c>
      <c r="I1249" s="27" t="s">
        <v>29</v>
      </c>
      <c r="J1249" s="27" t="s">
        <v>117</v>
      </c>
      <c r="K1249" s="27" t="s">
        <v>31</v>
      </c>
      <c r="L1249" s="31" t="s">
        <v>1862</v>
      </c>
      <c r="M1249" s="32">
        <v>0.77</v>
      </c>
      <c r="N1249" s="27" t="s">
        <v>33</v>
      </c>
      <c r="O1249" s="27" t="s">
        <v>53</v>
      </c>
      <c r="P1249" s="27" t="s">
        <v>187</v>
      </c>
      <c r="Q1249" s="27" t="s">
        <v>2273</v>
      </c>
      <c r="R1249" s="33">
        <v>78613</v>
      </c>
      <c r="S1249" s="34">
        <v>42117</v>
      </c>
      <c r="T1249" s="34">
        <v>42119</v>
      </c>
      <c r="U1249" s="29">
        <v>-373.09</v>
      </c>
      <c r="V1249" s="26">
        <v>5</v>
      </c>
      <c r="W1249" s="29">
        <v>699.24</v>
      </c>
      <c r="X1249" s="26">
        <v>89981</v>
      </c>
      <c r="Y1249" s="35">
        <v>212.5</v>
      </c>
      <c r="Z1249" s="1" t="s">
        <v>3012</v>
      </c>
      <c r="AA1249" s="36">
        <v>35.244999999999997</v>
      </c>
      <c r="AB1249" s="54">
        <v>160.8252</v>
      </c>
      <c r="AC1249" s="54">
        <v>107.68296000000001</v>
      </c>
      <c r="AD1249" s="36">
        <v>1000.995</v>
      </c>
    </row>
    <row r="1250" spans="1:30" s="37" customFormat="1" ht="15.75" customHeight="1" x14ac:dyDescent="0.2">
      <c r="A1250" s="26">
        <v>1253</v>
      </c>
      <c r="B1250" s="27" t="s">
        <v>2272</v>
      </c>
      <c r="C1250" s="27" t="s">
        <v>48</v>
      </c>
      <c r="D1250" s="28">
        <v>0.02</v>
      </c>
      <c r="E1250" s="29">
        <v>46.89</v>
      </c>
      <c r="F1250" s="29">
        <v>5.0999999999999996</v>
      </c>
      <c r="G1250" s="30" t="s">
        <v>39</v>
      </c>
      <c r="H1250" s="27" t="s">
        <v>71</v>
      </c>
      <c r="I1250" s="27" t="s">
        <v>49</v>
      </c>
      <c r="J1250" s="27" t="s">
        <v>95</v>
      </c>
      <c r="K1250" s="27" t="s">
        <v>144</v>
      </c>
      <c r="L1250" s="31" t="s">
        <v>1843</v>
      </c>
      <c r="M1250" s="32">
        <v>0.46</v>
      </c>
      <c r="N1250" s="27" t="s">
        <v>33</v>
      </c>
      <c r="O1250" s="27" t="s">
        <v>53</v>
      </c>
      <c r="P1250" s="27" t="s">
        <v>187</v>
      </c>
      <c r="Q1250" s="27" t="s">
        <v>2273</v>
      </c>
      <c r="R1250" s="33">
        <v>78613</v>
      </c>
      <c r="S1250" s="34">
        <v>42117</v>
      </c>
      <c r="T1250" s="34">
        <v>42117</v>
      </c>
      <c r="U1250" s="29">
        <v>421.3485</v>
      </c>
      <c r="V1250" s="26">
        <v>13</v>
      </c>
      <c r="W1250" s="29">
        <v>610.65</v>
      </c>
      <c r="X1250" s="26">
        <v>89981</v>
      </c>
      <c r="Y1250" s="35">
        <v>180.92</v>
      </c>
      <c r="Z1250" s="1" t="s">
        <v>3012</v>
      </c>
      <c r="AA1250" s="36">
        <v>12.191400000000002</v>
      </c>
      <c r="AB1250" s="54">
        <v>329.75100000000003</v>
      </c>
      <c r="AC1250" s="54">
        <v>21.607615384615386</v>
      </c>
      <c r="AD1250" s="36">
        <v>172.01009999999997</v>
      </c>
    </row>
    <row r="1251" spans="1:30" s="37" customFormat="1" ht="15.75" customHeight="1" x14ac:dyDescent="0.2">
      <c r="A1251" s="26">
        <v>699</v>
      </c>
      <c r="B1251" s="27" t="s">
        <v>861</v>
      </c>
      <c r="C1251" s="27" t="s">
        <v>116</v>
      </c>
      <c r="D1251" s="28">
        <v>0.03</v>
      </c>
      <c r="E1251" s="29">
        <v>5.28</v>
      </c>
      <c r="F1251" s="29">
        <v>5.61</v>
      </c>
      <c r="G1251" s="30" t="s">
        <v>39</v>
      </c>
      <c r="H1251" s="27" t="s">
        <v>40</v>
      </c>
      <c r="I1251" s="27" t="s">
        <v>49</v>
      </c>
      <c r="J1251" s="27" t="s">
        <v>88</v>
      </c>
      <c r="K1251" s="27" t="s">
        <v>73</v>
      </c>
      <c r="L1251" s="31" t="s">
        <v>2275</v>
      </c>
      <c r="M1251" s="32">
        <v>0.4</v>
      </c>
      <c r="N1251" s="27" t="s">
        <v>33</v>
      </c>
      <c r="O1251" s="27" t="s">
        <v>60</v>
      </c>
      <c r="P1251" s="27" t="s">
        <v>90</v>
      </c>
      <c r="Q1251" s="27" t="s">
        <v>100</v>
      </c>
      <c r="R1251" s="33">
        <v>90041</v>
      </c>
      <c r="S1251" s="34">
        <v>42117</v>
      </c>
      <c r="T1251" s="34">
        <v>42118</v>
      </c>
      <c r="U1251" s="29">
        <v>-16.670000000000002</v>
      </c>
      <c r="V1251" s="26">
        <v>5</v>
      </c>
      <c r="W1251" s="29">
        <v>32.5</v>
      </c>
      <c r="X1251" s="26">
        <v>44517</v>
      </c>
      <c r="Y1251" s="35">
        <v>5.25</v>
      </c>
      <c r="Z1251" s="1" t="s">
        <v>3013</v>
      </c>
      <c r="AA1251" s="36">
        <v>0.79200000000000004</v>
      </c>
      <c r="AB1251" s="54">
        <v>19.5</v>
      </c>
      <c r="AC1251" s="54">
        <v>2.6</v>
      </c>
      <c r="AD1251" s="36">
        <v>42.768000000000001</v>
      </c>
    </row>
    <row r="1252" spans="1:30" s="37" customFormat="1" ht="15.75" customHeight="1" x14ac:dyDescent="0.2">
      <c r="A1252" s="26">
        <v>483</v>
      </c>
      <c r="B1252" s="27" t="s">
        <v>815</v>
      </c>
      <c r="C1252" s="27" t="s">
        <v>3094</v>
      </c>
      <c r="D1252" s="28">
        <v>0.06</v>
      </c>
      <c r="E1252" s="29">
        <v>3.36</v>
      </c>
      <c r="F1252" s="29">
        <v>6.27</v>
      </c>
      <c r="G1252" s="30" t="s">
        <v>39</v>
      </c>
      <c r="H1252" s="27" t="s">
        <v>94</v>
      </c>
      <c r="I1252" s="27" t="s">
        <v>49</v>
      </c>
      <c r="J1252" s="27" t="s">
        <v>72</v>
      </c>
      <c r="K1252" s="27" t="s">
        <v>73</v>
      </c>
      <c r="L1252" s="31" t="s">
        <v>186</v>
      </c>
      <c r="M1252" s="32">
        <v>0.4</v>
      </c>
      <c r="N1252" s="27" t="s">
        <v>33</v>
      </c>
      <c r="O1252" s="27" t="s">
        <v>53</v>
      </c>
      <c r="P1252" s="27" t="s">
        <v>103</v>
      </c>
      <c r="Q1252" s="27" t="s">
        <v>817</v>
      </c>
      <c r="R1252" s="33">
        <v>60543</v>
      </c>
      <c r="S1252" s="34">
        <v>42117</v>
      </c>
      <c r="T1252" s="34">
        <v>42118</v>
      </c>
      <c r="U1252" s="29">
        <v>-24.057539999999999</v>
      </c>
      <c r="V1252" s="26">
        <v>2</v>
      </c>
      <c r="W1252" s="29">
        <v>8.82</v>
      </c>
      <c r="X1252" s="26">
        <v>90354</v>
      </c>
      <c r="Y1252" s="35">
        <v>5.25</v>
      </c>
      <c r="Z1252" s="1" t="s">
        <v>3012</v>
      </c>
      <c r="AA1252" s="36">
        <v>0.40319999999999995</v>
      </c>
      <c r="AB1252" s="54">
        <v>5.2919999999999998</v>
      </c>
      <c r="AC1252" s="54">
        <v>1.7640000000000002</v>
      </c>
      <c r="AD1252" s="36">
        <v>26.204340000000002</v>
      </c>
    </row>
    <row r="1253" spans="1:30" s="37" customFormat="1" ht="15.75" customHeight="1" x14ac:dyDescent="0.2">
      <c r="A1253" s="26">
        <v>1304</v>
      </c>
      <c r="B1253" s="27" t="s">
        <v>2278</v>
      </c>
      <c r="C1253" s="27" t="s">
        <v>116</v>
      </c>
      <c r="D1253" s="28">
        <v>0.08</v>
      </c>
      <c r="E1253" s="29">
        <v>2.88</v>
      </c>
      <c r="F1253" s="29">
        <v>0.5</v>
      </c>
      <c r="G1253" s="30" t="s">
        <v>39</v>
      </c>
      <c r="H1253" s="27" t="s">
        <v>40</v>
      </c>
      <c r="I1253" s="27" t="s">
        <v>49</v>
      </c>
      <c r="J1253" s="27" t="s">
        <v>152</v>
      </c>
      <c r="K1253" s="27" t="s">
        <v>73</v>
      </c>
      <c r="L1253" s="31" t="s">
        <v>2279</v>
      </c>
      <c r="M1253" s="32">
        <v>0.39</v>
      </c>
      <c r="N1253" s="27" t="s">
        <v>33</v>
      </c>
      <c r="O1253" s="27" t="s">
        <v>60</v>
      </c>
      <c r="P1253" s="27" t="s">
        <v>146</v>
      </c>
      <c r="Q1253" s="27" t="s">
        <v>2280</v>
      </c>
      <c r="R1253" s="33">
        <v>84084</v>
      </c>
      <c r="S1253" s="34">
        <v>42117</v>
      </c>
      <c r="T1253" s="34">
        <v>42118</v>
      </c>
      <c r="U1253" s="29">
        <v>6.0305999999999997</v>
      </c>
      <c r="V1253" s="26">
        <v>3</v>
      </c>
      <c r="W1253" s="29">
        <v>8.74</v>
      </c>
      <c r="X1253" s="26">
        <v>87004</v>
      </c>
      <c r="Y1253" s="35">
        <v>2.8</v>
      </c>
      <c r="Z1253" s="1" t="s">
        <v>3013</v>
      </c>
      <c r="AA1253" s="36">
        <v>0.69120000000000004</v>
      </c>
      <c r="AB1253" s="54">
        <v>5.3314000000000004</v>
      </c>
      <c r="AC1253" s="54">
        <v>1.1362000000000001</v>
      </c>
      <c r="AD1253" s="36">
        <v>1.5182000000000002</v>
      </c>
    </row>
    <row r="1254" spans="1:30" s="37" customFormat="1" ht="15.75" customHeight="1" x14ac:dyDescent="0.2">
      <c r="A1254" s="26">
        <v>702</v>
      </c>
      <c r="B1254" s="27" t="s">
        <v>2276</v>
      </c>
      <c r="C1254" s="27" t="s">
        <v>116</v>
      </c>
      <c r="D1254" s="28">
        <v>0.03</v>
      </c>
      <c r="E1254" s="29">
        <v>5.28</v>
      </c>
      <c r="F1254" s="29">
        <v>5.61</v>
      </c>
      <c r="G1254" s="30" t="s">
        <v>39</v>
      </c>
      <c r="H1254" s="27" t="s">
        <v>40</v>
      </c>
      <c r="I1254" s="27" t="s">
        <v>49</v>
      </c>
      <c r="J1254" s="27" t="s">
        <v>88</v>
      </c>
      <c r="K1254" s="27" t="s">
        <v>73</v>
      </c>
      <c r="L1254" s="31" t="s">
        <v>2275</v>
      </c>
      <c r="M1254" s="32">
        <v>0.4</v>
      </c>
      <c r="N1254" s="27" t="s">
        <v>33</v>
      </c>
      <c r="O1254" s="27" t="s">
        <v>60</v>
      </c>
      <c r="P1254" s="27" t="s">
        <v>90</v>
      </c>
      <c r="Q1254" s="27" t="s">
        <v>2277</v>
      </c>
      <c r="R1254" s="33">
        <v>95404</v>
      </c>
      <c r="S1254" s="34">
        <v>42117</v>
      </c>
      <c r="T1254" s="34">
        <v>42118</v>
      </c>
      <c r="U1254" s="29">
        <v>-16.670000000000002</v>
      </c>
      <c r="V1254" s="26">
        <v>1</v>
      </c>
      <c r="W1254" s="29">
        <v>6.5</v>
      </c>
      <c r="X1254" s="26">
        <v>87977</v>
      </c>
      <c r="Y1254" s="35">
        <v>3.3</v>
      </c>
      <c r="Z1254" s="1" t="s">
        <v>3013</v>
      </c>
      <c r="AA1254" s="36">
        <v>0.15840000000000001</v>
      </c>
      <c r="AB1254" s="54">
        <v>3.9</v>
      </c>
      <c r="AC1254" s="54">
        <v>2.6</v>
      </c>
      <c r="AD1254" s="36">
        <v>17.401600000000002</v>
      </c>
    </row>
    <row r="1255" spans="1:30" s="37" customFormat="1" ht="15.75" customHeight="1" x14ac:dyDescent="0.2">
      <c r="A1255" s="26">
        <v>2114</v>
      </c>
      <c r="B1255" s="27" t="s">
        <v>1375</v>
      </c>
      <c r="C1255" s="27" t="s">
        <v>26</v>
      </c>
      <c r="D1255" s="28">
        <v>0.08</v>
      </c>
      <c r="E1255" s="29">
        <v>2.89</v>
      </c>
      <c r="F1255" s="29">
        <v>0.49</v>
      </c>
      <c r="G1255" s="30" t="s">
        <v>39</v>
      </c>
      <c r="H1255" s="27" t="s">
        <v>94</v>
      </c>
      <c r="I1255" s="27" t="s">
        <v>49</v>
      </c>
      <c r="J1255" s="27" t="s">
        <v>152</v>
      </c>
      <c r="K1255" s="27" t="s">
        <v>73</v>
      </c>
      <c r="L1255" s="31" t="s">
        <v>2271</v>
      </c>
      <c r="M1255" s="32">
        <v>0.38</v>
      </c>
      <c r="N1255" s="27" t="s">
        <v>33</v>
      </c>
      <c r="O1255" s="27" t="s">
        <v>34</v>
      </c>
      <c r="P1255" s="27" t="s">
        <v>242</v>
      </c>
      <c r="Q1255" s="27" t="s">
        <v>1377</v>
      </c>
      <c r="R1255" s="33">
        <v>23518</v>
      </c>
      <c r="S1255" s="34">
        <v>42117</v>
      </c>
      <c r="T1255" s="34">
        <v>42117</v>
      </c>
      <c r="U1255" s="29">
        <v>38.405999999999999</v>
      </c>
      <c r="V1255" s="26">
        <v>1</v>
      </c>
      <c r="W1255" s="29">
        <v>3.07</v>
      </c>
      <c r="X1255" s="26">
        <v>88404</v>
      </c>
      <c r="Y1255" s="35">
        <v>699.92</v>
      </c>
      <c r="Z1255" s="1" t="s">
        <v>3011</v>
      </c>
      <c r="AA1255" s="36">
        <v>0.23120000000000002</v>
      </c>
      <c r="AB1255" s="54">
        <v>1.9034</v>
      </c>
      <c r="AC1255" s="54">
        <v>1.1665999999999999</v>
      </c>
      <c r="AD1255" s="36">
        <v>-36.057200000000002</v>
      </c>
    </row>
    <row r="1256" spans="1:30" s="37" customFormat="1" ht="15.75" customHeight="1" x14ac:dyDescent="0.2">
      <c r="A1256" s="26">
        <v>1670</v>
      </c>
      <c r="B1256" s="27" t="s">
        <v>2290</v>
      </c>
      <c r="C1256" s="27" t="s">
        <v>48</v>
      </c>
      <c r="D1256" s="28">
        <v>0</v>
      </c>
      <c r="E1256" s="29">
        <v>142.86000000000001</v>
      </c>
      <c r="F1256" s="29">
        <v>19.989999999999998</v>
      </c>
      <c r="G1256" s="30" t="s">
        <v>39</v>
      </c>
      <c r="H1256" s="27" t="s">
        <v>3095</v>
      </c>
      <c r="I1256" s="27" t="s">
        <v>49</v>
      </c>
      <c r="J1256" s="27" t="s">
        <v>78</v>
      </c>
      <c r="K1256" s="27" t="s">
        <v>73</v>
      </c>
      <c r="L1256" s="31" t="s">
        <v>1956</v>
      </c>
      <c r="M1256" s="32">
        <v>0.56000000000000005</v>
      </c>
      <c r="N1256" s="27" t="s">
        <v>33</v>
      </c>
      <c r="O1256" s="27" t="s">
        <v>34</v>
      </c>
      <c r="P1256" s="27" t="s">
        <v>242</v>
      </c>
      <c r="Q1256" s="27" t="s">
        <v>2173</v>
      </c>
      <c r="R1256" s="33">
        <v>24060</v>
      </c>
      <c r="S1256" s="34">
        <v>42118</v>
      </c>
      <c r="T1256" s="34">
        <v>42127</v>
      </c>
      <c r="U1256" s="29">
        <v>-739.32600000000002</v>
      </c>
      <c r="V1256" s="26">
        <v>11</v>
      </c>
      <c r="W1256" s="29">
        <v>1576.35</v>
      </c>
      <c r="X1256" s="26">
        <v>86722</v>
      </c>
      <c r="Y1256" s="35">
        <v>2.48</v>
      </c>
      <c r="Z1256" s="1" t="s">
        <v>3011</v>
      </c>
      <c r="AA1256" s="36">
        <v>0</v>
      </c>
      <c r="AB1256" s="54">
        <v>693.59399999999982</v>
      </c>
      <c r="AC1256" s="54">
        <v>80.250545454545446</v>
      </c>
      <c r="AD1256" s="36">
        <v>2295.6859999999997</v>
      </c>
    </row>
    <row r="1257" spans="1:30" s="37" customFormat="1" ht="15.75" customHeight="1" x14ac:dyDescent="0.2">
      <c r="A1257" s="26">
        <v>1670</v>
      </c>
      <c r="B1257" s="27" t="s">
        <v>2290</v>
      </c>
      <c r="C1257" s="27" t="s">
        <v>48</v>
      </c>
      <c r="D1257" s="28">
        <v>0.03</v>
      </c>
      <c r="E1257" s="29">
        <v>35.409999999999997</v>
      </c>
      <c r="F1257" s="29">
        <v>1.99</v>
      </c>
      <c r="G1257" s="30" t="s">
        <v>39</v>
      </c>
      <c r="H1257" s="27" t="s">
        <v>3095</v>
      </c>
      <c r="I1257" s="27" t="s">
        <v>41</v>
      </c>
      <c r="J1257" s="27" t="s">
        <v>42</v>
      </c>
      <c r="K1257" s="27" t="s">
        <v>43</v>
      </c>
      <c r="L1257" s="31" t="s">
        <v>2291</v>
      </c>
      <c r="M1257" s="32">
        <v>0.43</v>
      </c>
      <c r="N1257" s="27" t="s">
        <v>33</v>
      </c>
      <c r="O1257" s="27" t="s">
        <v>34</v>
      </c>
      <c r="P1257" s="27" t="s">
        <v>242</v>
      </c>
      <c r="Q1257" s="27" t="s">
        <v>2173</v>
      </c>
      <c r="R1257" s="33">
        <v>24060</v>
      </c>
      <c r="S1257" s="34">
        <v>42118</v>
      </c>
      <c r="T1257" s="34">
        <v>42120</v>
      </c>
      <c r="U1257" s="29">
        <v>1912.422</v>
      </c>
      <c r="V1257" s="26">
        <v>10</v>
      </c>
      <c r="W1257" s="29">
        <v>367.52</v>
      </c>
      <c r="X1257" s="26">
        <v>86722</v>
      </c>
      <c r="Y1257" s="35">
        <v>5.51</v>
      </c>
      <c r="Z1257" s="1" t="s">
        <v>3011</v>
      </c>
      <c r="AA1257" s="36">
        <v>10.622999999999998</v>
      </c>
      <c r="AB1257" s="54">
        <v>209.4864</v>
      </c>
      <c r="AC1257" s="54">
        <v>15.803359999999998</v>
      </c>
      <c r="AD1257" s="36">
        <v>-1557.5150000000001</v>
      </c>
    </row>
    <row r="1258" spans="1:30" s="37" customFormat="1" ht="15.75" customHeight="1" x14ac:dyDescent="0.2">
      <c r="A1258" s="26">
        <v>3325</v>
      </c>
      <c r="B1258" s="27" t="s">
        <v>2283</v>
      </c>
      <c r="C1258" s="27" t="s">
        <v>26</v>
      </c>
      <c r="D1258" s="28">
        <v>7.0000000000000007E-2</v>
      </c>
      <c r="E1258" s="29">
        <v>5.58</v>
      </c>
      <c r="F1258" s="29">
        <v>1.99</v>
      </c>
      <c r="G1258" s="30" t="s">
        <v>39</v>
      </c>
      <c r="H1258" s="27" t="s">
        <v>40</v>
      </c>
      <c r="I1258" s="27" t="s">
        <v>49</v>
      </c>
      <c r="J1258" s="27" t="s">
        <v>50</v>
      </c>
      <c r="K1258" s="27" t="s">
        <v>51</v>
      </c>
      <c r="L1258" s="31" t="s">
        <v>2284</v>
      </c>
      <c r="M1258" s="32">
        <v>0.46</v>
      </c>
      <c r="N1258" s="27" t="s">
        <v>33</v>
      </c>
      <c r="O1258" s="27" t="s">
        <v>60</v>
      </c>
      <c r="P1258" s="27" t="s">
        <v>139</v>
      </c>
      <c r="Q1258" s="27" t="s">
        <v>2285</v>
      </c>
      <c r="R1258" s="33">
        <v>97420</v>
      </c>
      <c r="S1258" s="34">
        <v>42118</v>
      </c>
      <c r="T1258" s="34">
        <v>42120</v>
      </c>
      <c r="U1258" s="29">
        <v>23.045999999999999</v>
      </c>
      <c r="V1258" s="26">
        <v>23</v>
      </c>
      <c r="W1258" s="29">
        <v>121.46</v>
      </c>
      <c r="X1258" s="26">
        <v>90987</v>
      </c>
      <c r="Y1258" s="35">
        <v>9.0200000000000014</v>
      </c>
      <c r="Z1258" s="1" t="s">
        <v>3013</v>
      </c>
      <c r="AA1258" s="36">
        <v>8.9838000000000022</v>
      </c>
      <c r="AB1258" s="54">
        <v>65.588400000000007</v>
      </c>
      <c r="AC1258" s="54">
        <v>2.4292000000000002</v>
      </c>
      <c r="AD1258" s="36">
        <v>87.44019999999999</v>
      </c>
    </row>
    <row r="1259" spans="1:30" s="37" customFormat="1" ht="15.75" customHeight="1" x14ac:dyDescent="0.2">
      <c r="A1259" s="26">
        <v>1086</v>
      </c>
      <c r="B1259" s="27" t="s">
        <v>2287</v>
      </c>
      <c r="C1259" s="27" t="s">
        <v>38</v>
      </c>
      <c r="D1259" s="28">
        <v>0.04</v>
      </c>
      <c r="E1259" s="29">
        <v>14.27</v>
      </c>
      <c r="F1259" s="29">
        <v>7.27</v>
      </c>
      <c r="G1259" s="30" t="s">
        <v>39</v>
      </c>
      <c r="H1259" s="27" t="s">
        <v>71</v>
      </c>
      <c r="I1259" s="27" t="s">
        <v>49</v>
      </c>
      <c r="J1259" s="27" t="s">
        <v>72</v>
      </c>
      <c r="K1259" s="27" t="s">
        <v>73</v>
      </c>
      <c r="L1259" s="31" t="s">
        <v>2288</v>
      </c>
      <c r="M1259" s="32">
        <v>0.38</v>
      </c>
      <c r="N1259" s="27" t="s">
        <v>33</v>
      </c>
      <c r="O1259" s="27" t="s">
        <v>111</v>
      </c>
      <c r="P1259" s="27" t="s">
        <v>112</v>
      </c>
      <c r="Q1259" s="27" t="s">
        <v>2289</v>
      </c>
      <c r="R1259" s="33">
        <v>11746</v>
      </c>
      <c r="S1259" s="34">
        <v>42118</v>
      </c>
      <c r="T1259" s="34">
        <v>42119</v>
      </c>
      <c r="U1259" s="29">
        <v>2.125</v>
      </c>
      <c r="V1259" s="26">
        <v>3</v>
      </c>
      <c r="W1259" s="29">
        <v>45.24</v>
      </c>
      <c r="X1259" s="26">
        <v>86123</v>
      </c>
      <c r="Y1259" s="35">
        <v>14.23</v>
      </c>
      <c r="Z1259" s="1" t="s">
        <v>3014</v>
      </c>
      <c r="AA1259" s="36">
        <v>1.7123999999999999</v>
      </c>
      <c r="AB1259" s="54">
        <v>28.0488</v>
      </c>
      <c r="AC1259" s="54">
        <v>5.7304000000000004</v>
      </c>
      <c r="AD1259" s="36">
        <v>34.132600000000004</v>
      </c>
    </row>
    <row r="1260" spans="1:30" s="37" customFormat="1" ht="15.75" customHeight="1" x14ac:dyDescent="0.2">
      <c r="A1260" s="26">
        <v>1085</v>
      </c>
      <c r="B1260" s="27" t="s">
        <v>231</v>
      </c>
      <c r="C1260" s="27" t="s">
        <v>38</v>
      </c>
      <c r="D1260" s="28">
        <v>0.04</v>
      </c>
      <c r="E1260" s="29">
        <v>9.06</v>
      </c>
      <c r="F1260" s="29">
        <v>9.86</v>
      </c>
      <c r="G1260" s="30" t="s">
        <v>39</v>
      </c>
      <c r="H1260" s="27" t="s">
        <v>71</v>
      </c>
      <c r="I1260" s="27" t="s">
        <v>49</v>
      </c>
      <c r="J1260" s="27" t="s">
        <v>88</v>
      </c>
      <c r="K1260" s="27" t="s">
        <v>73</v>
      </c>
      <c r="L1260" s="31" t="s">
        <v>2286</v>
      </c>
      <c r="M1260" s="32">
        <v>0.4</v>
      </c>
      <c r="N1260" s="27" t="s">
        <v>33</v>
      </c>
      <c r="O1260" s="27" t="s">
        <v>111</v>
      </c>
      <c r="P1260" s="27" t="s">
        <v>112</v>
      </c>
      <c r="Q1260" s="27" t="s">
        <v>233</v>
      </c>
      <c r="R1260" s="33">
        <v>11729</v>
      </c>
      <c r="S1260" s="34">
        <v>42118</v>
      </c>
      <c r="T1260" s="34">
        <v>42119</v>
      </c>
      <c r="U1260" s="29">
        <v>-53.25</v>
      </c>
      <c r="V1260" s="26">
        <v>3</v>
      </c>
      <c r="W1260" s="29">
        <v>30.87</v>
      </c>
      <c r="X1260" s="26">
        <v>86123</v>
      </c>
      <c r="Y1260" s="35">
        <v>35.379999999999995</v>
      </c>
      <c r="Z1260" s="1" t="s">
        <v>3014</v>
      </c>
      <c r="AA1260" s="36">
        <v>1.0871999999999999</v>
      </c>
      <c r="AB1260" s="54">
        <v>18.521999999999998</v>
      </c>
      <c r="AC1260" s="54">
        <v>4.1160000000000005</v>
      </c>
      <c r="AD1260" s="36">
        <v>73.172799999999995</v>
      </c>
    </row>
    <row r="1261" spans="1:30" s="37" customFormat="1" ht="15.75" customHeight="1" x14ac:dyDescent="0.2">
      <c r="A1261" s="26">
        <v>1391</v>
      </c>
      <c r="B1261" s="27" t="s">
        <v>2292</v>
      </c>
      <c r="C1261" s="27" t="s">
        <v>3094</v>
      </c>
      <c r="D1261" s="28">
        <v>0</v>
      </c>
      <c r="E1261" s="29">
        <v>2.88</v>
      </c>
      <c r="F1261" s="29">
        <v>0.7</v>
      </c>
      <c r="G1261" s="30" t="s">
        <v>87</v>
      </c>
      <c r="H1261" s="27" t="s">
        <v>40</v>
      </c>
      <c r="I1261" s="27" t="s">
        <v>49</v>
      </c>
      <c r="J1261" s="27" t="s">
        <v>50</v>
      </c>
      <c r="K1261" s="27" t="s">
        <v>51</v>
      </c>
      <c r="L1261" s="31" t="s">
        <v>639</v>
      </c>
      <c r="M1261" s="32">
        <v>0.56000000000000005</v>
      </c>
      <c r="N1261" s="27" t="s">
        <v>33</v>
      </c>
      <c r="O1261" s="27" t="s">
        <v>60</v>
      </c>
      <c r="P1261" s="27" t="s">
        <v>90</v>
      </c>
      <c r="Q1261" s="27" t="s">
        <v>2293</v>
      </c>
      <c r="R1261" s="33">
        <v>94086</v>
      </c>
      <c r="S1261" s="34">
        <v>42118</v>
      </c>
      <c r="T1261" s="34">
        <v>42118</v>
      </c>
      <c r="U1261" s="29">
        <v>-0.11</v>
      </c>
      <c r="V1261" s="26">
        <v>1</v>
      </c>
      <c r="W1261" s="29">
        <v>7.96</v>
      </c>
      <c r="X1261" s="26">
        <v>88727</v>
      </c>
      <c r="Y1261" s="35">
        <v>142.86000000000001</v>
      </c>
      <c r="Z1261" s="1" t="s">
        <v>3013</v>
      </c>
      <c r="AA1261" s="36">
        <v>0</v>
      </c>
      <c r="AB1261" s="54">
        <v>3.5023999999999997</v>
      </c>
      <c r="AC1261" s="54">
        <v>4.4576000000000002</v>
      </c>
      <c r="AD1261" s="36">
        <v>7.37</v>
      </c>
    </row>
    <row r="1262" spans="1:30" s="37" customFormat="1" ht="15.75" customHeight="1" x14ac:dyDescent="0.2">
      <c r="A1262" s="26">
        <v>1257</v>
      </c>
      <c r="B1262" s="27" t="s">
        <v>2281</v>
      </c>
      <c r="C1262" s="27" t="s">
        <v>26</v>
      </c>
      <c r="D1262" s="28">
        <v>0.04</v>
      </c>
      <c r="E1262" s="29">
        <v>2.52</v>
      </c>
      <c r="F1262" s="29">
        <v>1.92</v>
      </c>
      <c r="G1262" s="30" t="s">
        <v>39</v>
      </c>
      <c r="H1262" s="27" t="s">
        <v>71</v>
      </c>
      <c r="I1262" s="27" t="s">
        <v>49</v>
      </c>
      <c r="J1262" s="27" t="s">
        <v>568</v>
      </c>
      <c r="K1262" s="27" t="s">
        <v>51</v>
      </c>
      <c r="L1262" s="31" t="s">
        <v>2282</v>
      </c>
      <c r="M1262" s="32">
        <v>0.82</v>
      </c>
      <c r="N1262" s="27" t="s">
        <v>33</v>
      </c>
      <c r="O1262" s="27" t="s">
        <v>60</v>
      </c>
      <c r="P1262" s="27" t="s">
        <v>61</v>
      </c>
      <c r="Q1262" s="27" t="s">
        <v>1123</v>
      </c>
      <c r="R1262" s="33">
        <v>80013</v>
      </c>
      <c r="S1262" s="34">
        <v>42118</v>
      </c>
      <c r="T1262" s="34">
        <v>42118</v>
      </c>
      <c r="U1262" s="29">
        <v>-8.2080000000000002</v>
      </c>
      <c r="V1262" s="26">
        <v>1</v>
      </c>
      <c r="W1262" s="29">
        <v>3.13</v>
      </c>
      <c r="X1262" s="26">
        <v>86536</v>
      </c>
      <c r="Y1262" s="35">
        <v>2.88</v>
      </c>
      <c r="Z1262" s="1" t="s">
        <v>3013</v>
      </c>
      <c r="AA1262" s="36">
        <v>0.1008</v>
      </c>
      <c r="AB1262" s="54">
        <v>0.56340000000000012</v>
      </c>
      <c r="AC1262" s="54">
        <v>2.5665999999999998</v>
      </c>
      <c r="AD1262" s="36">
        <v>9.3171999999999997</v>
      </c>
    </row>
    <row r="1263" spans="1:30" s="37" customFormat="1" ht="15.75" customHeight="1" x14ac:dyDescent="0.2">
      <c r="A1263" s="26">
        <v>2571</v>
      </c>
      <c r="B1263" s="27" t="s">
        <v>2299</v>
      </c>
      <c r="C1263" s="27" t="s">
        <v>26</v>
      </c>
      <c r="D1263" s="28">
        <v>0.01</v>
      </c>
      <c r="E1263" s="29">
        <v>500.98</v>
      </c>
      <c r="F1263" s="29">
        <v>56</v>
      </c>
      <c r="G1263" s="30" t="s">
        <v>27</v>
      </c>
      <c r="H1263" s="27" t="s">
        <v>40</v>
      </c>
      <c r="I1263" s="27" t="s">
        <v>29</v>
      </c>
      <c r="J1263" s="27" t="s">
        <v>109</v>
      </c>
      <c r="K1263" s="27" t="s">
        <v>58</v>
      </c>
      <c r="L1263" s="31" t="s">
        <v>2296</v>
      </c>
      <c r="M1263" s="32">
        <v>0.6</v>
      </c>
      <c r="N1263" s="27" t="s">
        <v>33</v>
      </c>
      <c r="O1263" s="27" t="s">
        <v>111</v>
      </c>
      <c r="P1263" s="27" t="s">
        <v>112</v>
      </c>
      <c r="Q1263" s="27" t="s">
        <v>113</v>
      </c>
      <c r="R1263" s="33">
        <v>10165</v>
      </c>
      <c r="S1263" s="34">
        <v>42119</v>
      </c>
      <c r="T1263" s="34">
        <v>42120</v>
      </c>
      <c r="U1263" s="29">
        <v>4260.1120000000001</v>
      </c>
      <c r="V1263" s="26">
        <v>56</v>
      </c>
      <c r="W1263" s="29">
        <v>29718.53</v>
      </c>
      <c r="X1263" s="26">
        <v>50656</v>
      </c>
      <c r="Y1263" s="35">
        <v>4.37</v>
      </c>
      <c r="Z1263" s="1" t="s">
        <v>3014</v>
      </c>
      <c r="AA1263" s="36">
        <v>280.54880000000003</v>
      </c>
      <c r="AB1263" s="54">
        <v>11887.412</v>
      </c>
      <c r="AC1263" s="54">
        <v>318.41282142857136</v>
      </c>
      <c r="AD1263" s="36">
        <v>25121.869200000001</v>
      </c>
    </row>
    <row r="1264" spans="1:30" s="37" customFormat="1" ht="15.75" customHeight="1" x14ac:dyDescent="0.2">
      <c r="A1264" s="26">
        <v>2570</v>
      </c>
      <c r="B1264" s="27" t="s">
        <v>2294</v>
      </c>
      <c r="C1264" s="27" t="s">
        <v>26</v>
      </c>
      <c r="D1264" s="28">
        <v>0.01</v>
      </c>
      <c r="E1264" s="29">
        <v>500.98</v>
      </c>
      <c r="F1264" s="29">
        <v>56</v>
      </c>
      <c r="G1264" s="30" t="s">
        <v>27</v>
      </c>
      <c r="H1264" s="27" t="s">
        <v>40</v>
      </c>
      <c r="I1264" s="27" t="s">
        <v>29</v>
      </c>
      <c r="J1264" s="27" t="s">
        <v>109</v>
      </c>
      <c r="K1264" s="27" t="s">
        <v>58</v>
      </c>
      <c r="L1264" s="31" t="s">
        <v>2296</v>
      </c>
      <c r="M1264" s="32">
        <v>0.6</v>
      </c>
      <c r="N1264" s="27" t="s">
        <v>33</v>
      </c>
      <c r="O1264" s="27" t="s">
        <v>60</v>
      </c>
      <c r="P1264" s="27" t="s">
        <v>90</v>
      </c>
      <c r="Q1264" s="27" t="s">
        <v>2295</v>
      </c>
      <c r="R1264" s="33">
        <v>95616</v>
      </c>
      <c r="S1264" s="34">
        <v>42119</v>
      </c>
      <c r="T1264" s="34">
        <v>42120</v>
      </c>
      <c r="U1264" s="29">
        <v>4899.1288000000004</v>
      </c>
      <c r="V1264" s="26">
        <v>14</v>
      </c>
      <c r="W1264" s="29">
        <v>7429.63</v>
      </c>
      <c r="X1264" s="26">
        <v>90327</v>
      </c>
      <c r="Y1264" s="35">
        <v>500.97</v>
      </c>
      <c r="Z1264" s="1" t="s">
        <v>3013</v>
      </c>
      <c r="AA1264" s="36">
        <v>70.137200000000007</v>
      </c>
      <c r="AB1264" s="54">
        <v>2971.8520000000003</v>
      </c>
      <c r="AC1264" s="54">
        <v>318.41271428571429</v>
      </c>
      <c r="AD1264" s="36">
        <v>2404.3639999999996</v>
      </c>
    </row>
    <row r="1265" spans="1:30" s="37" customFormat="1" ht="15.75" customHeight="1" x14ac:dyDescent="0.2">
      <c r="A1265" s="26">
        <v>2570</v>
      </c>
      <c r="B1265" s="27" t="s">
        <v>2294</v>
      </c>
      <c r="C1265" s="27" t="s">
        <v>26</v>
      </c>
      <c r="D1265" s="28">
        <v>0.02</v>
      </c>
      <c r="E1265" s="29">
        <v>12.58</v>
      </c>
      <c r="F1265" s="29">
        <v>5.16</v>
      </c>
      <c r="G1265" s="30" t="s">
        <v>39</v>
      </c>
      <c r="H1265" s="27" t="s">
        <v>40</v>
      </c>
      <c r="I1265" s="27" t="s">
        <v>29</v>
      </c>
      <c r="J1265" s="27" t="s">
        <v>126</v>
      </c>
      <c r="K1265" s="27" t="s">
        <v>73</v>
      </c>
      <c r="L1265" s="31" t="s">
        <v>2297</v>
      </c>
      <c r="M1265" s="32">
        <v>0.43</v>
      </c>
      <c r="N1265" s="27" t="s">
        <v>33</v>
      </c>
      <c r="O1265" s="27" t="s">
        <v>60</v>
      </c>
      <c r="P1265" s="27" t="s">
        <v>90</v>
      </c>
      <c r="Q1265" s="27" t="s">
        <v>2295</v>
      </c>
      <c r="R1265" s="33">
        <v>95616</v>
      </c>
      <c r="S1265" s="34">
        <v>42119</v>
      </c>
      <c r="T1265" s="34">
        <v>42119</v>
      </c>
      <c r="U1265" s="29">
        <v>44.712000000000003</v>
      </c>
      <c r="V1265" s="26">
        <v>18</v>
      </c>
      <c r="W1265" s="29">
        <v>224.29</v>
      </c>
      <c r="X1265" s="26">
        <v>90327</v>
      </c>
      <c r="Y1265" s="35">
        <v>12.56</v>
      </c>
      <c r="Z1265" s="1" t="s">
        <v>3013</v>
      </c>
      <c r="AA1265" s="36">
        <v>4.5287999999999995</v>
      </c>
      <c r="AB1265" s="54">
        <v>127.84530000000001</v>
      </c>
      <c r="AC1265" s="54">
        <v>5.3580388888888884</v>
      </c>
      <c r="AD1265" s="36">
        <v>169.88919999999999</v>
      </c>
    </row>
    <row r="1266" spans="1:30" s="37" customFormat="1" ht="15.75" customHeight="1" x14ac:dyDescent="0.2">
      <c r="A1266" s="26">
        <v>2571</v>
      </c>
      <c r="B1266" s="27" t="s">
        <v>2299</v>
      </c>
      <c r="C1266" s="27" t="s">
        <v>26</v>
      </c>
      <c r="D1266" s="28">
        <v>0.1</v>
      </c>
      <c r="E1266" s="29">
        <v>7.7</v>
      </c>
      <c r="F1266" s="29">
        <v>3.68</v>
      </c>
      <c r="G1266" s="30" t="s">
        <v>39</v>
      </c>
      <c r="H1266" s="27" t="s">
        <v>40</v>
      </c>
      <c r="I1266" s="27" t="s">
        <v>29</v>
      </c>
      <c r="J1266" s="27" t="s">
        <v>126</v>
      </c>
      <c r="K1266" s="27" t="s">
        <v>51</v>
      </c>
      <c r="L1266" s="31" t="s">
        <v>2298</v>
      </c>
      <c r="M1266" s="32">
        <v>0.52</v>
      </c>
      <c r="N1266" s="27" t="s">
        <v>33</v>
      </c>
      <c r="O1266" s="27" t="s">
        <v>111</v>
      </c>
      <c r="P1266" s="27" t="s">
        <v>112</v>
      </c>
      <c r="Q1266" s="27" t="s">
        <v>113</v>
      </c>
      <c r="R1266" s="33">
        <v>10165</v>
      </c>
      <c r="S1266" s="34">
        <v>42119</v>
      </c>
      <c r="T1266" s="34">
        <v>42120</v>
      </c>
      <c r="U1266" s="29">
        <v>-25.14</v>
      </c>
      <c r="V1266" s="26">
        <v>27</v>
      </c>
      <c r="W1266" s="29">
        <v>197.48</v>
      </c>
      <c r="X1266" s="26">
        <v>50656</v>
      </c>
      <c r="Y1266" s="35">
        <v>7.6000000000000005</v>
      </c>
      <c r="Z1266" s="1" t="s">
        <v>3014</v>
      </c>
      <c r="AA1266" s="36">
        <v>20.79</v>
      </c>
      <c r="AB1266" s="54">
        <v>94.790399999999991</v>
      </c>
      <c r="AC1266" s="54">
        <v>3.8033185185185183</v>
      </c>
      <c r="AD1266" s="36">
        <v>198.14999999999998</v>
      </c>
    </row>
    <row r="1267" spans="1:30" s="37" customFormat="1" ht="15.75" customHeight="1" x14ac:dyDescent="0.2">
      <c r="A1267" s="26">
        <v>2570</v>
      </c>
      <c r="B1267" s="27" t="s">
        <v>2294</v>
      </c>
      <c r="C1267" s="27" t="s">
        <v>26</v>
      </c>
      <c r="D1267" s="28">
        <v>0</v>
      </c>
      <c r="E1267" s="29">
        <v>4.37</v>
      </c>
      <c r="F1267" s="29">
        <v>5.15</v>
      </c>
      <c r="G1267" s="30" t="s">
        <v>39</v>
      </c>
      <c r="H1267" s="27" t="s">
        <v>40</v>
      </c>
      <c r="I1267" s="27" t="s">
        <v>49</v>
      </c>
      <c r="J1267" s="27" t="s">
        <v>95</v>
      </c>
      <c r="K1267" s="27" t="s">
        <v>73</v>
      </c>
      <c r="L1267" s="31" t="s">
        <v>1295</v>
      </c>
      <c r="M1267" s="32">
        <v>0.59</v>
      </c>
      <c r="N1267" s="27" t="s">
        <v>33</v>
      </c>
      <c r="O1267" s="27" t="s">
        <v>60</v>
      </c>
      <c r="P1267" s="27" t="s">
        <v>90</v>
      </c>
      <c r="Q1267" s="27" t="s">
        <v>2295</v>
      </c>
      <c r="R1267" s="33">
        <v>95616</v>
      </c>
      <c r="S1267" s="34">
        <v>42119</v>
      </c>
      <c r="T1267" s="34">
        <v>42121</v>
      </c>
      <c r="U1267" s="29">
        <v>-150.2604</v>
      </c>
      <c r="V1267" s="26">
        <v>19</v>
      </c>
      <c r="W1267" s="29">
        <v>87.85</v>
      </c>
      <c r="X1267" s="26">
        <v>90327</v>
      </c>
      <c r="Y1267" s="35">
        <v>500.97</v>
      </c>
      <c r="Z1267" s="1" t="s">
        <v>3013</v>
      </c>
      <c r="AA1267" s="36">
        <v>0</v>
      </c>
      <c r="AB1267" s="54">
        <v>36.018500000000003</v>
      </c>
      <c r="AC1267" s="54">
        <v>2.727973684210526</v>
      </c>
      <c r="AD1267" s="36">
        <v>232.96039999999999</v>
      </c>
    </row>
    <row r="1268" spans="1:30" s="37" customFormat="1" ht="15.75" customHeight="1" x14ac:dyDescent="0.2">
      <c r="A1268" s="26">
        <v>3379</v>
      </c>
      <c r="B1268" s="27" t="s">
        <v>1869</v>
      </c>
      <c r="C1268" s="27" t="s">
        <v>26</v>
      </c>
      <c r="D1268" s="28">
        <v>0.05</v>
      </c>
      <c r="E1268" s="29">
        <v>3.14</v>
      </c>
      <c r="F1268" s="29">
        <v>1.92</v>
      </c>
      <c r="G1268" s="30" t="s">
        <v>87</v>
      </c>
      <c r="H1268" s="27" t="s">
        <v>71</v>
      </c>
      <c r="I1268" s="27" t="s">
        <v>49</v>
      </c>
      <c r="J1268" s="27" t="s">
        <v>568</v>
      </c>
      <c r="K1268" s="27" t="s">
        <v>51</v>
      </c>
      <c r="L1268" s="31" t="s">
        <v>1440</v>
      </c>
      <c r="M1268" s="32">
        <v>0.84</v>
      </c>
      <c r="N1268" s="27" t="s">
        <v>33</v>
      </c>
      <c r="O1268" s="27" t="s">
        <v>34</v>
      </c>
      <c r="P1268" s="27" t="s">
        <v>75</v>
      </c>
      <c r="Q1268" s="27" t="s">
        <v>1871</v>
      </c>
      <c r="R1268" s="33">
        <v>30144</v>
      </c>
      <c r="S1268" s="34">
        <v>42119</v>
      </c>
      <c r="T1268" s="34">
        <v>42120</v>
      </c>
      <c r="U1268" s="29">
        <v>1628.37</v>
      </c>
      <c r="V1268" s="26">
        <v>18</v>
      </c>
      <c r="W1268" s="29">
        <v>59.22</v>
      </c>
      <c r="X1268" s="26">
        <v>88839</v>
      </c>
      <c r="Y1268" s="35">
        <v>7.6000000000000005</v>
      </c>
      <c r="Z1268" s="1" t="s">
        <v>3011</v>
      </c>
      <c r="AA1268" s="36">
        <v>2.8260000000000005</v>
      </c>
      <c r="AB1268" s="54">
        <v>9.475200000000001</v>
      </c>
      <c r="AC1268" s="54">
        <v>2.7635999999999998</v>
      </c>
      <c r="AD1268" s="36">
        <v>-1573.896</v>
      </c>
    </row>
    <row r="1269" spans="1:30" s="37" customFormat="1" ht="15.75" customHeight="1" x14ac:dyDescent="0.2">
      <c r="A1269" s="26">
        <v>2570</v>
      </c>
      <c r="B1269" s="27" t="s">
        <v>2294</v>
      </c>
      <c r="C1269" s="27" t="s">
        <v>26</v>
      </c>
      <c r="D1269" s="28">
        <v>0.1</v>
      </c>
      <c r="E1269" s="29">
        <v>7.7</v>
      </c>
      <c r="F1269" s="29">
        <v>3.68</v>
      </c>
      <c r="G1269" s="30" t="s">
        <v>39</v>
      </c>
      <c r="H1269" s="27" t="s">
        <v>40</v>
      </c>
      <c r="I1269" s="27" t="s">
        <v>29</v>
      </c>
      <c r="J1269" s="27" t="s">
        <v>126</v>
      </c>
      <c r="K1269" s="27" t="s">
        <v>51</v>
      </c>
      <c r="L1269" s="31" t="s">
        <v>2298</v>
      </c>
      <c r="M1269" s="32">
        <v>0.52</v>
      </c>
      <c r="N1269" s="27" t="s">
        <v>33</v>
      </c>
      <c r="O1269" s="27" t="s">
        <v>60</v>
      </c>
      <c r="P1269" s="27" t="s">
        <v>90</v>
      </c>
      <c r="Q1269" s="27" t="s">
        <v>2295</v>
      </c>
      <c r="R1269" s="33">
        <v>95616</v>
      </c>
      <c r="S1269" s="34">
        <v>42119</v>
      </c>
      <c r="T1269" s="34">
        <v>42120</v>
      </c>
      <c r="U1269" s="29">
        <v>-22.626000000000001</v>
      </c>
      <c r="V1269" s="26">
        <v>7</v>
      </c>
      <c r="W1269" s="29">
        <v>51.2</v>
      </c>
      <c r="X1269" s="26">
        <v>90327</v>
      </c>
      <c r="Y1269" s="35">
        <v>3.0900000000000003</v>
      </c>
      <c r="Z1269" s="1" t="s">
        <v>3013</v>
      </c>
      <c r="AA1269" s="36">
        <v>5.3900000000000006</v>
      </c>
      <c r="AB1269" s="54">
        <v>24.576000000000001</v>
      </c>
      <c r="AC1269" s="54">
        <v>3.8034285714285718</v>
      </c>
      <c r="AD1269" s="36">
        <v>64.756</v>
      </c>
    </row>
    <row r="1270" spans="1:30" s="37" customFormat="1" ht="15.75" customHeight="1" x14ac:dyDescent="0.2">
      <c r="A1270" s="26">
        <v>2491</v>
      </c>
      <c r="B1270" s="27" t="s">
        <v>457</v>
      </c>
      <c r="C1270" s="27" t="s">
        <v>116</v>
      </c>
      <c r="D1270" s="28">
        <v>0.04</v>
      </c>
      <c r="E1270" s="29">
        <v>419.19</v>
      </c>
      <c r="F1270" s="29">
        <v>19.989999999999998</v>
      </c>
      <c r="G1270" s="30" t="s">
        <v>39</v>
      </c>
      <c r="H1270" s="27" t="s">
        <v>71</v>
      </c>
      <c r="I1270" s="27" t="s">
        <v>49</v>
      </c>
      <c r="J1270" s="27" t="s">
        <v>78</v>
      </c>
      <c r="K1270" s="27" t="s">
        <v>73</v>
      </c>
      <c r="L1270" s="31" t="s">
        <v>2192</v>
      </c>
      <c r="M1270" s="32">
        <v>0.57999999999999996</v>
      </c>
      <c r="N1270" s="27" t="s">
        <v>33</v>
      </c>
      <c r="O1270" s="27" t="s">
        <v>60</v>
      </c>
      <c r="P1270" s="27" t="s">
        <v>90</v>
      </c>
      <c r="Q1270" s="27" t="s">
        <v>100</v>
      </c>
      <c r="R1270" s="33">
        <v>90045</v>
      </c>
      <c r="S1270" s="34">
        <v>42120</v>
      </c>
      <c r="T1270" s="34">
        <v>42121</v>
      </c>
      <c r="U1270" s="29">
        <v>1947.67</v>
      </c>
      <c r="V1270" s="26">
        <v>20</v>
      </c>
      <c r="W1270" s="29">
        <v>8048.45</v>
      </c>
      <c r="X1270" s="26">
        <v>23042</v>
      </c>
      <c r="Y1270" s="35">
        <v>101.32</v>
      </c>
      <c r="Z1270" s="1" t="s">
        <v>3013</v>
      </c>
      <c r="AA1270" s="36">
        <v>335.35200000000003</v>
      </c>
      <c r="AB1270" s="54">
        <v>3380.3490000000002</v>
      </c>
      <c r="AC1270" s="54">
        <v>233.40504999999999</v>
      </c>
      <c r="AD1270" s="36">
        <v>5745.4380000000001</v>
      </c>
    </row>
    <row r="1271" spans="1:30" s="37" customFormat="1" ht="15.75" customHeight="1" x14ac:dyDescent="0.2">
      <c r="A1271" s="26">
        <v>2489</v>
      </c>
      <c r="B1271" s="27" t="s">
        <v>451</v>
      </c>
      <c r="C1271" s="27" t="s">
        <v>116</v>
      </c>
      <c r="D1271" s="28">
        <v>0.04</v>
      </c>
      <c r="E1271" s="29">
        <v>419.19</v>
      </c>
      <c r="F1271" s="29">
        <v>19.989999999999998</v>
      </c>
      <c r="G1271" s="30" t="s">
        <v>39</v>
      </c>
      <c r="H1271" s="27" t="s">
        <v>71</v>
      </c>
      <c r="I1271" s="27" t="s">
        <v>49</v>
      </c>
      <c r="J1271" s="27" t="s">
        <v>78</v>
      </c>
      <c r="K1271" s="27" t="s">
        <v>73</v>
      </c>
      <c r="L1271" s="31" t="s">
        <v>2192</v>
      </c>
      <c r="M1271" s="32">
        <v>0.57999999999999996</v>
      </c>
      <c r="N1271" s="27" t="s">
        <v>33</v>
      </c>
      <c r="O1271" s="27" t="s">
        <v>60</v>
      </c>
      <c r="P1271" s="27" t="s">
        <v>90</v>
      </c>
      <c r="Q1271" s="27" t="s">
        <v>453</v>
      </c>
      <c r="R1271" s="33">
        <v>94521</v>
      </c>
      <c r="S1271" s="34">
        <v>42120</v>
      </c>
      <c r="T1271" s="34">
        <v>42121</v>
      </c>
      <c r="U1271" s="29">
        <v>1388.3559</v>
      </c>
      <c r="V1271" s="26">
        <v>5</v>
      </c>
      <c r="W1271" s="29">
        <v>2012.11</v>
      </c>
      <c r="X1271" s="26">
        <v>86885</v>
      </c>
      <c r="Y1271" s="35">
        <v>180.95</v>
      </c>
      <c r="Z1271" s="1" t="s">
        <v>3013</v>
      </c>
      <c r="AA1271" s="36">
        <v>83.838000000000008</v>
      </c>
      <c r="AB1271" s="54">
        <v>845.08620000000008</v>
      </c>
      <c r="AC1271" s="54">
        <v>233.40475999999995</v>
      </c>
      <c r="AD1271" s="36">
        <v>519.92609999999991</v>
      </c>
    </row>
    <row r="1272" spans="1:30" s="37" customFormat="1" ht="15.75" customHeight="1" x14ac:dyDescent="0.2">
      <c r="A1272" s="26">
        <v>731</v>
      </c>
      <c r="B1272" s="27" t="s">
        <v>2300</v>
      </c>
      <c r="C1272" s="27" t="s">
        <v>38</v>
      </c>
      <c r="D1272" s="28">
        <v>0.09</v>
      </c>
      <c r="E1272" s="29">
        <v>101.41</v>
      </c>
      <c r="F1272" s="29">
        <v>35</v>
      </c>
      <c r="G1272" s="30" t="s">
        <v>39</v>
      </c>
      <c r="H1272" s="27" t="s">
        <v>40</v>
      </c>
      <c r="I1272" s="27" t="s">
        <v>49</v>
      </c>
      <c r="J1272" s="27" t="s">
        <v>78</v>
      </c>
      <c r="K1272" s="27" t="s">
        <v>65</v>
      </c>
      <c r="L1272" s="31" t="s">
        <v>766</v>
      </c>
      <c r="M1272" s="32">
        <v>0.82</v>
      </c>
      <c r="N1272" s="27" t="s">
        <v>33</v>
      </c>
      <c r="O1272" s="27" t="s">
        <v>111</v>
      </c>
      <c r="P1272" s="27" t="s">
        <v>403</v>
      </c>
      <c r="Q1272" s="27" t="s">
        <v>928</v>
      </c>
      <c r="R1272" s="33">
        <v>1803</v>
      </c>
      <c r="S1272" s="34">
        <v>42120</v>
      </c>
      <c r="T1272" s="34">
        <v>42121</v>
      </c>
      <c r="U1272" s="29">
        <v>-801.15480000000002</v>
      </c>
      <c r="V1272" s="26">
        <v>12</v>
      </c>
      <c r="W1272" s="29">
        <v>1178.32</v>
      </c>
      <c r="X1272" s="26">
        <v>90362</v>
      </c>
      <c r="Y1272" s="35">
        <v>4.2200000000000006</v>
      </c>
      <c r="Z1272" s="1" t="s">
        <v>3014</v>
      </c>
      <c r="AA1272" s="36">
        <v>109.52279999999999</v>
      </c>
      <c r="AB1272" s="54">
        <v>212.09760000000006</v>
      </c>
      <c r="AC1272" s="54">
        <v>80.518533333333323</v>
      </c>
      <c r="AD1272" s="36">
        <v>1834.952</v>
      </c>
    </row>
    <row r="1273" spans="1:30" s="37" customFormat="1" ht="15.75" customHeight="1" x14ac:dyDescent="0.2">
      <c r="A1273" s="26">
        <v>1893</v>
      </c>
      <c r="B1273" s="27" t="s">
        <v>2301</v>
      </c>
      <c r="C1273" s="27" t="s">
        <v>48</v>
      </c>
      <c r="D1273" s="28">
        <v>0.03</v>
      </c>
      <c r="E1273" s="29">
        <v>180.98</v>
      </c>
      <c r="F1273" s="29">
        <v>26.2</v>
      </c>
      <c r="G1273" s="30" t="s">
        <v>27</v>
      </c>
      <c r="H1273" s="27" t="s">
        <v>40</v>
      </c>
      <c r="I1273" s="27" t="s">
        <v>29</v>
      </c>
      <c r="J1273" s="27" t="s">
        <v>109</v>
      </c>
      <c r="K1273" s="27" t="s">
        <v>58</v>
      </c>
      <c r="L1273" s="31" t="s">
        <v>2274</v>
      </c>
      <c r="M1273" s="32">
        <v>0.59</v>
      </c>
      <c r="N1273" s="27" t="s">
        <v>33</v>
      </c>
      <c r="O1273" s="27" t="s">
        <v>53</v>
      </c>
      <c r="P1273" s="27" t="s">
        <v>80</v>
      </c>
      <c r="Q1273" s="27" t="s">
        <v>2302</v>
      </c>
      <c r="R1273" s="33">
        <v>63119</v>
      </c>
      <c r="S1273" s="34">
        <v>42120</v>
      </c>
      <c r="T1273" s="34">
        <v>42124</v>
      </c>
      <c r="U1273" s="29">
        <v>588.54</v>
      </c>
      <c r="V1273" s="26">
        <v>5</v>
      </c>
      <c r="W1273" s="29">
        <v>928.92</v>
      </c>
      <c r="X1273" s="26">
        <v>91262</v>
      </c>
      <c r="Y1273" s="35">
        <v>4.2200000000000006</v>
      </c>
      <c r="Z1273" s="1" t="s">
        <v>3012</v>
      </c>
      <c r="AA1273" s="36">
        <v>27.146999999999998</v>
      </c>
      <c r="AB1273" s="54">
        <v>380.85720000000003</v>
      </c>
      <c r="AC1273" s="54">
        <v>109.61255999999999</v>
      </c>
      <c r="AD1273" s="36">
        <v>287.0329999999999</v>
      </c>
    </row>
    <row r="1274" spans="1:30" s="37" customFormat="1" ht="15.75" customHeight="1" x14ac:dyDescent="0.2">
      <c r="A1274" s="26">
        <v>2382</v>
      </c>
      <c r="B1274" s="27" t="s">
        <v>2306</v>
      </c>
      <c r="C1274" s="27" t="s">
        <v>3094</v>
      </c>
      <c r="D1274" s="28">
        <v>7.0000000000000007E-2</v>
      </c>
      <c r="E1274" s="29">
        <v>3.38</v>
      </c>
      <c r="F1274" s="29">
        <v>0.85</v>
      </c>
      <c r="G1274" s="30" t="s">
        <v>39</v>
      </c>
      <c r="H1274" s="27" t="s">
        <v>3095</v>
      </c>
      <c r="I1274" s="27" t="s">
        <v>49</v>
      </c>
      <c r="J1274" s="27" t="s">
        <v>50</v>
      </c>
      <c r="K1274" s="27" t="s">
        <v>51</v>
      </c>
      <c r="L1274" s="31" t="s">
        <v>936</v>
      </c>
      <c r="M1274" s="32">
        <v>0.48</v>
      </c>
      <c r="N1274" s="27" t="s">
        <v>33</v>
      </c>
      <c r="O1274" s="27" t="s">
        <v>111</v>
      </c>
      <c r="P1274" s="27" t="s">
        <v>112</v>
      </c>
      <c r="Q1274" s="27" t="s">
        <v>113</v>
      </c>
      <c r="R1274" s="33">
        <v>10024</v>
      </c>
      <c r="S1274" s="34">
        <v>42120</v>
      </c>
      <c r="T1274" s="34">
        <v>42122</v>
      </c>
      <c r="U1274" s="29">
        <v>19.04</v>
      </c>
      <c r="V1274" s="26">
        <v>34</v>
      </c>
      <c r="W1274" s="29">
        <v>109.86</v>
      </c>
      <c r="X1274" s="26">
        <v>13606</v>
      </c>
      <c r="Y1274" s="35">
        <v>419.15</v>
      </c>
      <c r="Z1274" s="1" t="s">
        <v>3014</v>
      </c>
      <c r="AA1274" s="36">
        <v>8.0443999999999996</v>
      </c>
      <c r="AB1274" s="54">
        <v>57.127200000000002</v>
      </c>
      <c r="AC1274" s="54">
        <v>1.5509647058823528</v>
      </c>
      <c r="AD1274" s="36">
        <v>81.925600000000003</v>
      </c>
    </row>
    <row r="1275" spans="1:30" s="37" customFormat="1" ht="15.75" customHeight="1" x14ac:dyDescent="0.2">
      <c r="A1275" s="26">
        <v>2491</v>
      </c>
      <c r="B1275" s="27" t="s">
        <v>457</v>
      </c>
      <c r="C1275" s="27" t="s">
        <v>48</v>
      </c>
      <c r="D1275" s="28">
        <v>0.06</v>
      </c>
      <c r="E1275" s="29">
        <v>4.28</v>
      </c>
      <c r="F1275" s="29">
        <v>0.94</v>
      </c>
      <c r="G1275" s="30" t="s">
        <v>39</v>
      </c>
      <c r="H1275" s="27" t="s">
        <v>40</v>
      </c>
      <c r="I1275" s="27" t="s">
        <v>49</v>
      </c>
      <c r="J1275" s="27" t="s">
        <v>50</v>
      </c>
      <c r="K1275" s="27" t="s">
        <v>51</v>
      </c>
      <c r="L1275" s="31" t="s">
        <v>481</v>
      </c>
      <c r="M1275" s="32">
        <v>0.56000000000000005</v>
      </c>
      <c r="N1275" s="27" t="s">
        <v>33</v>
      </c>
      <c r="O1275" s="27" t="s">
        <v>60</v>
      </c>
      <c r="P1275" s="27" t="s">
        <v>90</v>
      </c>
      <c r="Q1275" s="27" t="s">
        <v>100</v>
      </c>
      <c r="R1275" s="33">
        <v>90045</v>
      </c>
      <c r="S1275" s="34">
        <v>42120</v>
      </c>
      <c r="T1275" s="34">
        <v>42122</v>
      </c>
      <c r="U1275" s="29">
        <v>0.37</v>
      </c>
      <c r="V1275" s="26">
        <v>9</v>
      </c>
      <c r="W1275" s="29">
        <v>38.96</v>
      </c>
      <c r="X1275" s="26">
        <v>11712</v>
      </c>
      <c r="Y1275" s="35">
        <v>419.15</v>
      </c>
      <c r="Z1275" s="1" t="s">
        <v>3013</v>
      </c>
      <c r="AA1275" s="36">
        <v>2.3112000000000004</v>
      </c>
      <c r="AB1275" s="54">
        <v>17.142399999999999</v>
      </c>
      <c r="AC1275" s="54">
        <v>2.424177777777778</v>
      </c>
      <c r="AD1275" s="36">
        <v>35.338799999999999</v>
      </c>
    </row>
    <row r="1276" spans="1:30" s="37" customFormat="1" ht="15.75" customHeight="1" x14ac:dyDescent="0.2">
      <c r="A1276" s="26">
        <v>2380</v>
      </c>
      <c r="B1276" s="27" t="s">
        <v>2304</v>
      </c>
      <c r="C1276" s="27" t="s">
        <v>3094</v>
      </c>
      <c r="D1276" s="28">
        <v>7.0000000000000007E-2</v>
      </c>
      <c r="E1276" s="29">
        <v>3.38</v>
      </c>
      <c r="F1276" s="29">
        <v>0.85</v>
      </c>
      <c r="G1276" s="30" t="s">
        <v>39</v>
      </c>
      <c r="H1276" s="27" t="s">
        <v>3095</v>
      </c>
      <c r="I1276" s="27" t="s">
        <v>49</v>
      </c>
      <c r="J1276" s="27" t="s">
        <v>50</v>
      </c>
      <c r="K1276" s="27" t="s">
        <v>51</v>
      </c>
      <c r="L1276" s="31" t="s">
        <v>936</v>
      </c>
      <c r="M1276" s="32">
        <v>0.48</v>
      </c>
      <c r="N1276" s="27" t="s">
        <v>33</v>
      </c>
      <c r="O1276" s="27" t="s">
        <v>53</v>
      </c>
      <c r="P1276" s="27" t="s">
        <v>289</v>
      </c>
      <c r="Q1276" s="27" t="s">
        <v>2305</v>
      </c>
      <c r="R1276" s="33">
        <v>49505</v>
      </c>
      <c r="S1276" s="34">
        <v>42120</v>
      </c>
      <c r="T1276" s="34">
        <v>42122</v>
      </c>
      <c r="U1276" s="29">
        <v>19.04</v>
      </c>
      <c r="V1276" s="26">
        <v>9</v>
      </c>
      <c r="W1276" s="29">
        <v>29.08</v>
      </c>
      <c r="X1276" s="26">
        <v>86654</v>
      </c>
      <c r="Y1276" s="35">
        <v>3.31</v>
      </c>
      <c r="Z1276" s="1" t="s">
        <v>3012</v>
      </c>
      <c r="AA1276" s="36">
        <v>2.1294</v>
      </c>
      <c r="AB1276" s="54">
        <v>15.121599999999999</v>
      </c>
      <c r="AC1276" s="54">
        <v>1.5509333333333331</v>
      </c>
      <c r="AD1276" s="36">
        <v>7.0605999999999973</v>
      </c>
    </row>
    <row r="1277" spans="1:30" s="37" customFormat="1" ht="15.75" customHeight="1" x14ac:dyDescent="0.2">
      <c r="A1277" s="26">
        <v>2495</v>
      </c>
      <c r="B1277" s="27" t="s">
        <v>2303</v>
      </c>
      <c r="C1277" s="27" t="s">
        <v>48</v>
      </c>
      <c r="D1277" s="28">
        <v>0.06</v>
      </c>
      <c r="E1277" s="29">
        <v>4.28</v>
      </c>
      <c r="F1277" s="29">
        <v>0.94</v>
      </c>
      <c r="G1277" s="30" t="s">
        <v>39</v>
      </c>
      <c r="H1277" s="27" t="s">
        <v>40</v>
      </c>
      <c r="I1277" s="27" t="s">
        <v>49</v>
      </c>
      <c r="J1277" s="27" t="s">
        <v>50</v>
      </c>
      <c r="K1277" s="27" t="s">
        <v>51</v>
      </c>
      <c r="L1277" s="31" t="s">
        <v>481</v>
      </c>
      <c r="M1277" s="32">
        <v>0.56000000000000005</v>
      </c>
      <c r="N1277" s="27" t="s">
        <v>33</v>
      </c>
      <c r="O1277" s="27" t="s">
        <v>60</v>
      </c>
      <c r="P1277" s="27" t="s">
        <v>1060</v>
      </c>
      <c r="Q1277" s="27" t="s">
        <v>1661</v>
      </c>
      <c r="R1277" s="33">
        <v>82901</v>
      </c>
      <c r="S1277" s="34">
        <v>42120</v>
      </c>
      <c r="T1277" s="34">
        <v>42122</v>
      </c>
      <c r="U1277" s="29">
        <v>0.37</v>
      </c>
      <c r="V1277" s="26">
        <v>2</v>
      </c>
      <c r="W1277" s="29">
        <v>8.66</v>
      </c>
      <c r="X1277" s="26">
        <v>86885</v>
      </c>
      <c r="Y1277" s="35">
        <v>3.31</v>
      </c>
      <c r="Z1277" s="1" t="s">
        <v>3013</v>
      </c>
      <c r="AA1277" s="36">
        <v>0.51360000000000006</v>
      </c>
      <c r="AB1277" s="54">
        <v>3.8103999999999996</v>
      </c>
      <c r="AC1277" s="54">
        <v>2.4248000000000003</v>
      </c>
      <c r="AD1277" s="36">
        <v>6.8364000000000003</v>
      </c>
    </row>
    <row r="1278" spans="1:30" s="37" customFormat="1" ht="15.75" customHeight="1" x14ac:dyDescent="0.2">
      <c r="A1278" s="26">
        <v>983</v>
      </c>
      <c r="B1278" s="27" t="s">
        <v>2307</v>
      </c>
      <c r="C1278" s="27" t="s">
        <v>48</v>
      </c>
      <c r="D1278" s="28">
        <v>0.09</v>
      </c>
      <c r="E1278" s="29">
        <v>300.97000000000003</v>
      </c>
      <c r="F1278" s="29">
        <v>7.18</v>
      </c>
      <c r="G1278" s="30" t="s">
        <v>39</v>
      </c>
      <c r="H1278" s="27" t="s">
        <v>94</v>
      </c>
      <c r="I1278" s="27" t="s">
        <v>41</v>
      </c>
      <c r="J1278" s="27" t="s">
        <v>42</v>
      </c>
      <c r="K1278" s="27" t="s">
        <v>73</v>
      </c>
      <c r="L1278" s="31" t="s">
        <v>2209</v>
      </c>
      <c r="M1278" s="32">
        <v>0.48</v>
      </c>
      <c r="N1278" s="27" t="s">
        <v>33</v>
      </c>
      <c r="O1278" s="27" t="s">
        <v>34</v>
      </c>
      <c r="P1278" s="27" t="s">
        <v>45</v>
      </c>
      <c r="Q1278" s="27" t="s">
        <v>2308</v>
      </c>
      <c r="R1278" s="33">
        <v>72143</v>
      </c>
      <c r="S1278" s="34">
        <v>42121</v>
      </c>
      <c r="T1278" s="34">
        <v>42121</v>
      </c>
      <c r="U1278" s="29">
        <v>17.771999999999998</v>
      </c>
      <c r="V1278" s="26">
        <v>10</v>
      </c>
      <c r="W1278" s="29">
        <v>2848.38</v>
      </c>
      <c r="X1278" s="26">
        <v>90201</v>
      </c>
      <c r="Y1278" s="35">
        <v>58.01</v>
      </c>
      <c r="Z1278" s="1" t="s">
        <v>3011</v>
      </c>
      <c r="AA1278" s="36">
        <v>270.87300000000005</v>
      </c>
      <c r="AB1278" s="54">
        <v>1481.1576</v>
      </c>
      <c r="AC1278" s="54">
        <v>136.72224</v>
      </c>
      <c r="AD1278" s="36">
        <v>2552.5550000000003</v>
      </c>
    </row>
    <row r="1279" spans="1:30" s="37" customFormat="1" ht="15.75" customHeight="1" x14ac:dyDescent="0.2">
      <c r="A1279" s="26">
        <v>762</v>
      </c>
      <c r="B1279" s="27" t="s">
        <v>2309</v>
      </c>
      <c r="C1279" s="27" t="s">
        <v>3094</v>
      </c>
      <c r="D1279" s="28">
        <v>0</v>
      </c>
      <c r="E1279" s="29">
        <v>125.99</v>
      </c>
      <c r="F1279" s="29">
        <v>8.99</v>
      </c>
      <c r="G1279" s="30" t="s">
        <v>39</v>
      </c>
      <c r="H1279" s="27" t="s">
        <v>3095</v>
      </c>
      <c r="I1279" s="27" t="s">
        <v>41</v>
      </c>
      <c r="J1279" s="27" t="s">
        <v>135</v>
      </c>
      <c r="K1279" s="27" t="s">
        <v>73</v>
      </c>
      <c r="L1279" s="31" t="s">
        <v>775</v>
      </c>
      <c r="M1279" s="32">
        <v>0.56999999999999995</v>
      </c>
      <c r="N1279" s="27" t="s">
        <v>33</v>
      </c>
      <c r="O1279" s="27" t="s">
        <v>60</v>
      </c>
      <c r="P1279" s="27" t="s">
        <v>67</v>
      </c>
      <c r="Q1279" s="27" t="s">
        <v>2310</v>
      </c>
      <c r="R1279" s="33">
        <v>98661</v>
      </c>
      <c r="S1279" s="34">
        <v>42121</v>
      </c>
      <c r="T1279" s="34">
        <v>42123</v>
      </c>
      <c r="U1279" s="29">
        <v>613.89576</v>
      </c>
      <c r="V1279" s="26">
        <v>12</v>
      </c>
      <c r="W1279" s="29">
        <v>1362.2</v>
      </c>
      <c r="X1279" s="26">
        <v>87525</v>
      </c>
      <c r="Y1279" s="35">
        <v>300.88000000000005</v>
      </c>
      <c r="Z1279" s="1" t="s">
        <v>3013</v>
      </c>
      <c r="AA1279" s="36">
        <v>0</v>
      </c>
      <c r="AB1279" s="54">
        <v>585.74600000000009</v>
      </c>
      <c r="AC1279" s="54">
        <v>64.704499999999996</v>
      </c>
      <c r="AD1279" s="36">
        <v>739.31424000000004</v>
      </c>
    </row>
    <row r="1280" spans="1:30" s="37" customFormat="1" ht="15.75" customHeight="1" x14ac:dyDescent="0.2">
      <c r="A1280" s="26">
        <v>3320</v>
      </c>
      <c r="B1280" s="27" t="s">
        <v>2311</v>
      </c>
      <c r="C1280" s="27" t="s">
        <v>3094</v>
      </c>
      <c r="D1280" s="28">
        <v>0.09</v>
      </c>
      <c r="E1280" s="29">
        <v>40.97</v>
      </c>
      <c r="F1280" s="29">
        <v>8.99</v>
      </c>
      <c r="G1280" s="30" t="s">
        <v>87</v>
      </c>
      <c r="H1280" s="27" t="s">
        <v>3095</v>
      </c>
      <c r="I1280" s="27" t="s">
        <v>49</v>
      </c>
      <c r="J1280" s="27" t="s">
        <v>50</v>
      </c>
      <c r="K1280" s="27" t="s">
        <v>43</v>
      </c>
      <c r="L1280" s="31" t="s">
        <v>1735</v>
      </c>
      <c r="M1280" s="32">
        <v>0.59</v>
      </c>
      <c r="N1280" s="27" t="s">
        <v>33</v>
      </c>
      <c r="O1280" s="27" t="s">
        <v>34</v>
      </c>
      <c r="P1280" s="27" t="s">
        <v>400</v>
      </c>
      <c r="Q1280" s="27" t="s">
        <v>2116</v>
      </c>
      <c r="R1280" s="33">
        <v>38301</v>
      </c>
      <c r="S1280" s="34">
        <v>42121</v>
      </c>
      <c r="T1280" s="34">
        <v>42123</v>
      </c>
      <c r="U1280" s="29">
        <v>66.215999999999994</v>
      </c>
      <c r="V1280" s="26">
        <v>22</v>
      </c>
      <c r="W1280" s="29">
        <v>824.7</v>
      </c>
      <c r="X1280" s="26">
        <v>90103</v>
      </c>
      <c r="Y1280" s="35">
        <v>12.19</v>
      </c>
      <c r="Z1280" s="1" t="s">
        <v>3011</v>
      </c>
      <c r="AA1280" s="36">
        <v>81.120599999999996</v>
      </c>
      <c r="AB1280" s="54">
        <v>338.12700000000007</v>
      </c>
      <c r="AC1280" s="54">
        <v>22.116954545454547</v>
      </c>
      <c r="AD1280" s="36">
        <v>668.37340000000006</v>
      </c>
    </row>
    <row r="1281" spans="1:30" s="37" customFormat="1" ht="15.75" customHeight="1" x14ac:dyDescent="0.2">
      <c r="A1281" s="26">
        <v>2468</v>
      </c>
      <c r="B1281" s="27" t="s">
        <v>1611</v>
      </c>
      <c r="C1281" s="27" t="s">
        <v>26</v>
      </c>
      <c r="D1281" s="28">
        <v>0.09</v>
      </c>
      <c r="E1281" s="29">
        <v>58.1</v>
      </c>
      <c r="F1281" s="29">
        <v>1.49</v>
      </c>
      <c r="G1281" s="30" t="s">
        <v>87</v>
      </c>
      <c r="H1281" s="27" t="s">
        <v>71</v>
      </c>
      <c r="I1281" s="27" t="s">
        <v>49</v>
      </c>
      <c r="J1281" s="27" t="s">
        <v>72</v>
      </c>
      <c r="K1281" s="27" t="s">
        <v>73</v>
      </c>
      <c r="L1281" s="31" t="s">
        <v>622</v>
      </c>
      <c r="M1281" s="32">
        <v>0.38</v>
      </c>
      <c r="N1281" s="27" t="s">
        <v>33</v>
      </c>
      <c r="O1281" s="27" t="s">
        <v>34</v>
      </c>
      <c r="P1281" s="27" t="s">
        <v>97</v>
      </c>
      <c r="Q1281" s="27" t="s">
        <v>1613</v>
      </c>
      <c r="R1281" s="33">
        <v>28144</v>
      </c>
      <c r="S1281" s="34">
        <v>42121</v>
      </c>
      <c r="T1281" s="34">
        <v>42123</v>
      </c>
      <c r="U1281" s="29">
        <v>765.75</v>
      </c>
      <c r="V1281" s="26">
        <v>3</v>
      </c>
      <c r="W1281" s="29">
        <v>169.46</v>
      </c>
      <c r="X1281" s="26">
        <v>88135</v>
      </c>
      <c r="Y1281" s="35">
        <v>125.99</v>
      </c>
      <c r="Z1281" s="1" t="s">
        <v>3011</v>
      </c>
      <c r="AA1281" s="36">
        <v>15.687000000000001</v>
      </c>
      <c r="AB1281" s="54">
        <v>105.0652</v>
      </c>
      <c r="AC1281" s="54">
        <v>21.464933333333335</v>
      </c>
      <c r="AD1281" s="36">
        <v>-613.46699999999998</v>
      </c>
    </row>
    <row r="1282" spans="1:30" s="37" customFormat="1" ht="15.75" customHeight="1" x14ac:dyDescent="0.2">
      <c r="A1282" s="26">
        <v>3320</v>
      </c>
      <c r="B1282" s="27" t="s">
        <v>2311</v>
      </c>
      <c r="C1282" s="27" t="s">
        <v>3094</v>
      </c>
      <c r="D1282" s="28">
        <v>0.08</v>
      </c>
      <c r="E1282" s="29">
        <v>3.28</v>
      </c>
      <c r="F1282" s="29">
        <v>3.97</v>
      </c>
      <c r="G1282" s="30" t="s">
        <v>39</v>
      </c>
      <c r="H1282" s="27" t="s">
        <v>3095</v>
      </c>
      <c r="I1282" s="27" t="s">
        <v>49</v>
      </c>
      <c r="J1282" s="27" t="s">
        <v>50</v>
      </c>
      <c r="K1282" s="27" t="s">
        <v>51</v>
      </c>
      <c r="L1282" s="31" t="s">
        <v>245</v>
      </c>
      <c r="M1282" s="32">
        <v>0.56000000000000005</v>
      </c>
      <c r="N1282" s="27" t="s">
        <v>33</v>
      </c>
      <c r="O1282" s="27" t="s">
        <v>34</v>
      </c>
      <c r="P1282" s="27" t="s">
        <v>400</v>
      </c>
      <c r="Q1282" s="27" t="s">
        <v>2116</v>
      </c>
      <c r="R1282" s="33">
        <v>38301</v>
      </c>
      <c r="S1282" s="34">
        <v>42121</v>
      </c>
      <c r="T1282" s="34">
        <v>42122</v>
      </c>
      <c r="U1282" s="29">
        <v>0.42659999999999998</v>
      </c>
      <c r="V1282" s="26">
        <v>18</v>
      </c>
      <c r="W1282" s="29">
        <v>57.24</v>
      </c>
      <c r="X1282" s="26">
        <v>90103</v>
      </c>
      <c r="Y1282" s="35">
        <v>3.1999999999999997</v>
      </c>
      <c r="Z1282" s="1" t="s">
        <v>3011</v>
      </c>
      <c r="AA1282" s="36">
        <v>4.7231999999999994</v>
      </c>
      <c r="AB1282" s="54">
        <v>25.185599999999997</v>
      </c>
      <c r="AC1282" s="54">
        <v>1.7808000000000002</v>
      </c>
      <c r="AD1282" s="36">
        <v>48.120200000000004</v>
      </c>
    </row>
    <row r="1283" spans="1:30" s="37" customFormat="1" ht="15.75" customHeight="1" x14ac:dyDescent="0.2">
      <c r="A1283" s="26">
        <v>202</v>
      </c>
      <c r="B1283" s="27" t="s">
        <v>548</v>
      </c>
      <c r="C1283" s="27" t="s">
        <v>3094</v>
      </c>
      <c r="D1283" s="28">
        <v>0.09</v>
      </c>
      <c r="E1283" s="29">
        <v>12.28</v>
      </c>
      <c r="F1283" s="29">
        <v>4.8600000000000003</v>
      </c>
      <c r="G1283" s="30" t="s">
        <v>39</v>
      </c>
      <c r="H1283" s="27" t="s">
        <v>94</v>
      </c>
      <c r="I1283" s="27" t="s">
        <v>49</v>
      </c>
      <c r="J1283" s="27" t="s">
        <v>88</v>
      </c>
      <c r="K1283" s="27" t="s">
        <v>73</v>
      </c>
      <c r="L1283" s="31" t="s">
        <v>1860</v>
      </c>
      <c r="M1283" s="32">
        <v>0.38</v>
      </c>
      <c r="N1283" s="27" t="s">
        <v>33</v>
      </c>
      <c r="O1283" s="27" t="s">
        <v>53</v>
      </c>
      <c r="P1283" s="27" t="s">
        <v>207</v>
      </c>
      <c r="Q1283" s="27" t="s">
        <v>550</v>
      </c>
      <c r="R1283" s="33">
        <v>74006</v>
      </c>
      <c r="S1283" s="34">
        <v>42121</v>
      </c>
      <c r="T1283" s="34">
        <v>42122</v>
      </c>
      <c r="U1283" s="29">
        <v>1.73</v>
      </c>
      <c r="V1283" s="26">
        <v>3</v>
      </c>
      <c r="W1283" s="29">
        <v>34.65</v>
      </c>
      <c r="X1283" s="26">
        <v>88971</v>
      </c>
      <c r="Y1283" s="35">
        <v>40.879999999999995</v>
      </c>
      <c r="Z1283" s="1" t="s">
        <v>3012</v>
      </c>
      <c r="AA1283" s="36">
        <v>3.3155999999999999</v>
      </c>
      <c r="AB1283" s="54">
        <v>21.483000000000001</v>
      </c>
      <c r="AC1283" s="54">
        <v>4.3889999999999993</v>
      </c>
      <c r="AD1283" s="36">
        <v>24.744399999999999</v>
      </c>
    </row>
    <row r="1284" spans="1:30" s="37" customFormat="1" ht="15.75" customHeight="1" x14ac:dyDescent="0.2">
      <c r="A1284" s="26">
        <v>3011</v>
      </c>
      <c r="B1284" s="27" t="s">
        <v>2314</v>
      </c>
      <c r="C1284" s="27" t="s">
        <v>26</v>
      </c>
      <c r="D1284" s="28">
        <v>0.03</v>
      </c>
      <c r="E1284" s="29">
        <v>300.64999999999998</v>
      </c>
      <c r="F1284" s="29">
        <v>24.49</v>
      </c>
      <c r="G1284" s="30" t="s">
        <v>39</v>
      </c>
      <c r="H1284" s="27" t="s">
        <v>94</v>
      </c>
      <c r="I1284" s="27" t="s">
        <v>49</v>
      </c>
      <c r="J1284" s="27" t="s">
        <v>95</v>
      </c>
      <c r="K1284" s="27" t="s">
        <v>65</v>
      </c>
      <c r="L1284" s="31" t="s">
        <v>2315</v>
      </c>
      <c r="M1284" s="32">
        <v>0.52</v>
      </c>
      <c r="N1284" s="27" t="s">
        <v>33</v>
      </c>
      <c r="O1284" s="27" t="s">
        <v>111</v>
      </c>
      <c r="P1284" s="27" t="s">
        <v>403</v>
      </c>
      <c r="Q1284" s="27" t="s">
        <v>788</v>
      </c>
      <c r="R1284" s="33">
        <v>2113</v>
      </c>
      <c r="S1284" s="34">
        <v>42122</v>
      </c>
      <c r="T1284" s="34">
        <v>42124</v>
      </c>
      <c r="U1284" s="29">
        <v>1282.4960000000001</v>
      </c>
      <c r="V1284" s="26">
        <v>32</v>
      </c>
      <c r="W1284" s="29">
        <v>9705.4599999999991</v>
      </c>
      <c r="X1284" s="26">
        <v>7623</v>
      </c>
      <c r="Y1284" s="35">
        <v>6.4300000000000006</v>
      </c>
      <c r="Z1284" s="1" t="s">
        <v>3014</v>
      </c>
      <c r="AA1284" s="36">
        <v>288.62399999999997</v>
      </c>
      <c r="AB1284" s="54">
        <v>4658.6207999999997</v>
      </c>
      <c r="AC1284" s="54">
        <v>157.71372499999998</v>
      </c>
      <c r="AD1284" s="36">
        <v>8109.8499999999985</v>
      </c>
    </row>
    <row r="1285" spans="1:30" s="37" customFormat="1" ht="15.75" customHeight="1" x14ac:dyDescent="0.2">
      <c r="A1285" s="26">
        <v>3011</v>
      </c>
      <c r="B1285" s="27" t="s">
        <v>2314</v>
      </c>
      <c r="C1285" s="27" t="s">
        <v>26</v>
      </c>
      <c r="D1285" s="28">
        <v>0.1</v>
      </c>
      <c r="E1285" s="29">
        <v>104.85</v>
      </c>
      <c r="F1285" s="29">
        <v>4.6500000000000004</v>
      </c>
      <c r="G1285" s="30" t="s">
        <v>39</v>
      </c>
      <c r="H1285" s="27" t="s">
        <v>94</v>
      </c>
      <c r="I1285" s="27" t="s">
        <v>49</v>
      </c>
      <c r="J1285" s="27" t="s">
        <v>88</v>
      </c>
      <c r="K1285" s="27" t="s">
        <v>73</v>
      </c>
      <c r="L1285" s="31" t="s">
        <v>2316</v>
      </c>
      <c r="M1285" s="32">
        <v>0.37</v>
      </c>
      <c r="N1285" s="27" t="s">
        <v>33</v>
      </c>
      <c r="O1285" s="27" t="s">
        <v>111</v>
      </c>
      <c r="P1285" s="27" t="s">
        <v>403</v>
      </c>
      <c r="Q1285" s="27" t="s">
        <v>788</v>
      </c>
      <c r="R1285" s="33">
        <v>2113</v>
      </c>
      <c r="S1285" s="34">
        <v>42122</v>
      </c>
      <c r="T1285" s="34">
        <v>42123</v>
      </c>
      <c r="U1285" s="29">
        <v>1184.1199999999999</v>
      </c>
      <c r="V1285" s="26">
        <v>58</v>
      </c>
      <c r="W1285" s="29">
        <v>5582.63</v>
      </c>
      <c r="X1285" s="26">
        <v>7623</v>
      </c>
      <c r="Y1285" s="35">
        <v>300.62</v>
      </c>
      <c r="Z1285" s="1" t="s">
        <v>3014</v>
      </c>
      <c r="AA1285" s="36">
        <v>608.13</v>
      </c>
      <c r="AB1285" s="54">
        <v>3517.0569</v>
      </c>
      <c r="AC1285" s="54">
        <v>35.613329310344831</v>
      </c>
      <c r="AD1285" s="36">
        <v>3785.73</v>
      </c>
    </row>
    <row r="1286" spans="1:30" s="37" customFormat="1" ht="15.75" customHeight="1" x14ac:dyDescent="0.2">
      <c r="A1286" s="26">
        <v>1217</v>
      </c>
      <c r="B1286" s="27" t="s">
        <v>2325</v>
      </c>
      <c r="C1286" s="27" t="s">
        <v>116</v>
      </c>
      <c r="D1286" s="28">
        <v>0.09</v>
      </c>
      <c r="E1286" s="29">
        <v>130.97999999999999</v>
      </c>
      <c r="F1286" s="29">
        <v>30</v>
      </c>
      <c r="G1286" s="30" t="s">
        <v>27</v>
      </c>
      <c r="H1286" s="27" t="s">
        <v>3095</v>
      </c>
      <c r="I1286" s="27" t="s">
        <v>29</v>
      </c>
      <c r="J1286" s="27" t="s">
        <v>109</v>
      </c>
      <c r="K1286" s="27" t="s">
        <v>58</v>
      </c>
      <c r="L1286" s="31" t="s">
        <v>2199</v>
      </c>
      <c r="M1286" s="32">
        <v>0.78</v>
      </c>
      <c r="N1286" s="27" t="s">
        <v>33</v>
      </c>
      <c r="O1286" s="27" t="s">
        <v>111</v>
      </c>
      <c r="P1286" s="27" t="s">
        <v>403</v>
      </c>
      <c r="Q1286" s="27" t="s">
        <v>788</v>
      </c>
      <c r="R1286" s="33">
        <v>2112</v>
      </c>
      <c r="S1286" s="34">
        <v>42122</v>
      </c>
      <c r="T1286" s="34">
        <v>42125</v>
      </c>
      <c r="U1286" s="29">
        <v>-421.76</v>
      </c>
      <c r="V1286" s="26">
        <v>41</v>
      </c>
      <c r="W1286" s="29">
        <v>5258.94</v>
      </c>
      <c r="X1286" s="26">
        <v>54595</v>
      </c>
      <c r="Y1286" s="35">
        <v>49.93</v>
      </c>
      <c r="Z1286" s="1" t="s">
        <v>3014</v>
      </c>
      <c r="AA1286" s="36">
        <v>483.31619999999992</v>
      </c>
      <c r="AB1286" s="54">
        <v>1156.9667999999997</v>
      </c>
      <c r="AC1286" s="54">
        <v>100.04812682926828</v>
      </c>
      <c r="AD1286" s="36">
        <v>5167.3837999999996</v>
      </c>
    </row>
    <row r="1287" spans="1:30" s="37" customFormat="1" ht="15.75" customHeight="1" x14ac:dyDescent="0.2">
      <c r="A1287" s="26">
        <v>3011</v>
      </c>
      <c r="B1287" s="27" t="s">
        <v>2314</v>
      </c>
      <c r="C1287" s="27" t="s">
        <v>26</v>
      </c>
      <c r="D1287" s="28">
        <v>0.06</v>
      </c>
      <c r="E1287" s="29">
        <v>49.99</v>
      </c>
      <c r="F1287" s="29">
        <v>19.989999999999998</v>
      </c>
      <c r="G1287" s="30" t="s">
        <v>39</v>
      </c>
      <c r="H1287" s="27" t="s">
        <v>94</v>
      </c>
      <c r="I1287" s="27" t="s">
        <v>41</v>
      </c>
      <c r="J1287" s="27" t="s">
        <v>42</v>
      </c>
      <c r="K1287" s="27" t="s">
        <v>73</v>
      </c>
      <c r="L1287" s="31" t="s">
        <v>889</v>
      </c>
      <c r="M1287" s="32">
        <v>0.45</v>
      </c>
      <c r="N1287" s="27" t="s">
        <v>33</v>
      </c>
      <c r="O1287" s="27" t="s">
        <v>111</v>
      </c>
      <c r="P1287" s="27" t="s">
        <v>403</v>
      </c>
      <c r="Q1287" s="27" t="s">
        <v>788</v>
      </c>
      <c r="R1287" s="33">
        <v>2113</v>
      </c>
      <c r="S1287" s="34">
        <v>42122</v>
      </c>
      <c r="T1287" s="34">
        <v>42124</v>
      </c>
      <c r="U1287" s="29">
        <v>17.2</v>
      </c>
      <c r="V1287" s="26">
        <v>67</v>
      </c>
      <c r="W1287" s="29">
        <v>3247.54</v>
      </c>
      <c r="X1287" s="26">
        <v>7623</v>
      </c>
      <c r="Y1287" s="35">
        <v>104.75</v>
      </c>
      <c r="Z1287" s="1" t="s">
        <v>3014</v>
      </c>
      <c r="AA1287" s="36">
        <v>200.9598</v>
      </c>
      <c r="AB1287" s="54">
        <v>1786.1470000000002</v>
      </c>
      <c r="AC1287" s="54">
        <v>21.811835820895524</v>
      </c>
      <c r="AD1287" s="36">
        <v>3009.3901999999998</v>
      </c>
    </row>
    <row r="1288" spans="1:30" s="37" customFormat="1" ht="15.75" customHeight="1" x14ac:dyDescent="0.2">
      <c r="A1288" s="26">
        <v>3012</v>
      </c>
      <c r="B1288" s="27" t="s">
        <v>2317</v>
      </c>
      <c r="C1288" s="27" t="s">
        <v>26</v>
      </c>
      <c r="D1288" s="28">
        <v>0.03</v>
      </c>
      <c r="E1288" s="29">
        <v>300.64999999999998</v>
      </c>
      <c r="F1288" s="29">
        <v>24.49</v>
      </c>
      <c r="G1288" s="30" t="s">
        <v>39</v>
      </c>
      <c r="H1288" s="27" t="s">
        <v>94</v>
      </c>
      <c r="I1288" s="27" t="s">
        <v>49</v>
      </c>
      <c r="J1288" s="27" t="s">
        <v>95</v>
      </c>
      <c r="K1288" s="27" t="s">
        <v>65</v>
      </c>
      <c r="L1288" s="31" t="s">
        <v>2315</v>
      </c>
      <c r="M1288" s="32">
        <v>0.52</v>
      </c>
      <c r="N1288" s="27" t="s">
        <v>33</v>
      </c>
      <c r="O1288" s="27" t="s">
        <v>111</v>
      </c>
      <c r="P1288" s="27" t="s">
        <v>112</v>
      </c>
      <c r="Q1288" s="27" t="s">
        <v>2318</v>
      </c>
      <c r="R1288" s="33">
        <v>14609</v>
      </c>
      <c r="S1288" s="34">
        <v>42122</v>
      </c>
      <c r="T1288" s="34">
        <v>42124</v>
      </c>
      <c r="U1288" s="29">
        <v>1474.8704</v>
      </c>
      <c r="V1288" s="26">
        <v>8</v>
      </c>
      <c r="W1288" s="29">
        <v>2426.36</v>
      </c>
      <c r="X1288" s="26">
        <v>86346</v>
      </c>
      <c r="Y1288" s="35">
        <v>300.62</v>
      </c>
      <c r="Z1288" s="1" t="s">
        <v>3014</v>
      </c>
      <c r="AA1288" s="36">
        <v>72.155999999999992</v>
      </c>
      <c r="AB1288" s="54">
        <v>1164.6528000000001</v>
      </c>
      <c r="AC1288" s="54">
        <v>157.71340000000001</v>
      </c>
      <c r="AD1288" s="36">
        <v>854.84360000000015</v>
      </c>
    </row>
    <row r="1289" spans="1:30" s="37" customFormat="1" ht="15.75" customHeight="1" x14ac:dyDescent="0.2">
      <c r="A1289" s="26">
        <v>3012</v>
      </c>
      <c r="B1289" s="27" t="s">
        <v>2317</v>
      </c>
      <c r="C1289" s="27" t="s">
        <v>26</v>
      </c>
      <c r="D1289" s="28">
        <v>0.1</v>
      </c>
      <c r="E1289" s="29">
        <v>104.85</v>
      </c>
      <c r="F1289" s="29">
        <v>4.6500000000000004</v>
      </c>
      <c r="G1289" s="30" t="s">
        <v>39</v>
      </c>
      <c r="H1289" s="27" t="s">
        <v>94</v>
      </c>
      <c r="I1289" s="27" t="s">
        <v>49</v>
      </c>
      <c r="J1289" s="27" t="s">
        <v>88</v>
      </c>
      <c r="K1289" s="27" t="s">
        <v>73</v>
      </c>
      <c r="L1289" s="31" t="s">
        <v>2316</v>
      </c>
      <c r="M1289" s="32">
        <v>0.37</v>
      </c>
      <c r="N1289" s="27" t="s">
        <v>33</v>
      </c>
      <c r="O1289" s="27" t="s">
        <v>111</v>
      </c>
      <c r="P1289" s="27" t="s">
        <v>112</v>
      </c>
      <c r="Q1289" s="27" t="s">
        <v>2318</v>
      </c>
      <c r="R1289" s="33">
        <v>14609</v>
      </c>
      <c r="S1289" s="34">
        <v>42122</v>
      </c>
      <c r="T1289" s="34">
        <v>42123</v>
      </c>
      <c r="U1289" s="29">
        <v>929.79570000000001</v>
      </c>
      <c r="V1289" s="26">
        <v>14</v>
      </c>
      <c r="W1289" s="29">
        <v>1347.53</v>
      </c>
      <c r="X1289" s="26">
        <v>86346</v>
      </c>
      <c r="Y1289" s="35">
        <v>49.93</v>
      </c>
      <c r="Z1289" s="1" t="s">
        <v>3014</v>
      </c>
      <c r="AA1289" s="36">
        <v>146.79</v>
      </c>
      <c r="AB1289" s="54">
        <v>848.94389999999999</v>
      </c>
      <c r="AC1289" s="54">
        <v>35.613292857142859</v>
      </c>
      <c r="AD1289" s="36">
        <v>266.29430000000002</v>
      </c>
    </row>
    <row r="1290" spans="1:30" s="37" customFormat="1" ht="15.75" customHeight="1" x14ac:dyDescent="0.2">
      <c r="A1290" s="26">
        <v>1227</v>
      </c>
      <c r="B1290" s="27" t="s">
        <v>2328</v>
      </c>
      <c r="C1290" s="27" t="s">
        <v>116</v>
      </c>
      <c r="D1290" s="28">
        <v>0.09</v>
      </c>
      <c r="E1290" s="29">
        <v>130.97999999999999</v>
      </c>
      <c r="F1290" s="29">
        <v>30</v>
      </c>
      <c r="G1290" s="30" t="s">
        <v>27</v>
      </c>
      <c r="H1290" s="27" t="s">
        <v>3095</v>
      </c>
      <c r="I1290" s="27" t="s">
        <v>29</v>
      </c>
      <c r="J1290" s="27" t="s">
        <v>109</v>
      </c>
      <c r="K1290" s="27" t="s">
        <v>58</v>
      </c>
      <c r="L1290" s="31" t="s">
        <v>2199</v>
      </c>
      <c r="M1290" s="32">
        <v>0.78</v>
      </c>
      <c r="N1290" s="27" t="s">
        <v>33</v>
      </c>
      <c r="O1290" s="27" t="s">
        <v>111</v>
      </c>
      <c r="P1290" s="27" t="s">
        <v>633</v>
      </c>
      <c r="Q1290" s="27" t="s">
        <v>634</v>
      </c>
      <c r="R1290" s="33">
        <v>5403</v>
      </c>
      <c r="S1290" s="34">
        <v>42122</v>
      </c>
      <c r="T1290" s="34">
        <v>42125</v>
      </c>
      <c r="U1290" s="29">
        <v>-421.76</v>
      </c>
      <c r="V1290" s="26">
        <v>10</v>
      </c>
      <c r="W1290" s="29">
        <v>1282.67</v>
      </c>
      <c r="X1290" s="26">
        <v>90800</v>
      </c>
      <c r="Y1290" s="35">
        <v>104.75</v>
      </c>
      <c r="Z1290" s="1" t="s">
        <v>3014</v>
      </c>
      <c r="AA1290" s="36">
        <v>117.88199999999998</v>
      </c>
      <c r="AB1290" s="54">
        <v>282.18739999999997</v>
      </c>
      <c r="AC1290" s="54">
        <v>100.04826</v>
      </c>
      <c r="AD1290" s="36">
        <v>1556.5480000000002</v>
      </c>
    </row>
    <row r="1291" spans="1:30" s="37" customFormat="1" ht="15.75" customHeight="1" x14ac:dyDescent="0.2">
      <c r="A1291" s="26">
        <v>3012</v>
      </c>
      <c r="B1291" s="27" t="s">
        <v>2317</v>
      </c>
      <c r="C1291" s="27" t="s">
        <v>26</v>
      </c>
      <c r="D1291" s="28">
        <v>0.06</v>
      </c>
      <c r="E1291" s="29">
        <v>49.99</v>
      </c>
      <c r="F1291" s="29">
        <v>19.989999999999998</v>
      </c>
      <c r="G1291" s="30" t="s">
        <v>39</v>
      </c>
      <c r="H1291" s="27" t="s">
        <v>94</v>
      </c>
      <c r="I1291" s="27" t="s">
        <v>41</v>
      </c>
      <c r="J1291" s="27" t="s">
        <v>42</v>
      </c>
      <c r="K1291" s="27" t="s">
        <v>73</v>
      </c>
      <c r="L1291" s="31" t="s">
        <v>889</v>
      </c>
      <c r="M1291" s="32">
        <v>0.45</v>
      </c>
      <c r="N1291" s="27" t="s">
        <v>33</v>
      </c>
      <c r="O1291" s="27" t="s">
        <v>111</v>
      </c>
      <c r="P1291" s="27" t="s">
        <v>112</v>
      </c>
      <c r="Q1291" s="27" t="s">
        <v>2318</v>
      </c>
      <c r="R1291" s="33">
        <v>14609</v>
      </c>
      <c r="S1291" s="34">
        <v>42122</v>
      </c>
      <c r="T1291" s="34">
        <v>42124</v>
      </c>
      <c r="U1291" s="29">
        <v>19.78</v>
      </c>
      <c r="V1291" s="26">
        <v>17</v>
      </c>
      <c r="W1291" s="29">
        <v>824</v>
      </c>
      <c r="X1291" s="26">
        <v>86346</v>
      </c>
      <c r="Y1291" s="35">
        <v>48.809999999999995</v>
      </c>
      <c r="Z1291" s="1" t="s">
        <v>3014</v>
      </c>
      <c r="AA1291" s="36">
        <v>50.989800000000002</v>
      </c>
      <c r="AB1291" s="54">
        <v>453.20000000000005</v>
      </c>
      <c r="AC1291" s="54">
        <v>21.811764705882354</v>
      </c>
      <c r="AD1291" s="36">
        <v>733.24019999999996</v>
      </c>
    </row>
    <row r="1292" spans="1:30" s="37" customFormat="1" ht="15.75" customHeight="1" x14ac:dyDescent="0.2">
      <c r="A1292" s="26">
        <v>2912</v>
      </c>
      <c r="B1292" s="27" t="s">
        <v>2320</v>
      </c>
      <c r="C1292" s="27" t="s">
        <v>38</v>
      </c>
      <c r="D1292" s="28">
        <v>0.06</v>
      </c>
      <c r="E1292" s="29">
        <v>55.48</v>
      </c>
      <c r="F1292" s="29">
        <v>14.3</v>
      </c>
      <c r="G1292" s="30" t="s">
        <v>39</v>
      </c>
      <c r="H1292" s="27" t="s">
        <v>71</v>
      </c>
      <c r="I1292" s="27" t="s">
        <v>49</v>
      </c>
      <c r="J1292" s="27" t="s">
        <v>88</v>
      </c>
      <c r="K1292" s="27" t="s">
        <v>73</v>
      </c>
      <c r="L1292" s="31" t="s">
        <v>847</v>
      </c>
      <c r="M1292" s="32">
        <v>0.37</v>
      </c>
      <c r="N1292" s="27" t="s">
        <v>33</v>
      </c>
      <c r="O1292" s="27" t="s">
        <v>53</v>
      </c>
      <c r="P1292" s="27" t="s">
        <v>565</v>
      </c>
      <c r="Q1292" s="27" t="s">
        <v>2321</v>
      </c>
      <c r="R1292" s="33">
        <v>58201</v>
      </c>
      <c r="S1292" s="34">
        <v>42122</v>
      </c>
      <c r="T1292" s="34">
        <v>42124</v>
      </c>
      <c r="U1292" s="29">
        <v>443.02140000000003</v>
      </c>
      <c r="V1292" s="26">
        <v>12</v>
      </c>
      <c r="W1292" s="29">
        <v>642.05999999999995</v>
      </c>
      <c r="X1292" s="26">
        <v>87396</v>
      </c>
      <c r="Y1292" s="35">
        <v>5.9</v>
      </c>
      <c r="Z1292" s="1" t="s">
        <v>3012</v>
      </c>
      <c r="AA1292" s="36">
        <v>39.945599999999999</v>
      </c>
      <c r="AB1292" s="54">
        <v>404.49779999999998</v>
      </c>
      <c r="AC1292" s="54">
        <v>19.796849999999999</v>
      </c>
      <c r="AD1292" s="36">
        <v>144.79299999999989</v>
      </c>
    </row>
    <row r="1293" spans="1:30" s="37" customFormat="1" ht="15.75" customHeight="1" x14ac:dyDescent="0.2">
      <c r="A1293" s="26">
        <v>2254</v>
      </c>
      <c r="B1293" s="27" t="s">
        <v>825</v>
      </c>
      <c r="C1293" s="27" t="s">
        <v>38</v>
      </c>
      <c r="D1293" s="28">
        <v>0.1</v>
      </c>
      <c r="E1293" s="29">
        <v>48.91</v>
      </c>
      <c r="F1293" s="29">
        <v>5.97</v>
      </c>
      <c r="G1293" s="30" t="s">
        <v>39</v>
      </c>
      <c r="H1293" s="27" t="s">
        <v>94</v>
      </c>
      <c r="I1293" s="27" t="s">
        <v>49</v>
      </c>
      <c r="J1293" s="27" t="s">
        <v>88</v>
      </c>
      <c r="K1293" s="27" t="s">
        <v>73</v>
      </c>
      <c r="L1293" s="31" t="s">
        <v>2319</v>
      </c>
      <c r="M1293" s="32">
        <v>0.38</v>
      </c>
      <c r="N1293" s="27" t="s">
        <v>33</v>
      </c>
      <c r="O1293" s="27" t="s">
        <v>34</v>
      </c>
      <c r="P1293" s="27" t="s">
        <v>388</v>
      </c>
      <c r="Q1293" s="27" t="s">
        <v>827</v>
      </c>
      <c r="R1293" s="33">
        <v>42003</v>
      </c>
      <c r="S1293" s="34">
        <v>42122</v>
      </c>
      <c r="T1293" s="34">
        <v>42124</v>
      </c>
      <c r="U1293" s="29">
        <v>156.74340000000001</v>
      </c>
      <c r="V1293" s="26">
        <v>14</v>
      </c>
      <c r="W1293" s="29">
        <v>618.96</v>
      </c>
      <c r="X1293" s="26">
        <v>89279</v>
      </c>
      <c r="Y1293" s="35">
        <v>4.09</v>
      </c>
      <c r="Z1293" s="1" t="s">
        <v>3011</v>
      </c>
      <c r="AA1293" s="36">
        <v>68.474000000000004</v>
      </c>
      <c r="AB1293" s="54">
        <v>383.7552</v>
      </c>
      <c r="AC1293" s="54">
        <v>16.800342857142859</v>
      </c>
      <c r="AD1293" s="36">
        <v>387.77260000000001</v>
      </c>
    </row>
    <row r="1294" spans="1:30" s="37" customFormat="1" ht="15.75" customHeight="1" x14ac:dyDescent="0.2">
      <c r="A1294" s="26">
        <v>3359</v>
      </c>
      <c r="B1294" s="27" t="s">
        <v>2322</v>
      </c>
      <c r="C1294" s="27" t="s">
        <v>38</v>
      </c>
      <c r="D1294" s="28">
        <v>0.09</v>
      </c>
      <c r="E1294" s="29">
        <v>28.53</v>
      </c>
      <c r="F1294" s="29">
        <v>1.49</v>
      </c>
      <c r="G1294" s="30" t="s">
        <v>39</v>
      </c>
      <c r="H1294" s="27" t="s">
        <v>71</v>
      </c>
      <c r="I1294" s="27" t="s">
        <v>49</v>
      </c>
      <c r="J1294" s="27" t="s">
        <v>72</v>
      </c>
      <c r="K1294" s="27" t="s">
        <v>73</v>
      </c>
      <c r="L1294" s="31" t="s">
        <v>1832</v>
      </c>
      <c r="M1294" s="32">
        <v>0.38</v>
      </c>
      <c r="N1294" s="27" t="s">
        <v>33</v>
      </c>
      <c r="O1294" s="27" t="s">
        <v>53</v>
      </c>
      <c r="P1294" s="27" t="s">
        <v>357</v>
      </c>
      <c r="Q1294" s="27" t="s">
        <v>2323</v>
      </c>
      <c r="R1294" s="33">
        <v>53213</v>
      </c>
      <c r="S1294" s="34">
        <v>42122</v>
      </c>
      <c r="T1294" s="34">
        <v>42124</v>
      </c>
      <c r="U1294" s="29">
        <v>107.45462000000001</v>
      </c>
      <c r="V1294" s="26">
        <v>6</v>
      </c>
      <c r="W1294" s="29">
        <v>157.33000000000001</v>
      </c>
      <c r="X1294" s="26">
        <v>91437</v>
      </c>
      <c r="Y1294" s="35">
        <v>55.419999999999995</v>
      </c>
      <c r="Z1294" s="1" t="s">
        <v>3012</v>
      </c>
      <c r="AA1294" s="36">
        <v>15.406199999999998</v>
      </c>
      <c r="AB1294" s="54">
        <v>97.544600000000003</v>
      </c>
      <c r="AC1294" s="54">
        <v>9.9642333333333344</v>
      </c>
      <c r="AD1294" s="36">
        <v>32.979180000000014</v>
      </c>
    </row>
    <row r="1295" spans="1:30" s="37" customFormat="1" ht="15.75" customHeight="1" x14ac:dyDescent="0.2">
      <c r="A1295" s="26">
        <v>2254</v>
      </c>
      <c r="B1295" s="27" t="s">
        <v>825</v>
      </c>
      <c r="C1295" s="27" t="s">
        <v>38</v>
      </c>
      <c r="D1295" s="28">
        <v>0.08</v>
      </c>
      <c r="E1295" s="29">
        <v>5.98</v>
      </c>
      <c r="F1295" s="29">
        <v>5.46</v>
      </c>
      <c r="G1295" s="30" t="s">
        <v>39</v>
      </c>
      <c r="H1295" s="27" t="s">
        <v>94</v>
      </c>
      <c r="I1295" s="27" t="s">
        <v>49</v>
      </c>
      <c r="J1295" s="27" t="s">
        <v>88</v>
      </c>
      <c r="K1295" s="27" t="s">
        <v>73</v>
      </c>
      <c r="L1295" s="31" t="s">
        <v>1156</v>
      </c>
      <c r="M1295" s="32">
        <v>0.36</v>
      </c>
      <c r="N1295" s="27" t="s">
        <v>33</v>
      </c>
      <c r="O1295" s="27" t="s">
        <v>34</v>
      </c>
      <c r="P1295" s="27" t="s">
        <v>388</v>
      </c>
      <c r="Q1295" s="27" t="s">
        <v>827</v>
      </c>
      <c r="R1295" s="33">
        <v>42003</v>
      </c>
      <c r="S1295" s="34">
        <v>42122</v>
      </c>
      <c r="T1295" s="34">
        <v>42122</v>
      </c>
      <c r="U1295" s="29">
        <v>110.11799999999999</v>
      </c>
      <c r="V1295" s="26">
        <v>13</v>
      </c>
      <c r="W1295" s="29">
        <v>77.540000000000006</v>
      </c>
      <c r="X1295" s="26">
        <v>89279</v>
      </c>
      <c r="Y1295" s="35">
        <v>28.44</v>
      </c>
      <c r="Z1295" s="1" t="s">
        <v>3011</v>
      </c>
      <c r="AA1295" s="36">
        <v>6.2192000000000007</v>
      </c>
      <c r="AB1295" s="54">
        <v>49.625600000000006</v>
      </c>
      <c r="AC1295" s="54">
        <v>2.1472615384615388</v>
      </c>
      <c r="AD1295" s="36">
        <v>-44.257199999999983</v>
      </c>
    </row>
    <row r="1296" spans="1:30" s="37" customFormat="1" ht="15.75" customHeight="1" x14ac:dyDescent="0.2">
      <c r="A1296" s="26">
        <v>1226</v>
      </c>
      <c r="B1296" s="27" t="s">
        <v>2326</v>
      </c>
      <c r="C1296" s="27" t="s">
        <v>116</v>
      </c>
      <c r="D1296" s="28">
        <v>0.02</v>
      </c>
      <c r="E1296" s="29">
        <v>8.34</v>
      </c>
      <c r="F1296" s="29">
        <v>2.64</v>
      </c>
      <c r="G1296" s="30" t="s">
        <v>39</v>
      </c>
      <c r="H1296" s="27" t="s">
        <v>3095</v>
      </c>
      <c r="I1296" s="27" t="s">
        <v>49</v>
      </c>
      <c r="J1296" s="27" t="s">
        <v>568</v>
      </c>
      <c r="K1296" s="27" t="s">
        <v>43</v>
      </c>
      <c r="L1296" s="31" t="s">
        <v>883</v>
      </c>
      <c r="M1296" s="32">
        <v>0.59</v>
      </c>
      <c r="N1296" s="27" t="s">
        <v>33</v>
      </c>
      <c r="O1296" s="27" t="s">
        <v>111</v>
      </c>
      <c r="P1296" s="27" t="s">
        <v>584</v>
      </c>
      <c r="Q1296" s="27" t="s">
        <v>2327</v>
      </c>
      <c r="R1296" s="33">
        <v>2861</v>
      </c>
      <c r="S1296" s="34">
        <v>42122</v>
      </c>
      <c r="T1296" s="34">
        <v>42124</v>
      </c>
      <c r="U1296" s="29">
        <v>6.79</v>
      </c>
      <c r="V1296" s="26">
        <v>8</v>
      </c>
      <c r="W1296" s="29">
        <v>66.739999999999995</v>
      </c>
      <c r="X1296" s="26">
        <v>90800</v>
      </c>
      <c r="Y1296" s="35">
        <v>3.28</v>
      </c>
      <c r="Z1296" s="1" t="s">
        <v>3014</v>
      </c>
      <c r="AA1296" s="36">
        <v>1.3344</v>
      </c>
      <c r="AB1296" s="54">
        <v>27.363399999999999</v>
      </c>
      <c r="AC1296" s="54">
        <v>4.9220749999999995</v>
      </c>
      <c r="AD1296" s="36">
        <v>55.975599999999993</v>
      </c>
    </row>
    <row r="1297" spans="1:30" s="37" customFormat="1" ht="15.75" customHeight="1" x14ac:dyDescent="0.2">
      <c r="A1297" s="26">
        <v>2912</v>
      </c>
      <c r="B1297" s="27" t="s">
        <v>2320</v>
      </c>
      <c r="C1297" s="27" t="s">
        <v>38</v>
      </c>
      <c r="D1297" s="28">
        <v>0.04</v>
      </c>
      <c r="E1297" s="29">
        <v>4.13</v>
      </c>
      <c r="F1297" s="29">
        <v>0.99</v>
      </c>
      <c r="G1297" s="30" t="s">
        <v>87</v>
      </c>
      <c r="H1297" s="27" t="s">
        <v>71</v>
      </c>
      <c r="I1297" s="27" t="s">
        <v>49</v>
      </c>
      <c r="J1297" s="27" t="s">
        <v>152</v>
      </c>
      <c r="K1297" s="27" t="s">
        <v>73</v>
      </c>
      <c r="L1297" s="31" t="s">
        <v>326</v>
      </c>
      <c r="M1297" s="32">
        <v>0.39</v>
      </c>
      <c r="N1297" s="27" t="s">
        <v>33</v>
      </c>
      <c r="O1297" s="27" t="s">
        <v>53</v>
      </c>
      <c r="P1297" s="27" t="s">
        <v>565</v>
      </c>
      <c r="Q1297" s="27" t="s">
        <v>2321</v>
      </c>
      <c r="R1297" s="33">
        <v>58201</v>
      </c>
      <c r="S1297" s="34">
        <v>42122</v>
      </c>
      <c r="T1297" s="34">
        <v>42124</v>
      </c>
      <c r="U1297" s="29">
        <v>22.307700000000001</v>
      </c>
      <c r="V1297" s="26">
        <v>7</v>
      </c>
      <c r="W1297" s="29">
        <v>32.33</v>
      </c>
      <c r="X1297" s="26">
        <v>87396</v>
      </c>
      <c r="Y1297" s="35">
        <v>130.88999999999999</v>
      </c>
      <c r="Z1297" s="1" t="s">
        <v>3012</v>
      </c>
      <c r="AA1297" s="36">
        <v>1.1563999999999999</v>
      </c>
      <c r="AB1297" s="54">
        <v>19.721299999999999</v>
      </c>
      <c r="AC1297" s="54">
        <v>1.8012428571428571</v>
      </c>
      <c r="AD1297" s="36">
        <v>7.8758999999999979</v>
      </c>
    </row>
    <row r="1298" spans="1:30" s="37" customFormat="1" ht="15.75" customHeight="1" x14ac:dyDescent="0.2">
      <c r="A1298" s="26">
        <v>234</v>
      </c>
      <c r="B1298" s="27" t="s">
        <v>985</v>
      </c>
      <c r="C1298" s="27" t="s">
        <v>48</v>
      </c>
      <c r="D1298" s="28">
        <v>0.06</v>
      </c>
      <c r="E1298" s="29">
        <v>3.34</v>
      </c>
      <c r="F1298" s="29">
        <v>7.49</v>
      </c>
      <c r="G1298" s="30" t="s">
        <v>87</v>
      </c>
      <c r="H1298" s="27" t="s">
        <v>3095</v>
      </c>
      <c r="I1298" s="27" t="s">
        <v>49</v>
      </c>
      <c r="J1298" s="27" t="s">
        <v>50</v>
      </c>
      <c r="K1298" s="27" t="s">
        <v>51</v>
      </c>
      <c r="L1298" s="31" t="s">
        <v>2324</v>
      </c>
      <c r="M1298" s="32">
        <v>0.54</v>
      </c>
      <c r="N1298" s="27" t="s">
        <v>33</v>
      </c>
      <c r="O1298" s="27" t="s">
        <v>53</v>
      </c>
      <c r="P1298" s="27" t="s">
        <v>213</v>
      </c>
      <c r="Q1298" s="27" t="s">
        <v>737</v>
      </c>
      <c r="R1298" s="33">
        <v>50208</v>
      </c>
      <c r="S1298" s="34">
        <v>42122</v>
      </c>
      <c r="T1298" s="34">
        <v>42124</v>
      </c>
      <c r="U1298" s="29">
        <v>-175.86</v>
      </c>
      <c r="V1298" s="26">
        <v>8</v>
      </c>
      <c r="W1298" s="29">
        <v>27.45</v>
      </c>
      <c r="X1298" s="26">
        <v>90239</v>
      </c>
      <c r="Y1298" s="35">
        <v>8.32</v>
      </c>
      <c r="Z1298" s="1" t="s">
        <v>3012</v>
      </c>
      <c r="AA1298" s="36">
        <v>1.6032</v>
      </c>
      <c r="AB1298" s="54">
        <v>12.626999999999999</v>
      </c>
      <c r="AC1298" s="54">
        <v>1.852875</v>
      </c>
      <c r="AD1298" s="36">
        <v>194.21680000000001</v>
      </c>
    </row>
    <row r="1299" spans="1:30" s="37" customFormat="1" ht="15.75" customHeight="1" x14ac:dyDescent="0.2">
      <c r="A1299" s="26">
        <v>1439</v>
      </c>
      <c r="B1299" s="27" t="s">
        <v>2312</v>
      </c>
      <c r="C1299" s="27" t="s">
        <v>26</v>
      </c>
      <c r="D1299" s="28">
        <v>0.05</v>
      </c>
      <c r="E1299" s="29">
        <v>6.48</v>
      </c>
      <c r="F1299" s="29">
        <v>6.22</v>
      </c>
      <c r="G1299" s="30" t="s">
        <v>39</v>
      </c>
      <c r="H1299" s="27" t="s">
        <v>94</v>
      </c>
      <c r="I1299" s="27" t="s">
        <v>49</v>
      </c>
      <c r="J1299" s="27" t="s">
        <v>88</v>
      </c>
      <c r="K1299" s="27" t="s">
        <v>73</v>
      </c>
      <c r="L1299" s="31" t="s">
        <v>1078</v>
      </c>
      <c r="M1299" s="32">
        <v>0.37</v>
      </c>
      <c r="N1299" s="27" t="s">
        <v>33</v>
      </c>
      <c r="O1299" s="27" t="s">
        <v>111</v>
      </c>
      <c r="P1299" s="27" t="s">
        <v>317</v>
      </c>
      <c r="Q1299" s="27" t="s">
        <v>2313</v>
      </c>
      <c r="R1299" s="33">
        <v>44117</v>
      </c>
      <c r="S1299" s="34">
        <v>42122</v>
      </c>
      <c r="T1299" s="34">
        <v>42123</v>
      </c>
      <c r="U1299" s="29">
        <v>-29.07</v>
      </c>
      <c r="V1299" s="26">
        <v>3</v>
      </c>
      <c r="W1299" s="29">
        <v>21.46</v>
      </c>
      <c r="X1299" s="26">
        <v>90121</v>
      </c>
      <c r="Y1299" s="35">
        <v>130.88999999999999</v>
      </c>
      <c r="Z1299" s="1" t="s">
        <v>3014</v>
      </c>
      <c r="AA1299" s="36">
        <v>0.9720000000000002</v>
      </c>
      <c r="AB1299" s="54">
        <v>13.5198</v>
      </c>
      <c r="AC1299" s="54">
        <v>2.6467333333333332</v>
      </c>
      <c r="AD1299" s="36">
        <v>43.338000000000001</v>
      </c>
    </row>
    <row r="1300" spans="1:30" s="37" customFormat="1" ht="15.75" customHeight="1" x14ac:dyDescent="0.2">
      <c r="A1300" s="26">
        <v>2115</v>
      </c>
      <c r="B1300" s="27" t="s">
        <v>2337</v>
      </c>
      <c r="C1300" s="27" t="s">
        <v>116</v>
      </c>
      <c r="D1300" s="28">
        <v>0.02</v>
      </c>
      <c r="E1300" s="29">
        <v>95.95</v>
      </c>
      <c r="F1300" s="29">
        <v>74.349999999999994</v>
      </c>
      <c r="G1300" s="30" t="s">
        <v>27</v>
      </c>
      <c r="H1300" s="27" t="s">
        <v>94</v>
      </c>
      <c r="I1300" s="27" t="s">
        <v>29</v>
      </c>
      <c r="J1300" s="27" t="s">
        <v>109</v>
      </c>
      <c r="K1300" s="27" t="s">
        <v>58</v>
      </c>
      <c r="L1300" s="31" t="s">
        <v>2338</v>
      </c>
      <c r="M1300" s="32">
        <v>0.56999999999999995</v>
      </c>
      <c r="N1300" s="27" t="s">
        <v>33</v>
      </c>
      <c r="O1300" s="27" t="s">
        <v>34</v>
      </c>
      <c r="P1300" s="27" t="s">
        <v>242</v>
      </c>
      <c r="Q1300" s="27" t="s">
        <v>1635</v>
      </c>
      <c r="R1300" s="33">
        <v>22124</v>
      </c>
      <c r="S1300" s="34">
        <v>42123</v>
      </c>
      <c r="T1300" s="34">
        <v>42125</v>
      </c>
      <c r="U1300" s="29">
        <v>636.52200000000005</v>
      </c>
      <c r="V1300" s="26">
        <v>14</v>
      </c>
      <c r="W1300" s="29">
        <v>1377.46</v>
      </c>
      <c r="X1300" s="26">
        <v>88406</v>
      </c>
      <c r="Y1300" s="35">
        <v>5.94</v>
      </c>
      <c r="Z1300" s="1" t="s">
        <v>3011</v>
      </c>
      <c r="AA1300" s="36">
        <v>26.866</v>
      </c>
      <c r="AB1300" s="54">
        <v>592.30780000000004</v>
      </c>
      <c r="AC1300" s="54">
        <v>56.082299999999996</v>
      </c>
      <c r="AD1300" s="36">
        <v>639.72199999999998</v>
      </c>
    </row>
    <row r="1301" spans="1:30" s="37" customFormat="1" ht="15.75" customHeight="1" x14ac:dyDescent="0.2">
      <c r="A1301" s="26">
        <v>3393</v>
      </c>
      <c r="B1301" s="27" t="s">
        <v>1171</v>
      </c>
      <c r="C1301" s="27" t="s">
        <v>116</v>
      </c>
      <c r="D1301" s="28">
        <v>0.08</v>
      </c>
      <c r="E1301" s="29">
        <v>125.99</v>
      </c>
      <c r="F1301" s="29">
        <v>7.69</v>
      </c>
      <c r="G1301" s="30" t="s">
        <v>39</v>
      </c>
      <c r="H1301" s="27" t="s">
        <v>40</v>
      </c>
      <c r="I1301" s="27" t="s">
        <v>41</v>
      </c>
      <c r="J1301" s="27" t="s">
        <v>135</v>
      </c>
      <c r="K1301" s="27" t="s">
        <v>73</v>
      </c>
      <c r="L1301" s="31" t="s">
        <v>645</v>
      </c>
      <c r="M1301" s="32">
        <v>0.59</v>
      </c>
      <c r="N1301" s="27" t="s">
        <v>33</v>
      </c>
      <c r="O1301" s="27" t="s">
        <v>60</v>
      </c>
      <c r="P1301" s="27" t="s">
        <v>67</v>
      </c>
      <c r="Q1301" s="27" t="s">
        <v>1172</v>
      </c>
      <c r="R1301" s="33">
        <v>99163</v>
      </c>
      <c r="S1301" s="34">
        <v>42123</v>
      </c>
      <c r="T1301" s="34">
        <v>42124</v>
      </c>
      <c r="U1301" s="29">
        <v>374.625</v>
      </c>
      <c r="V1301" s="26">
        <v>7</v>
      </c>
      <c r="W1301" s="29">
        <v>710.36</v>
      </c>
      <c r="X1301" s="26">
        <v>87908</v>
      </c>
      <c r="Y1301" s="35">
        <v>20.979999999999997</v>
      </c>
      <c r="Z1301" s="1" t="s">
        <v>3013</v>
      </c>
      <c r="AA1301" s="36">
        <v>70.554400000000001</v>
      </c>
      <c r="AB1301" s="54">
        <v>291.24760000000003</v>
      </c>
      <c r="AC1301" s="54">
        <v>59.873199999999997</v>
      </c>
      <c r="AD1301" s="36">
        <v>257.49060000000003</v>
      </c>
    </row>
    <row r="1302" spans="1:30" s="37" customFormat="1" ht="15.75" customHeight="1" x14ac:dyDescent="0.2">
      <c r="A1302" s="26">
        <v>3381</v>
      </c>
      <c r="B1302" s="27" t="s">
        <v>1811</v>
      </c>
      <c r="C1302" s="27" t="s">
        <v>116</v>
      </c>
      <c r="D1302" s="28">
        <v>0.02</v>
      </c>
      <c r="E1302" s="29">
        <v>28.53</v>
      </c>
      <c r="F1302" s="29">
        <v>1.49</v>
      </c>
      <c r="G1302" s="30" t="s">
        <v>39</v>
      </c>
      <c r="H1302" s="27" t="s">
        <v>71</v>
      </c>
      <c r="I1302" s="27" t="s">
        <v>49</v>
      </c>
      <c r="J1302" s="27" t="s">
        <v>72</v>
      </c>
      <c r="K1302" s="27" t="s">
        <v>73</v>
      </c>
      <c r="L1302" s="31" t="s">
        <v>1832</v>
      </c>
      <c r="M1302" s="32">
        <v>0.38</v>
      </c>
      <c r="N1302" s="27" t="s">
        <v>33</v>
      </c>
      <c r="O1302" s="27" t="s">
        <v>34</v>
      </c>
      <c r="P1302" s="27" t="s">
        <v>75</v>
      </c>
      <c r="Q1302" s="27" t="s">
        <v>1813</v>
      </c>
      <c r="R1302" s="33">
        <v>31204</v>
      </c>
      <c r="S1302" s="34">
        <v>42123</v>
      </c>
      <c r="T1302" s="34">
        <v>42123</v>
      </c>
      <c r="U1302" s="29">
        <v>1.992</v>
      </c>
      <c r="V1302" s="26">
        <v>18</v>
      </c>
      <c r="W1302" s="29">
        <v>513.33000000000004</v>
      </c>
      <c r="X1302" s="26">
        <v>88840</v>
      </c>
      <c r="Y1302" s="35">
        <v>34.72</v>
      </c>
      <c r="Z1302" s="1" t="s">
        <v>3011</v>
      </c>
      <c r="AA1302" s="36">
        <v>10.270799999999999</v>
      </c>
      <c r="AB1302" s="54">
        <v>318.26460000000003</v>
      </c>
      <c r="AC1302" s="54">
        <v>10.836966666666667</v>
      </c>
      <c r="AD1302" s="36">
        <v>499.57720000000006</v>
      </c>
    </row>
    <row r="1303" spans="1:30" s="37" customFormat="1" ht="15.75" customHeight="1" x14ac:dyDescent="0.2">
      <c r="A1303" s="26">
        <v>617</v>
      </c>
      <c r="B1303" s="27" t="s">
        <v>2339</v>
      </c>
      <c r="C1303" s="27" t="s">
        <v>3094</v>
      </c>
      <c r="D1303" s="28">
        <v>0.02</v>
      </c>
      <c r="E1303" s="29">
        <v>20.89</v>
      </c>
      <c r="F1303" s="29">
        <v>11.52</v>
      </c>
      <c r="G1303" s="30" t="s">
        <v>39</v>
      </c>
      <c r="H1303" s="27" t="s">
        <v>40</v>
      </c>
      <c r="I1303" s="27" t="s">
        <v>49</v>
      </c>
      <c r="J1303" s="27" t="s">
        <v>78</v>
      </c>
      <c r="K1303" s="27" t="s">
        <v>73</v>
      </c>
      <c r="L1303" s="31" t="s">
        <v>1873</v>
      </c>
      <c r="M1303" s="32">
        <v>0.83</v>
      </c>
      <c r="N1303" s="27" t="s">
        <v>33</v>
      </c>
      <c r="O1303" s="27" t="s">
        <v>60</v>
      </c>
      <c r="P1303" s="27" t="s">
        <v>61</v>
      </c>
      <c r="Q1303" s="27" t="s">
        <v>952</v>
      </c>
      <c r="R1303" s="33">
        <v>81001</v>
      </c>
      <c r="S1303" s="34">
        <v>42123</v>
      </c>
      <c r="T1303" s="34">
        <v>42124</v>
      </c>
      <c r="U1303" s="29">
        <v>-276.11279999999999</v>
      </c>
      <c r="V1303" s="26">
        <v>13</v>
      </c>
      <c r="W1303" s="29">
        <v>279.27999999999997</v>
      </c>
      <c r="X1303" s="26">
        <v>88198</v>
      </c>
      <c r="Y1303" s="35">
        <v>35.96</v>
      </c>
      <c r="Z1303" s="1" t="s">
        <v>3013</v>
      </c>
      <c r="AA1303" s="36">
        <v>5.4314</v>
      </c>
      <c r="AB1303" s="54">
        <v>47.47760000000001</v>
      </c>
      <c r="AC1303" s="54">
        <v>17.830953846153843</v>
      </c>
      <c r="AD1303" s="36">
        <v>538.44139999999993</v>
      </c>
    </row>
    <row r="1304" spans="1:30" s="37" customFormat="1" ht="15.75" customHeight="1" x14ac:dyDescent="0.2">
      <c r="A1304" s="26">
        <v>782</v>
      </c>
      <c r="B1304" s="27" t="s">
        <v>2332</v>
      </c>
      <c r="C1304" s="27" t="s">
        <v>38</v>
      </c>
      <c r="D1304" s="28">
        <v>0.04</v>
      </c>
      <c r="E1304" s="29">
        <v>34.76</v>
      </c>
      <c r="F1304" s="29">
        <v>5.49</v>
      </c>
      <c r="G1304" s="30" t="s">
        <v>39</v>
      </c>
      <c r="H1304" s="27" t="s">
        <v>3095</v>
      </c>
      <c r="I1304" s="27" t="s">
        <v>49</v>
      </c>
      <c r="J1304" s="27" t="s">
        <v>78</v>
      </c>
      <c r="K1304" s="27" t="s">
        <v>73</v>
      </c>
      <c r="L1304" s="31" t="s">
        <v>2333</v>
      </c>
      <c r="M1304" s="32">
        <v>0.6</v>
      </c>
      <c r="N1304" s="27" t="s">
        <v>33</v>
      </c>
      <c r="O1304" s="27" t="s">
        <v>60</v>
      </c>
      <c r="P1304" s="27" t="s">
        <v>90</v>
      </c>
      <c r="Q1304" s="27" t="s">
        <v>2334</v>
      </c>
      <c r="R1304" s="33">
        <v>90604</v>
      </c>
      <c r="S1304" s="34">
        <v>42123</v>
      </c>
      <c r="T1304" s="34">
        <v>42124</v>
      </c>
      <c r="U1304" s="29">
        <v>192.51689999999999</v>
      </c>
      <c r="V1304" s="26">
        <v>8</v>
      </c>
      <c r="W1304" s="29">
        <v>279.01</v>
      </c>
      <c r="X1304" s="26">
        <v>90962</v>
      </c>
      <c r="Y1304" s="35">
        <v>95.93</v>
      </c>
      <c r="Z1304" s="1" t="s">
        <v>3013</v>
      </c>
      <c r="AA1304" s="36">
        <v>11.123199999999999</v>
      </c>
      <c r="AB1304" s="54">
        <v>111.604</v>
      </c>
      <c r="AC1304" s="54">
        <v>20.925749999999997</v>
      </c>
      <c r="AD1304" s="36">
        <v>69.879899999999992</v>
      </c>
    </row>
    <row r="1305" spans="1:30" s="37" customFormat="1" ht="15.75" customHeight="1" x14ac:dyDescent="0.2">
      <c r="A1305" s="26">
        <v>2353</v>
      </c>
      <c r="B1305" s="27" t="s">
        <v>2329</v>
      </c>
      <c r="C1305" s="27" t="s">
        <v>26</v>
      </c>
      <c r="D1305" s="28">
        <v>0.04</v>
      </c>
      <c r="E1305" s="29">
        <v>5.98</v>
      </c>
      <c r="F1305" s="29">
        <v>0.96</v>
      </c>
      <c r="G1305" s="30" t="s">
        <v>39</v>
      </c>
      <c r="H1305" s="27" t="s">
        <v>94</v>
      </c>
      <c r="I1305" s="27" t="s">
        <v>49</v>
      </c>
      <c r="J1305" s="27" t="s">
        <v>50</v>
      </c>
      <c r="K1305" s="27" t="s">
        <v>51</v>
      </c>
      <c r="L1305" s="31" t="s">
        <v>1267</v>
      </c>
      <c r="M1305" s="32">
        <v>0.6</v>
      </c>
      <c r="N1305" s="27" t="s">
        <v>33</v>
      </c>
      <c r="O1305" s="27" t="s">
        <v>111</v>
      </c>
      <c r="P1305" s="27" t="s">
        <v>418</v>
      </c>
      <c r="Q1305" s="27" t="s">
        <v>2330</v>
      </c>
      <c r="R1305" s="33">
        <v>21040</v>
      </c>
      <c r="S1305" s="34">
        <v>42123</v>
      </c>
      <c r="T1305" s="34">
        <v>42124</v>
      </c>
      <c r="U1305" s="29">
        <v>52.697600000000001</v>
      </c>
      <c r="V1305" s="26">
        <v>22</v>
      </c>
      <c r="W1305" s="29">
        <v>131.79</v>
      </c>
      <c r="X1305" s="26">
        <v>86164</v>
      </c>
      <c r="Y1305" s="35">
        <v>28.51</v>
      </c>
      <c r="Z1305" s="1" t="s">
        <v>3014</v>
      </c>
      <c r="AA1305" s="36">
        <v>5.2624000000000004</v>
      </c>
      <c r="AB1305" s="54">
        <v>52.716000000000001</v>
      </c>
      <c r="AC1305" s="54">
        <v>3.5942727272727271</v>
      </c>
      <c r="AD1305" s="36">
        <v>72.86999999999999</v>
      </c>
    </row>
    <row r="1306" spans="1:30" s="37" customFormat="1" ht="15.75" customHeight="1" x14ac:dyDescent="0.2">
      <c r="A1306" s="26">
        <v>803</v>
      </c>
      <c r="B1306" s="27" t="s">
        <v>2335</v>
      </c>
      <c r="C1306" s="27" t="s">
        <v>116</v>
      </c>
      <c r="D1306" s="28">
        <v>0.03</v>
      </c>
      <c r="E1306" s="29">
        <v>35.99</v>
      </c>
      <c r="F1306" s="29">
        <v>5</v>
      </c>
      <c r="G1306" s="30" t="s">
        <v>39</v>
      </c>
      <c r="H1306" s="27" t="s">
        <v>3095</v>
      </c>
      <c r="I1306" s="27" t="s">
        <v>41</v>
      </c>
      <c r="J1306" s="27" t="s">
        <v>135</v>
      </c>
      <c r="K1306" s="27" t="s">
        <v>73</v>
      </c>
      <c r="L1306" s="31" t="s">
        <v>951</v>
      </c>
      <c r="M1306" s="32">
        <v>0.85</v>
      </c>
      <c r="N1306" s="27" t="s">
        <v>33</v>
      </c>
      <c r="O1306" s="27" t="s">
        <v>34</v>
      </c>
      <c r="P1306" s="27" t="s">
        <v>123</v>
      </c>
      <c r="Q1306" s="27" t="s">
        <v>2336</v>
      </c>
      <c r="R1306" s="33">
        <v>32168</v>
      </c>
      <c r="S1306" s="34">
        <v>42123</v>
      </c>
      <c r="T1306" s="34">
        <v>42124</v>
      </c>
      <c r="U1306" s="29">
        <v>-184.548</v>
      </c>
      <c r="V1306" s="26">
        <v>3</v>
      </c>
      <c r="W1306" s="29">
        <v>93.82</v>
      </c>
      <c r="X1306" s="26">
        <v>90048</v>
      </c>
      <c r="Y1306" s="35">
        <v>125.91</v>
      </c>
      <c r="Z1306" s="1" t="s">
        <v>3011</v>
      </c>
      <c r="AA1306" s="36">
        <v>3.2391000000000005</v>
      </c>
      <c r="AB1306" s="54">
        <v>14.073</v>
      </c>
      <c r="AC1306" s="54">
        <v>26.582333333333331</v>
      </c>
      <c r="AD1306" s="36">
        <v>270.12889999999999</v>
      </c>
    </row>
    <row r="1307" spans="1:30" s="37" customFormat="1" ht="15.75" customHeight="1" x14ac:dyDescent="0.2">
      <c r="A1307" s="26">
        <v>618</v>
      </c>
      <c r="B1307" s="27" t="s">
        <v>1814</v>
      </c>
      <c r="C1307" s="27" t="s">
        <v>3094</v>
      </c>
      <c r="D1307" s="28">
        <v>0.06</v>
      </c>
      <c r="E1307" s="29">
        <v>5.38</v>
      </c>
      <c r="F1307" s="29">
        <v>5.24</v>
      </c>
      <c r="G1307" s="30" t="s">
        <v>87</v>
      </c>
      <c r="H1307" s="27" t="s">
        <v>40</v>
      </c>
      <c r="I1307" s="27" t="s">
        <v>49</v>
      </c>
      <c r="J1307" s="27" t="s">
        <v>72</v>
      </c>
      <c r="K1307" s="27" t="s">
        <v>73</v>
      </c>
      <c r="L1307" s="31" t="s">
        <v>2341</v>
      </c>
      <c r="M1307" s="32">
        <v>0.36</v>
      </c>
      <c r="N1307" s="27" t="s">
        <v>33</v>
      </c>
      <c r="O1307" s="27" t="s">
        <v>60</v>
      </c>
      <c r="P1307" s="27" t="s">
        <v>61</v>
      </c>
      <c r="Q1307" s="27" t="s">
        <v>1815</v>
      </c>
      <c r="R1307" s="33">
        <v>81007</v>
      </c>
      <c r="S1307" s="34">
        <v>42123</v>
      </c>
      <c r="T1307" s="34">
        <v>42124</v>
      </c>
      <c r="U1307" s="29">
        <v>-64.670940000000002</v>
      </c>
      <c r="V1307" s="26">
        <v>14</v>
      </c>
      <c r="W1307" s="29">
        <v>81.819999999999993</v>
      </c>
      <c r="X1307" s="26">
        <v>88198</v>
      </c>
      <c r="Y1307" s="35">
        <v>15.55</v>
      </c>
      <c r="Z1307" s="1" t="s">
        <v>3013</v>
      </c>
      <c r="AA1307" s="36">
        <v>4.5191999999999997</v>
      </c>
      <c r="AB1307" s="54">
        <v>52.364799999999995</v>
      </c>
      <c r="AC1307" s="54">
        <v>2.1039428571428567</v>
      </c>
      <c r="AD1307" s="36">
        <v>136.73174</v>
      </c>
    </row>
    <row r="1308" spans="1:30" s="37" customFormat="1" ht="15.75" customHeight="1" x14ac:dyDescent="0.2">
      <c r="A1308" s="26">
        <v>617</v>
      </c>
      <c r="B1308" s="27" t="s">
        <v>2339</v>
      </c>
      <c r="C1308" s="27" t="s">
        <v>3094</v>
      </c>
      <c r="D1308" s="28">
        <v>0.02</v>
      </c>
      <c r="E1308" s="29">
        <v>15.57</v>
      </c>
      <c r="F1308" s="29">
        <v>1.39</v>
      </c>
      <c r="G1308" s="30" t="s">
        <v>39</v>
      </c>
      <c r="H1308" s="27" t="s">
        <v>40</v>
      </c>
      <c r="I1308" s="27" t="s">
        <v>49</v>
      </c>
      <c r="J1308" s="27" t="s">
        <v>345</v>
      </c>
      <c r="K1308" s="27" t="s">
        <v>73</v>
      </c>
      <c r="L1308" s="31" t="s">
        <v>2340</v>
      </c>
      <c r="M1308" s="32">
        <v>0.38</v>
      </c>
      <c r="N1308" s="27" t="s">
        <v>33</v>
      </c>
      <c r="O1308" s="27" t="s">
        <v>60</v>
      </c>
      <c r="P1308" s="27" t="s">
        <v>61</v>
      </c>
      <c r="Q1308" s="27" t="s">
        <v>952</v>
      </c>
      <c r="R1308" s="33">
        <v>81001</v>
      </c>
      <c r="S1308" s="34">
        <v>42123</v>
      </c>
      <c r="T1308" s="34">
        <v>42124</v>
      </c>
      <c r="U1308" s="29">
        <v>23.5428</v>
      </c>
      <c r="V1308" s="26">
        <v>3</v>
      </c>
      <c r="W1308" s="29">
        <v>46.23</v>
      </c>
      <c r="X1308" s="26">
        <v>88198</v>
      </c>
      <c r="Y1308" s="35">
        <v>20.87</v>
      </c>
      <c r="Z1308" s="1" t="s">
        <v>3013</v>
      </c>
      <c r="AA1308" s="36">
        <v>0.93420000000000003</v>
      </c>
      <c r="AB1308" s="54">
        <v>28.662599999999998</v>
      </c>
      <c r="AC1308" s="54">
        <v>5.8557999999999995</v>
      </c>
      <c r="AD1308" s="36">
        <v>20.362999999999996</v>
      </c>
    </row>
    <row r="1309" spans="1:30" s="37" customFormat="1" ht="15.75" customHeight="1" x14ac:dyDescent="0.2">
      <c r="A1309" s="26">
        <v>2353</v>
      </c>
      <c r="B1309" s="27" t="s">
        <v>2329</v>
      </c>
      <c r="C1309" s="27" t="s">
        <v>26</v>
      </c>
      <c r="D1309" s="28">
        <v>0.01</v>
      </c>
      <c r="E1309" s="29">
        <v>20.99</v>
      </c>
      <c r="F1309" s="29">
        <v>0.99</v>
      </c>
      <c r="G1309" s="30" t="s">
        <v>39</v>
      </c>
      <c r="H1309" s="27" t="s">
        <v>94</v>
      </c>
      <c r="I1309" s="27" t="s">
        <v>41</v>
      </c>
      <c r="J1309" s="27" t="s">
        <v>135</v>
      </c>
      <c r="K1309" s="27" t="s">
        <v>51</v>
      </c>
      <c r="L1309" s="31" t="s">
        <v>2331</v>
      </c>
      <c r="M1309" s="32">
        <v>0.56999999999999995</v>
      </c>
      <c r="N1309" s="27" t="s">
        <v>33</v>
      </c>
      <c r="O1309" s="27" t="s">
        <v>111</v>
      </c>
      <c r="P1309" s="27" t="s">
        <v>418</v>
      </c>
      <c r="Q1309" s="27" t="s">
        <v>2330</v>
      </c>
      <c r="R1309" s="33">
        <v>21040</v>
      </c>
      <c r="S1309" s="34">
        <v>42123</v>
      </c>
      <c r="T1309" s="34">
        <v>42124</v>
      </c>
      <c r="U1309" s="29">
        <v>-78.194159999999997</v>
      </c>
      <c r="V1309" s="26">
        <v>2</v>
      </c>
      <c r="W1309" s="29">
        <v>35.33</v>
      </c>
      <c r="X1309" s="26">
        <v>86164</v>
      </c>
      <c r="Y1309" s="35">
        <v>5.32</v>
      </c>
      <c r="Z1309" s="1" t="s">
        <v>3014</v>
      </c>
      <c r="AA1309" s="36">
        <v>0.41979999999999995</v>
      </c>
      <c r="AB1309" s="54">
        <v>15.1919</v>
      </c>
      <c r="AC1309" s="54">
        <v>10.069049999999999</v>
      </c>
      <c r="AD1309" s="36">
        <v>112.11436</v>
      </c>
    </row>
    <row r="1310" spans="1:30" s="37" customFormat="1" ht="15.75" customHeight="1" x14ac:dyDescent="0.2">
      <c r="A1310" s="26">
        <v>618</v>
      </c>
      <c r="B1310" s="27" t="s">
        <v>1814</v>
      </c>
      <c r="C1310" s="27" t="s">
        <v>3094</v>
      </c>
      <c r="D1310" s="28">
        <v>0.03</v>
      </c>
      <c r="E1310" s="29">
        <v>7.35</v>
      </c>
      <c r="F1310" s="29">
        <v>5.96</v>
      </c>
      <c r="G1310" s="30" t="s">
        <v>39</v>
      </c>
      <c r="H1310" s="27" t="s">
        <v>40</v>
      </c>
      <c r="I1310" s="27" t="s">
        <v>49</v>
      </c>
      <c r="J1310" s="27" t="s">
        <v>88</v>
      </c>
      <c r="K1310" s="27" t="s">
        <v>73</v>
      </c>
      <c r="L1310" s="31" t="s">
        <v>2342</v>
      </c>
      <c r="M1310" s="32">
        <v>0.38</v>
      </c>
      <c r="N1310" s="27" t="s">
        <v>33</v>
      </c>
      <c r="O1310" s="27" t="s">
        <v>60</v>
      </c>
      <c r="P1310" s="27" t="s">
        <v>61</v>
      </c>
      <c r="Q1310" s="27" t="s">
        <v>1815</v>
      </c>
      <c r="R1310" s="33">
        <v>81007</v>
      </c>
      <c r="S1310" s="34">
        <v>42123</v>
      </c>
      <c r="T1310" s="34">
        <v>42124</v>
      </c>
      <c r="U1310" s="29">
        <v>-11.113200000000001</v>
      </c>
      <c r="V1310" s="26">
        <v>1</v>
      </c>
      <c r="W1310" s="29">
        <v>13.16</v>
      </c>
      <c r="X1310" s="26">
        <v>88198</v>
      </c>
      <c r="Y1310" s="35">
        <v>7.3199999999999994</v>
      </c>
      <c r="Z1310" s="1" t="s">
        <v>3013</v>
      </c>
      <c r="AA1310" s="36">
        <v>0.22049999999999997</v>
      </c>
      <c r="AB1310" s="54">
        <v>8.1592000000000002</v>
      </c>
      <c r="AC1310" s="54">
        <v>5.0007999999999999</v>
      </c>
      <c r="AD1310" s="36">
        <v>18.092700000000001</v>
      </c>
    </row>
    <row r="1311" spans="1:30" s="37" customFormat="1" ht="15.75" customHeight="1" x14ac:dyDescent="0.2">
      <c r="A1311" s="26">
        <v>640</v>
      </c>
      <c r="B1311" s="27" t="s">
        <v>1185</v>
      </c>
      <c r="C1311" s="27" t="s">
        <v>26</v>
      </c>
      <c r="D1311" s="28">
        <v>0</v>
      </c>
      <c r="E1311" s="29">
        <v>195.99</v>
      </c>
      <c r="F1311" s="29">
        <v>4.2</v>
      </c>
      <c r="G1311" s="30" t="s">
        <v>87</v>
      </c>
      <c r="H1311" s="27" t="s">
        <v>40</v>
      </c>
      <c r="I1311" s="27" t="s">
        <v>41</v>
      </c>
      <c r="J1311" s="27" t="s">
        <v>135</v>
      </c>
      <c r="K1311" s="27" t="s">
        <v>73</v>
      </c>
      <c r="L1311" s="31" t="s">
        <v>2345</v>
      </c>
      <c r="M1311" s="32">
        <v>0.56999999999999995</v>
      </c>
      <c r="N1311" s="27" t="s">
        <v>33</v>
      </c>
      <c r="O1311" s="27" t="s">
        <v>60</v>
      </c>
      <c r="P1311" s="27" t="s">
        <v>67</v>
      </c>
      <c r="Q1311" s="27" t="s">
        <v>142</v>
      </c>
      <c r="R1311" s="33">
        <v>98119</v>
      </c>
      <c r="S1311" s="34">
        <v>42124</v>
      </c>
      <c r="T1311" s="34">
        <v>42126</v>
      </c>
      <c r="U1311" s="29">
        <v>1030.509</v>
      </c>
      <c r="V1311" s="26">
        <v>24</v>
      </c>
      <c r="W1311" s="29">
        <v>4170.87</v>
      </c>
      <c r="X1311" s="26">
        <v>45380</v>
      </c>
      <c r="Y1311" s="35">
        <v>65.929999999999993</v>
      </c>
      <c r="Z1311" s="1" t="s">
        <v>3013</v>
      </c>
      <c r="AA1311" s="36">
        <v>0</v>
      </c>
      <c r="AB1311" s="54">
        <v>1793.4741000000001</v>
      </c>
      <c r="AC1311" s="54">
        <v>99.058162499999995</v>
      </c>
      <c r="AD1311" s="36">
        <v>3136.1610000000001</v>
      </c>
    </row>
    <row r="1312" spans="1:30" s="37" customFormat="1" ht="15.75" customHeight="1" x14ac:dyDescent="0.2">
      <c r="A1312" s="26">
        <v>640</v>
      </c>
      <c r="B1312" s="27" t="s">
        <v>1185</v>
      </c>
      <c r="C1312" s="27" t="s">
        <v>26</v>
      </c>
      <c r="D1312" s="28">
        <v>0.06</v>
      </c>
      <c r="E1312" s="29">
        <v>65.989999999999995</v>
      </c>
      <c r="F1312" s="29">
        <v>8.8000000000000007</v>
      </c>
      <c r="G1312" s="30" t="s">
        <v>87</v>
      </c>
      <c r="H1312" s="27" t="s">
        <v>40</v>
      </c>
      <c r="I1312" s="27" t="s">
        <v>41</v>
      </c>
      <c r="J1312" s="27" t="s">
        <v>135</v>
      </c>
      <c r="K1312" s="27" t="s">
        <v>73</v>
      </c>
      <c r="L1312" s="31" t="s">
        <v>452</v>
      </c>
      <c r="M1312" s="32">
        <v>0.57999999999999996</v>
      </c>
      <c r="N1312" s="27" t="s">
        <v>33</v>
      </c>
      <c r="O1312" s="27" t="s">
        <v>60</v>
      </c>
      <c r="P1312" s="27" t="s">
        <v>67</v>
      </c>
      <c r="Q1312" s="27" t="s">
        <v>142</v>
      </c>
      <c r="R1312" s="33">
        <v>98119</v>
      </c>
      <c r="S1312" s="34">
        <v>42124</v>
      </c>
      <c r="T1312" s="34">
        <v>42125</v>
      </c>
      <c r="U1312" s="29">
        <v>288.08999999999997</v>
      </c>
      <c r="V1312" s="26">
        <v>34</v>
      </c>
      <c r="W1312" s="29">
        <v>1912.98</v>
      </c>
      <c r="X1312" s="26">
        <v>45380</v>
      </c>
      <c r="Y1312" s="35">
        <v>195.99</v>
      </c>
      <c r="Z1312" s="1" t="s">
        <v>3013</v>
      </c>
      <c r="AA1312" s="36">
        <v>134.61959999999999</v>
      </c>
      <c r="AB1312" s="54">
        <v>803.4516000000001</v>
      </c>
      <c r="AC1312" s="54">
        <v>32.633188235294114</v>
      </c>
      <c r="AD1312" s="36">
        <v>1481.4704000000002</v>
      </c>
    </row>
    <row r="1313" spans="1:30" s="37" customFormat="1" ht="15.75" customHeight="1" x14ac:dyDescent="0.2">
      <c r="A1313" s="26">
        <v>638</v>
      </c>
      <c r="B1313" s="27" t="s">
        <v>2343</v>
      </c>
      <c r="C1313" s="27" t="s">
        <v>26</v>
      </c>
      <c r="D1313" s="28">
        <v>0</v>
      </c>
      <c r="E1313" s="29">
        <v>195.99</v>
      </c>
      <c r="F1313" s="29">
        <v>4.2</v>
      </c>
      <c r="G1313" s="30" t="s">
        <v>87</v>
      </c>
      <c r="H1313" s="27" t="s">
        <v>40</v>
      </c>
      <c r="I1313" s="27" t="s">
        <v>41</v>
      </c>
      <c r="J1313" s="27" t="s">
        <v>135</v>
      </c>
      <c r="K1313" s="27" t="s">
        <v>73</v>
      </c>
      <c r="L1313" s="31" t="s">
        <v>2345</v>
      </c>
      <c r="M1313" s="32">
        <v>0.56999999999999995</v>
      </c>
      <c r="N1313" s="27" t="s">
        <v>33</v>
      </c>
      <c r="O1313" s="27" t="s">
        <v>60</v>
      </c>
      <c r="P1313" s="27" t="s">
        <v>90</v>
      </c>
      <c r="Q1313" s="27" t="s">
        <v>2344</v>
      </c>
      <c r="R1313" s="33">
        <v>95062</v>
      </c>
      <c r="S1313" s="34">
        <v>42124</v>
      </c>
      <c r="T1313" s="34">
        <v>42126</v>
      </c>
      <c r="U1313" s="29">
        <v>719.47680000000003</v>
      </c>
      <c r="V1313" s="26">
        <v>6</v>
      </c>
      <c r="W1313" s="29">
        <v>1042.72</v>
      </c>
      <c r="X1313" s="26">
        <v>87954</v>
      </c>
      <c r="Y1313" s="35">
        <v>65.929999999999993</v>
      </c>
      <c r="Z1313" s="1" t="s">
        <v>3013</v>
      </c>
      <c r="AA1313" s="36">
        <v>0</v>
      </c>
      <c r="AB1313" s="54">
        <v>448.36960000000005</v>
      </c>
      <c r="AC1313" s="54">
        <v>99.058399999999992</v>
      </c>
      <c r="AD1313" s="36">
        <v>319.04319999999996</v>
      </c>
    </row>
    <row r="1314" spans="1:30" s="37" customFormat="1" ht="15.75" customHeight="1" x14ac:dyDescent="0.2">
      <c r="A1314" s="26">
        <v>855</v>
      </c>
      <c r="B1314" s="27" t="s">
        <v>2349</v>
      </c>
      <c r="C1314" s="27" t="s">
        <v>26</v>
      </c>
      <c r="D1314" s="28">
        <v>0.02</v>
      </c>
      <c r="E1314" s="29">
        <v>24.98</v>
      </c>
      <c r="F1314" s="29">
        <v>8.7899999999999991</v>
      </c>
      <c r="G1314" s="30" t="s">
        <v>39</v>
      </c>
      <c r="H1314" s="27" t="s">
        <v>94</v>
      </c>
      <c r="I1314" s="27" t="s">
        <v>49</v>
      </c>
      <c r="J1314" s="27" t="s">
        <v>78</v>
      </c>
      <c r="K1314" s="27" t="s">
        <v>73</v>
      </c>
      <c r="L1314" s="31" t="s">
        <v>2350</v>
      </c>
      <c r="M1314" s="32">
        <v>0.66</v>
      </c>
      <c r="N1314" s="27" t="s">
        <v>33</v>
      </c>
      <c r="O1314" s="27" t="s">
        <v>111</v>
      </c>
      <c r="P1314" s="27" t="s">
        <v>248</v>
      </c>
      <c r="Q1314" s="27" t="s">
        <v>2351</v>
      </c>
      <c r="R1314" s="33">
        <v>6810</v>
      </c>
      <c r="S1314" s="34">
        <v>42124</v>
      </c>
      <c r="T1314" s="34">
        <v>42125</v>
      </c>
      <c r="U1314" s="29">
        <v>4.3148</v>
      </c>
      <c r="V1314" s="26">
        <v>23</v>
      </c>
      <c r="W1314" s="29">
        <v>606.51</v>
      </c>
      <c r="X1314" s="26">
        <v>88571</v>
      </c>
      <c r="Y1314" s="35">
        <v>195.99</v>
      </c>
      <c r="Z1314" s="1" t="s">
        <v>3014</v>
      </c>
      <c r="AA1314" s="36">
        <v>11.4908</v>
      </c>
      <c r="AB1314" s="54">
        <v>206.21339999999998</v>
      </c>
      <c r="AC1314" s="54">
        <v>17.404200000000003</v>
      </c>
      <c r="AD1314" s="36">
        <v>581.9144</v>
      </c>
    </row>
    <row r="1315" spans="1:30" s="37" customFormat="1" ht="15.75" customHeight="1" x14ac:dyDescent="0.2">
      <c r="A1315" s="26">
        <v>638</v>
      </c>
      <c r="B1315" s="27" t="s">
        <v>2343</v>
      </c>
      <c r="C1315" s="27" t="s">
        <v>26</v>
      </c>
      <c r="D1315" s="28">
        <v>0.06</v>
      </c>
      <c r="E1315" s="29">
        <v>65.989999999999995</v>
      </c>
      <c r="F1315" s="29">
        <v>8.8000000000000007</v>
      </c>
      <c r="G1315" s="30" t="s">
        <v>87</v>
      </c>
      <c r="H1315" s="27" t="s">
        <v>40</v>
      </c>
      <c r="I1315" s="27" t="s">
        <v>41</v>
      </c>
      <c r="J1315" s="27" t="s">
        <v>135</v>
      </c>
      <c r="K1315" s="27" t="s">
        <v>73</v>
      </c>
      <c r="L1315" s="31" t="s">
        <v>452</v>
      </c>
      <c r="M1315" s="32">
        <v>0.57999999999999996</v>
      </c>
      <c r="N1315" s="27" t="s">
        <v>33</v>
      </c>
      <c r="O1315" s="27" t="s">
        <v>60</v>
      </c>
      <c r="P1315" s="27" t="s">
        <v>90</v>
      </c>
      <c r="Q1315" s="27" t="s">
        <v>2344</v>
      </c>
      <c r="R1315" s="33">
        <v>95062</v>
      </c>
      <c r="S1315" s="34">
        <v>42124</v>
      </c>
      <c r="T1315" s="34">
        <v>42125</v>
      </c>
      <c r="U1315" s="29">
        <v>288.08999999999997</v>
      </c>
      <c r="V1315" s="26">
        <v>9</v>
      </c>
      <c r="W1315" s="29">
        <v>506.38</v>
      </c>
      <c r="X1315" s="26">
        <v>87954</v>
      </c>
      <c r="Y1315" s="35">
        <v>1.2</v>
      </c>
      <c r="Z1315" s="1" t="s">
        <v>3013</v>
      </c>
      <c r="AA1315" s="36">
        <v>35.634599999999999</v>
      </c>
      <c r="AB1315" s="54">
        <v>212.67960000000002</v>
      </c>
      <c r="AC1315" s="54">
        <v>32.633377777777774</v>
      </c>
      <c r="AD1315" s="36">
        <v>173.85540000000003</v>
      </c>
    </row>
    <row r="1316" spans="1:30" s="37" customFormat="1" ht="15.75" customHeight="1" x14ac:dyDescent="0.2">
      <c r="A1316" s="26">
        <v>1352</v>
      </c>
      <c r="B1316" s="27" t="s">
        <v>2355</v>
      </c>
      <c r="C1316" s="27" t="s">
        <v>38</v>
      </c>
      <c r="D1316" s="28">
        <v>0.05</v>
      </c>
      <c r="E1316" s="29">
        <v>17.670000000000002</v>
      </c>
      <c r="F1316" s="29">
        <v>8.99</v>
      </c>
      <c r="G1316" s="30" t="s">
        <v>39</v>
      </c>
      <c r="H1316" s="27" t="s">
        <v>71</v>
      </c>
      <c r="I1316" s="27" t="s">
        <v>29</v>
      </c>
      <c r="J1316" s="27" t="s">
        <v>126</v>
      </c>
      <c r="K1316" s="27" t="s">
        <v>43</v>
      </c>
      <c r="L1316" s="31" t="s">
        <v>2056</v>
      </c>
      <c r="M1316" s="32">
        <v>0.47</v>
      </c>
      <c r="N1316" s="27" t="s">
        <v>33</v>
      </c>
      <c r="O1316" s="27" t="s">
        <v>111</v>
      </c>
      <c r="P1316" s="27" t="s">
        <v>418</v>
      </c>
      <c r="Q1316" s="27" t="s">
        <v>1701</v>
      </c>
      <c r="R1316" s="33">
        <v>20746</v>
      </c>
      <c r="S1316" s="34">
        <v>42124</v>
      </c>
      <c r="T1316" s="34">
        <v>42125</v>
      </c>
      <c r="U1316" s="29">
        <v>46.036799999999999</v>
      </c>
      <c r="V1316" s="26">
        <v>16</v>
      </c>
      <c r="W1316" s="29">
        <v>283.44</v>
      </c>
      <c r="X1316" s="26">
        <v>88234</v>
      </c>
      <c r="Y1316" s="35">
        <v>1.7</v>
      </c>
      <c r="Z1316" s="1" t="s">
        <v>3014</v>
      </c>
      <c r="AA1316" s="36">
        <v>14.136000000000003</v>
      </c>
      <c r="AB1316" s="54">
        <v>150.22320000000002</v>
      </c>
      <c r="AC1316" s="54">
        <v>8.3260499999999986</v>
      </c>
      <c r="AD1316" s="36">
        <v>214.27719999999999</v>
      </c>
    </row>
    <row r="1317" spans="1:30" s="37" customFormat="1" ht="15.75" customHeight="1" x14ac:dyDescent="0.2">
      <c r="A1317" s="26">
        <v>2823</v>
      </c>
      <c r="B1317" s="27" t="s">
        <v>2358</v>
      </c>
      <c r="C1317" s="27" t="s">
        <v>48</v>
      </c>
      <c r="D1317" s="28">
        <v>0.02</v>
      </c>
      <c r="E1317" s="29">
        <v>21.98</v>
      </c>
      <c r="F1317" s="29">
        <v>2.87</v>
      </c>
      <c r="G1317" s="30" t="s">
        <v>39</v>
      </c>
      <c r="H1317" s="27" t="s">
        <v>94</v>
      </c>
      <c r="I1317" s="27" t="s">
        <v>49</v>
      </c>
      <c r="J1317" s="27" t="s">
        <v>50</v>
      </c>
      <c r="K1317" s="27" t="s">
        <v>43</v>
      </c>
      <c r="L1317" s="31" t="s">
        <v>1738</v>
      </c>
      <c r="M1317" s="32">
        <v>0.55000000000000004</v>
      </c>
      <c r="N1317" s="27" t="s">
        <v>33</v>
      </c>
      <c r="O1317" s="27" t="s">
        <v>60</v>
      </c>
      <c r="P1317" s="27" t="s">
        <v>296</v>
      </c>
      <c r="Q1317" s="27" t="s">
        <v>2359</v>
      </c>
      <c r="R1317" s="33">
        <v>89031</v>
      </c>
      <c r="S1317" s="34">
        <v>42124</v>
      </c>
      <c r="T1317" s="34">
        <v>42126</v>
      </c>
      <c r="U1317" s="29">
        <v>165.6345</v>
      </c>
      <c r="V1317" s="26">
        <v>11</v>
      </c>
      <c r="W1317" s="29">
        <v>240.05</v>
      </c>
      <c r="X1317" s="26">
        <v>87240</v>
      </c>
      <c r="Y1317" s="35">
        <v>24.96</v>
      </c>
      <c r="Z1317" s="1" t="s">
        <v>3013</v>
      </c>
      <c r="AA1317" s="36">
        <v>4.8355999999999995</v>
      </c>
      <c r="AB1317" s="54">
        <v>108.02249999999999</v>
      </c>
      <c r="AC1317" s="54">
        <v>12.002500000000001</v>
      </c>
      <c r="AD1317" s="36">
        <v>66.709900000000005</v>
      </c>
    </row>
    <row r="1318" spans="1:30" s="37" customFormat="1" ht="15.75" customHeight="1" x14ac:dyDescent="0.2">
      <c r="A1318" s="26">
        <v>858</v>
      </c>
      <c r="B1318" s="27" t="s">
        <v>2352</v>
      </c>
      <c r="C1318" s="27" t="s">
        <v>26</v>
      </c>
      <c r="D1318" s="28">
        <v>0.05</v>
      </c>
      <c r="E1318" s="29">
        <v>35.99</v>
      </c>
      <c r="F1318" s="29">
        <v>5.99</v>
      </c>
      <c r="G1318" s="30" t="s">
        <v>87</v>
      </c>
      <c r="H1318" s="27" t="s">
        <v>94</v>
      </c>
      <c r="I1318" s="27" t="s">
        <v>41</v>
      </c>
      <c r="J1318" s="27" t="s">
        <v>135</v>
      </c>
      <c r="K1318" s="27" t="s">
        <v>51</v>
      </c>
      <c r="L1318" s="31" t="s">
        <v>1372</v>
      </c>
      <c r="M1318" s="32">
        <v>0.38</v>
      </c>
      <c r="N1318" s="27" t="s">
        <v>33</v>
      </c>
      <c r="O1318" s="27" t="s">
        <v>111</v>
      </c>
      <c r="P1318" s="27" t="s">
        <v>331</v>
      </c>
      <c r="Q1318" s="27" t="s">
        <v>1658</v>
      </c>
      <c r="R1318" s="33">
        <v>4240</v>
      </c>
      <c r="S1318" s="34">
        <v>42124</v>
      </c>
      <c r="T1318" s="34">
        <v>42126</v>
      </c>
      <c r="U1318" s="29">
        <v>-125.83296</v>
      </c>
      <c r="V1318" s="26">
        <v>2</v>
      </c>
      <c r="W1318" s="29">
        <v>64.89</v>
      </c>
      <c r="X1318" s="26">
        <v>88571</v>
      </c>
      <c r="Y1318" s="35">
        <v>35.940000000000005</v>
      </c>
      <c r="Z1318" s="1" t="s">
        <v>3014</v>
      </c>
      <c r="AA1318" s="36">
        <v>3.5990000000000002</v>
      </c>
      <c r="AB1318" s="54">
        <v>40.2318</v>
      </c>
      <c r="AC1318" s="54">
        <v>12.3291</v>
      </c>
      <c r="AD1318" s="36">
        <v>181.13396</v>
      </c>
    </row>
    <row r="1319" spans="1:30" s="37" customFormat="1" ht="15.75" customHeight="1" x14ac:dyDescent="0.2">
      <c r="A1319" s="26">
        <v>2704</v>
      </c>
      <c r="B1319" s="27" t="s">
        <v>2353</v>
      </c>
      <c r="C1319" s="27" t="s">
        <v>48</v>
      </c>
      <c r="D1319" s="28">
        <v>0.03</v>
      </c>
      <c r="E1319" s="29">
        <v>13.48</v>
      </c>
      <c r="F1319" s="29">
        <v>4.51</v>
      </c>
      <c r="G1319" s="30" t="s">
        <v>87</v>
      </c>
      <c r="H1319" s="27" t="s">
        <v>40</v>
      </c>
      <c r="I1319" s="27" t="s">
        <v>49</v>
      </c>
      <c r="J1319" s="27" t="s">
        <v>78</v>
      </c>
      <c r="K1319" s="27" t="s">
        <v>73</v>
      </c>
      <c r="L1319" s="31" t="s">
        <v>1781</v>
      </c>
      <c r="M1319" s="32">
        <v>0.59</v>
      </c>
      <c r="N1319" s="27" t="s">
        <v>33</v>
      </c>
      <c r="O1319" s="27" t="s">
        <v>34</v>
      </c>
      <c r="P1319" s="27" t="s">
        <v>123</v>
      </c>
      <c r="Q1319" s="27" t="s">
        <v>2354</v>
      </c>
      <c r="R1319" s="33">
        <v>32503</v>
      </c>
      <c r="S1319" s="34">
        <v>42124</v>
      </c>
      <c r="T1319" s="34">
        <v>42128</v>
      </c>
      <c r="U1319" s="29">
        <v>-256.01799999999997</v>
      </c>
      <c r="V1319" s="26">
        <v>4</v>
      </c>
      <c r="W1319" s="29">
        <v>59.49</v>
      </c>
      <c r="X1319" s="26">
        <v>91408</v>
      </c>
      <c r="Y1319" s="35">
        <v>3.54</v>
      </c>
      <c r="Z1319" s="1" t="s">
        <v>3011</v>
      </c>
      <c r="AA1319" s="36">
        <v>1.6175999999999999</v>
      </c>
      <c r="AB1319" s="54">
        <v>24.390900000000002</v>
      </c>
      <c r="AC1319" s="54">
        <v>8.774775</v>
      </c>
      <c r="AD1319" s="36">
        <v>309.38039999999995</v>
      </c>
    </row>
    <row r="1320" spans="1:30" s="37" customFormat="1" ht="15.75" customHeight="1" x14ac:dyDescent="0.2">
      <c r="A1320" s="26">
        <v>1347</v>
      </c>
      <c r="B1320" s="27" t="s">
        <v>2356</v>
      </c>
      <c r="C1320" s="27" t="s">
        <v>48</v>
      </c>
      <c r="D1320" s="28">
        <v>0.1</v>
      </c>
      <c r="E1320" s="29">
        <v>2.62</v>
      </c>
      <c r="F1320" s="29">
        <v>0.8</v>
      </c>
      <c r="G1320" s="30" t="s">
        <v>39</v>
      </c>
      <c r="H1320" s="27" t="s">
        <v>71</v>
      </c>
      <c r="I1320" s="27" t="s">
        <v>49</v>
      </c>
      <c r="J1320" s="27" t="s">
        <v>176</v>
      </c>
      <c r="K1320" s="27" t="s">
        <v>51</v>
      </c>
      <c r="L1320" s="31" t="s">
        <v>2124</v>
      </c>
      <c r="M1320" s="32">
        <v>0.39</v>
      </c>
      <c r="N1320" s="27" t="s">
        <v>33</v>
      </c>
      <c r="O1320" s="27" t="s">
        <v>34</v>
      </c>
      <c r="P1320" s="27" t="s">
        <v>123</v>
      </c>
      <c r="Q1320" s="27" t="s">
        <v>2357</v>
      </c>
      <c r="R1320" s="33">
        <v>33511</v>
      </c>
      <c r="S1320" s="34">
        <v>42124</v>
      </c>
      <c r="T1320" s="34">
        <v>42130</v>
      </c>
      <c r="U1320" s="29">
        <v>-94.490899999999996</v>
      </c>
      <c r="V1320" s="26">
        <v>21</v>
      </c>
      <c r="W1320" s="29">
        <v>51.86</v>
      </c>
      <c r="X1320" s="26">
        <v>89686</v>
      </c>
      <c r="Y1320" s="35">
        <v>17.62</v>
      </c>
      <c r="Z1320" s="1" t="s">
        <v>3011</v>
      </c>
      <c r="AA1320" s="36">
        <v>5.5020000000000007</v>
      </c>
      <c r="AB1320" s="54">
        <v>31.634599999999999</v>
      </c>
      <c r="AC1320" s="54">
        <v>0.9631142857142857</v>
      </c>
      <c r="AD1320" s="36">
        <v>140.0489</v>
      </c>
    </row>
    <row r="1321" spans="1:30" s="37" customFormat="1" ht="15.75" customHeight="1" x14ac:dyDescent="0.2">
      <c r="A1321" s="26">
        <v>854</v>
      </c>
      <c r="B1321" s="27" t="s">
        <v>2347</v>
      </c>
      <c r="C1321" s="27" t="s">
        <v>26</v>
      </c>
      <c r="D1321" s="28">
        <v>0.06</v>
      </c>
      <c r="E1321" s="29">
        <v>1.76</v>
      </c>
      <c r="F1321" s="29">
        <v>0.7</v>
      </c>
      <c r="G1321" s="30" t="s">
        <v>39</v>
      </c>
      <c r="H1321" s="27" t="s">
        <v>94</v>
      </c>
      <c r="I1321" s="27" t="s">
        <v>49</v>
      </c>
      <c r="J1321" s="27" t="s">
        <v>50</v>
      </c>
      <c r="K1321" s="27" t="s">
        <v>51</v>
      </c>
      <c r="L1321" s="31" t="s">
        <v>1663</v>
      </c>
      <c r="M1321" s="32">
        <v>0.56000000000000005</v>
      </c>
      <c r="N1321" s="27" t="s">
        <v>33</v>
      </c>
      <c r="O1321" s="27" t="s">
        <v>111</v>
      </c>
      <c r="P1321" s="27" t="s">
        <v>248</v>
      </c>
      <c r="Q1321" s="27" t="s">
        <v>2348</v>
      </c>
      <c r="R1321" s="33">
        <v>6405</v>
      </c>
      <c r="S1321" s="34">
        <v>42124</v>
      </c>
      <c r="T1321" s="34">
        <v>42126</v>
      </c>
      <c r="U1321" s="29">
        <v>1.2236</v>
      </c>
      <c r="V1321" s="26">
        <v>22</v>
      </c>
      <c r="W1321" s="29">
        <v>39.26</v>
      </c>
      <c r="X1321" s="26">
        <v>88571</v>
      </c>
      <c r="Y1321" s="35">
        <v>2.52</v>
      </c>
      <c r="Z1321" s="1" t="s">
        <v>3014</v>
      </c>
      <c r="AA1321" s="36">
        <v>2.3231999999999999</v>
      </c>
      <c r="AB1321" s="54">
        <v>17.274399999999996</v>
      </c>
      <c r="AC1321" s="54">
        <v>0.99934545454545454</v>
      </c>
      <c r="AD1321" s="36">
        <v>35.013199999999998</v>
      </c>
    </row>
    <row r="1322" spans="1:30" s="37" customFormat="1" ht="15.75" customHeight="1" x14ac:dyDescent="0.2">
      <c r="A1322" s="26">
        <v>1989</v>
      </c>
      <c r="B1322" s="27" t="s">
        <v>693</v>
      </c>
      <c r="C1322" s="27" t="s">
        <v>116</v>
      </c>
      <c r="D1322" s="28">
        <v>0.1</v>
      </c>
      <c r="E1322" s="29">
        <v>1.6</v>
      </c>
      <c r="F1322" s="29">
        <v>1.29</v>
      </c>
      <c r="G1322" s="30" t="s">
        <v>39</v>
      </c>
      <c r="H1322" s="27" t="s">
        <v>71</v>
      </c>
      <c r="I1322" s="27" t="s">
        <v>49</v>
      </c>
      <c r="J1322" s="27" t="s">
        <v>50</v>
      </c>
      <c r="K1322" s="27" t="s">
        <v>51</v>
      </c>
      <c r="L1322" s="31" t="s">
        <v>2360</v>
      </c>
      <c r="M1322" s="32">
        <v>0.42</v>
      </c>
      <c r="N1322" s="27" t="s">
        <v>33</v>
      </c>
      <c r="O1322" s="27" t="s">
        <v>60</v>
      </c>
      <c r="P1322" s="27" t="s">
        <v>146</v>
      </c>
      <c r="Q1322" s="27" t="s">
        <v>695</v>
      </c>
      <c r="R1322" s="33">
        <v>84117</v>
      </c>
      <c r="S1322" s="34">
        <v>42124</v>
      </c>
      <c r="T1322" s="34">
        <v>42124</v>
      </c>
      <c r="U1322" s="29">
        <v>-14.990399999999999</v>
      </c>
      <c r="V1322" s="26">
        <v>11</v>
      </c>
      <c r="W1322" s="29">
        <v>16.88</v>
      </c>
      <c r="X1322" s="26">
        <v>90003</v>
      </c>
      <c r="Y1322" s="35">
        <v>13.450000000000001</v>
      </c>
      <c r="Z1322" s="1" t="s">
        <v>3013</v>
      </c>
      <c r="AA1322" s="36">
        <v>1.7600000000000002</v>
      </c>
      <c r="AB1322" s="54">
        <v>9.7904</v>
      </c>
      <c r="AC1322" s="54">
        <v>0.64450909090909081</v>
      </c>
      <c r="AD1322" s="36">
        <v>28.820399999999999</v>
      </c>
    </row>
    <row r="1323" spans="1:30" s="37" customFormat="1" ht="15.75" customHeight="1" x14ac:dyDescent="0.2">
      <c r="A1323" s="26">
        <v>2704</v>
      </c>
      <c r="B1323" s="27" t="s">
        <v>2353</v>
      </c>
      <c r="C1323" s="27" t="s">
        <v>26</v>
      </c>
      <c r="D1323" s="28">
        <v>0.06</v>
      </c>
      <c r="E1323" s="29">
        <v>3.6</v>
      </c>
      <c r="F1323" s="29">
        <v>2.2000000000000002</v>
      </c>
      <c r="G1323" s="30" t="s">
        <v>39</v>
      </c>
      <c r="H1323" s="27" t="s">
        <v>40</v>
      </c>
      <c r="I1323" s="27" t="s">
        <v>49</v>
      </c>
      <c r="J1323" s="27" t="s">
        <v>88</v>
      </c>
      <c r="K1323" s="27" t="s">
        <v>51</v>
      </c>
      <c r="L1323" s="31" t="s">
        <v>1384</v>
      </c>
      <c r="M1323" s="32">
        <v>0.39</v>
      </c>
      <c r="N1323" s="27" t="s">
        <v>33</v>
      </c>
      <c r="O1323" s="27" t="s">
        <v>34</v>
      </c>
      <c r="P1323" s="27" t="s">
        <v>123</v>
      </c>
      <c r="Q1323" s="27" t="s">
        <v>2354</v>
      </c>
      <c r="R1323" s="33">
        <v>32503</v>
      </c>
      <c r="S1323" s="34">
        <v>42124</v>
      </c>
      <c r="T1323" s="34">
        <v>42126</v>
      </c>
      <c r="U1323" s="29">
        <v>2755.6421999999998</v>
      </c>
      <c r="V1323" s="26">
        <v>4</v>
      </c>
      <c r="W1323" s="29">
        <v>15.19</v>
      </c>
      <c r="X1323" s="26">
        <v>91407</v>
      </c>
      <c r="Y1323" s="35">
        <v>21.96</v>
      </c>
      <c r="Z1323" s="1" t="s">
        <v>3011</v>
      </c>
      <c r="AA1323" s="36">
        <v>0.86399999999999999</v>
      </c>
      <c r="AB1323" s="54">
        <v>9.2659000000000002</v>
      </c>
      <c r="AC1323" s="54">
        <v>1.481025</v>
      </c>
      <c r="AD1323" s="36">
        <v>-2743.5161999999996</v>
      </c>
    </row>
    <row r="1324" spans="1:30" s="37" customFormat="1" ht="15.75" customHeight="1" x14ac:dyDescent="0.2">
      <c r="A1324" s="26">
        <v>851</v>
      </c>
      <c r="B1324" s="27" t="s">
        <v>1364</v>
      </c>
      <c r="C1324" s="27" t="s">
        <v>26</v>
      </c>
      <c r="D1324" s="28">
        <v>0.06</v>
      </c>
      <c r="E1324" s="29">
        <v>1.26</v>
      </c>
      <c r="F1324" s="29">
        <v>0.7</v>
      </c>
      <c r="G1324" s="30" t="s">
        <v>39</v>
      </c>
      <c r="H1324" s="27" t="s">
        <v>94</v>
      </c>
      <c r="I1324" s="27" t="s">
        <v>49</v>
      </c>
      <c r="J1324" s="27" t="s">
        <v>176</v>
      </c>
      <c r="K1324" s="27" t="s">
        <v>51</v>
      </c>
      <c r="L1324" s="31" t="s">
        <v>2346</v>
      </c>
      <c r="M1324" s="32">
        <v>0.81</v>
      </c>
      <c r="N1324" s="27" t="s">
        <v>33</v>
      </c>
      <c r="O1324" s="27" t="s">
        <v>60</v>
      </c>
      <c r="P1324" s="27" t="s">
        <v>90</v>
      </c>
      <c r="Q1324" s="27" t="s">
        <v>1366</v>
      </c>
      <c r="R1324" s="33">
        <v>91745</v>
      </c>
      <c r="S1324" s="34">
        <v>42124</v>
      </c>
      <c r="T1324" s="34">
        <v>42124</v>
      </c>
      <c r="U1324" s="29">
        <v>-6.6096000000000004</v>
      </c>
      <c r="V1324" s="26">
        <v>4</v>
      </c>
      <c r="W1324" s="29">
        <v>5.28</v>
      </c>
      <c r="X1324" s="26">
        <v>88571</v>
      </c>
      <c r="Y1324" s="35">
        <v>1.5</v>
      </c>
      <c r="Z1324" s="1" t="s">
        <v>3013</v>
      </c>
      <c r="AA1324" s="36">
        <v>0.3024</v>
      </c>
      <c r="AB1324" s="54">
        <v>1.0031999999999999</v>
      </c>
      <c r="AC1324" s="54">
        <v>1.0692000000000002</v>
      </c>
      <c r="AD1324" s="36">
        <v>10.8872</v>
      </c>
    </row>
    <row r="1325" spans="1:30" s="37" customFormat="1" ht="15.75" customHeight="1" x14ac:dyDescent="0.2">
      <c r="A1325" s="26">
        <v>1193</v>
      </c>
      <c r="B1325" s="27" t="s">
        <v>1351</v>
      </c>
      <c r="C1325" s="27" t="s">
        <v>3094</v>
      </c>
      <c r="D1325" s="28">
        <v>0.03</v>
      </c>
      <c r="E1325" s="29">
        <v>5.98</v>
      </c>
      <c r="F1325" s="29">
        <v>1.49</v>
      </c>
      <c r="G1325" s="30" t="s">
        <v>39</v>
      </c>
      <c r="H1325" s="27" t="s">
        <v>3095</v>
      </c>
      <c r="I1325" s="27" t="s">
        <v>49</v>
      </c>
      <c r="J1325" s="27" t="s">
        <v>72</v>
      </c>
      <c r="K1325" s="27" t="s">
        <v>73</v>
      </c>
      <c r="L1325" s="31" t="s">
        <v>1587</v>
      </c>
      <c r="M1325" s="32">
        <v>0.39</v>
      </c>
      <c r="N1325" s="27" t="s">
        <v>33</v>
      </c>
      <c r="O1325" s="27" t="s">
        <v>111</v>
      </c>
      <c r="P1325" s="27" t="s">
        <v>374</v>
      </c>
      <c r="Q1325" s="27" t="s">
        <v>67</v>
      </c>
      <c r="R1325" s="33">
        <v>20016</v>
      </c>
      <c r="S1325" s="34">
        <v>42125</v>
      </c>
      <c r="T1325" s="34">
        <v>42127</v>
      </c>
      <c r="U1325" s="29">
        <v>38.08</v>
      </c>
      <c r="V1325" s="26">
        <v>85</v>
      </c>
      <c r="W1325" s="29">
        <v>517.85</v>
      </c>
      <c r="X1325" s="26">
        <v>38852</v>
      </c>
      <c r="Y1325" s="35">
        <v>11.69</v>
      </c>
      <c r="Z1325" s="1" t="s">
        <v>3014</v>
      </c>
      <c r="AA1325" s="36">
        <v>15.249000000000001</v>
      </c>
      <c r="AB1325" s="54">
        <v>315.88850000000002</v>
      </c>
      <c r="AC1325" s="54">
        <v>2.3760176470588239</v>
      </c>
      <c r="AD1325" s="36">
        <v>463.03100000000001</v>
      </c>
    </row>
    <row r="1326" spans="1:30" s="37" customFormat="1" ht="15.75" customHeight="1" x14ac:dyDescent="0.2">
      <c r="A1326" s="26">
        <v>381</v>
      </c>
      <c r="B1326" s="27" t="s">
        <v>2368</v>
      </c>
      <c r="C1326" s="27" t="s">
        <v>3094</v>
      </c>
      <c r="D1326" s="28">
        <v>7.0000000000000007E-2</v>
      </c>
      <c r="E1326" s="29">
        <v>415.88</v>
      </c>
      <c r="F1326" s="29">
        <v>11.37</v>
      </c>
      <c r="G1326" s="30" t="s">
        <v>39</v>
      </c>
      <c r="H1326" s="27" t="s">
        <v>94</v>
      </c>
      <c r="I1326" s="27" t="s">
        <v>49</v>
      </c>
      <c r="J1326" s="27" t="s">
        <v>78</v>
      </c>
      <c r="K1326" s="27" t="s">
        <v>73</v>
      </c>
      <c r="L1326" s="31" t="s">
        <v>1381</v>
      </c>
      <c r="M1326" s="32">
        <v>0.56999999999999995</v>
      </c>
      <c r="N1326" s="27" t="s">
        <v>33</v>
      </c>
      <c r="O1326" s="27" t="s">
        <v>53</v>
      </c>
      <c r="P1326" s="27" t="s">
        <v>103</v>
      </c>
      <c r="Q1326" s="27" t="s">
        <v>1847</v>
      </c>
      <c r="R1326" s="33">
        <v>61701</v>
      </c>
      <c r="S1326" s="34">
        <v>42125</v>
      </c>
      <c r="T1326" s="34">
        <v>42125</v>
      </c>
      <c r="U1326" s="29">
        <v>-539.59</v>
      </c>
      <c r="V1326" s="26">
        <v>1</v>
      </c>
      <c r="W1326" s="29">
        <v>394.51</v>
      </c>
      <c r="X1326" s="26">
        <v>88929</v>
      </c>
      <c r="Y1326" s="35">
        <v>4.5199999999999996</v>
      </c>
      <c r="Z1326" s="1" t="s">
        <v>3012</v>
      </c>
      <c r="AA1326" s="36">
        <v>29.111600000000003</v>
      </c>
      <c r="AB1326" s="54">
        <v>169.63930000000002</v>
      </c>
      <c r="AC1326" s="54">
        <v>224.87069999999997</v>
      </c>
      <c r="AD1326" s="36">
        <v>893.61840000000007</v>
      </c>
    </row>
    <row r="1327" spans="1:30" s="37" customFormat="1" ht="15.75" customHeight="1" x14ac:dyDescent="0.2">
      <c r="A1327" s="26">
        <v>1271</v>
      </c>
      <c r="B1327" s="27" t="s">
        <v>2111</v>
      </c>
      <c r="C1327" s="27" t="s">
        <v>48</v>
      </c>
      <c r="D1327" s="28">
        <v>0.1</v>
      </c>
      <c r="E1327" s="29">
        <v>34.229999999999997</v>
      </c>
      <c r="F1327" s="29">
        <v>5.0199999999999996</v>
      </c>
      <c r="G1327" s="30" t="s">
        <v>39</v>
      </c>
      <c r="H1327" s="27" t="s">
        <v>94</v>
      </c>
      <c r="I1327" s="27" t="s">
        <v>29</v>
      </c>
      <c r="J1327" s="27" t="s">
        <v>126</v>
      </c>
      <c r="K1327" s="27" t="s">
        <v>73</v>
      </c>
      <c r="L1327" s="31" t="s">
        <v>1318</v>
      </c>
      <c r="M1327" s="32">
        <v>0.55000000000000004</v>
      </c>
      <c r="N1327" s="27" t="s">
        <v>33</v>
      </c>
      <c r="O1327" s="27" t="s">
        <v>60</v>
      </c>
      <c r="P1327" s="27" t="s">
        <v>90</v>
      </c>
      <c r="Q1327" s="27" t="s">
        <v>2112</v>
      </c>
      <c r="R1327" s="33">
        <v>91941</v>
      </c>
      <c r="S1327" s="34">
        <v>42125</v>
      </c>
      <c r="T1327" s="34">
        <v>42130</v>
      </c>
      <c r="U1327" s="29">
        <v>151.56540000000001</v>
      </c>
      <c r="V1327" s="26">
        <v>7</v>
      </c>
      <c r="W1327" s="29">
        <v>219.66</v>
      </c>
      <c r="X1327" s="26">
        <v>88411</v>
      </c>
      <c r="Y1327" s="35">
        <v>4.9200000000000008</v>
      </c>
      <c r="Z1327" s="1" t="s">
        <v>3013</v>
      </c>
      <c r="AA1327" s="36">
        <v>23.960999999999999</v>
      </c>
      <c r="AB1327" s="54">
        <v>98.846999999999994</v>
      </c>
      <c r="AC1327" s="54">
        <v>17.259</v>
      </c>
      <c r="AD1327" s="36">
        <v>39.113599999999991</v>
      </c>
    </row>
    <row r="1328" spans="1:30" s="37" customFormat="1" ht="15.75" customHeight="1" x14ac:dyDescent="0.2">
      <c r="A1328" s="26">
        <v>2394</v>
      </c>
      <c r="B1328" s="27" t="s">
        <v>2361</v>
      </c>
      <c r="C1328" s="27" t="s">
        <v>26</v>
      </c>
      <c r="D1328" s="28">
        <v>0.01</v>
      </c>
      <c r="E1328" s="29">
        <v>11.7</v>
      </c>
      <c r="F1328" s="29">
        <v>5.63</v>
      </c>
      <c r="G1328" s="30" t="s">
        <v>39</v>
      </c>
      <c r="H1328" s="27" t="s">
        <v>94</v>
      </c>
      <c r="I1328" s="27" t="s">
        <v>49</v>
      </c>
      <c r="J1328" s="27" t="s">
        <v>72</v>
      </c>
      <c r="K1328" s="27" t="s">
        <v>73</v>
      </c>
      <c r="L1328" s="31" t="s">
        <v>2362</v>
      </c>
      <c r="M1328" s="32">
        <v>0.4</v>
      </c>
      <c r="N1328" s="27" t="s">
        <v>33</v>
      </c>
      <c r="O1328" s="27" t="s">
        <v>34</v>
      </c>
      <c r="P1328" s="27" t="s">
        <v>75</v>
      </c>
      <c r="Q1328" s="27" t="s">
        <v>2363</v>
      </c>
      <c r="R1328" s="33">
        <v>30328</v>
      </c>
      <c r="S1328" s="34">
        <v>42125</v>
      </c>
      <c r="T1328" s="34">
        <v>42127</v>
      </c>
      <c r="U1328" s="29">
        <v>39.21</v>
      </c>
      <c r="V1328" s="26">
        <v>16</v>
      </c>
      <c r="W1328" s="29">
        <v>196.69</v>
      </c>
      <c r="X1328" s="26">
        <v>86949</v>
      </c>
      <c r="Y1328" s="35">
        <v>6.4700000000000006</v>
      </c>
      <c r="Z1328" s="1" t="s">
        <v>3011</v>
      </c>
      <c r="AA1328" s="36">
        <v>1.8719999999999999</v>
      </c>
      <c r="AB1328" s="54">
        <v>118.014</v>
      </c>
      <c r="AC1328" s="54">
        <v>4.9172500000000001</v>
      </c>
      <c r="AD1328" s="36">
        <v>149.97800000000001</v>
      </c>
    </row>
    <row r="1329" spans="1:30" s="37" customFormat="1" ht="15.75" customHeight="1" x14ac:dyDescent="0.2">
      <c r="A1329" s="26">
        <v>1194</v>
      </c>
      <c r="B1329" s="27" t="s">
        <v>2369</v>
      </c>
      <c r="C1329" s="27" t="s">
        <v>3094</v>
      </c>
      <c r="D1329" s="28">
        <v>0.03</v>
      </c>
      <c r="E1329" s="29">
        <v>5.98</v>
      </c>
      <c r="F1329" s="29">
        <v>1.49</v>
      </c>
      <c r="G1329" s="30" t="s">
        <v>39</v>
      </c>
      <c r="H1329" s="27" t="s">
        <v>3095</v>
      </c>
      <c r="I1329" s="27" t="s">
        <v>49</v>
      </c>
      <c r="J1329" s="27" t="s">
        <v>72</v>
      </c>
      <c r="K1329" s="27" t="s">
        <v>73</v>
      </c>
      <c r="L1329" s="31" t="s">
        <v>1587</v>
      </c>
      <c r="M1329" s="32">
        <v>0.39</v>
      </c>
      <c r="N1329" s="27" t="s">
        <v>33</v>
      </c>
      <c r="O1329" s="27" t="s">
        <v>34</v>
      </c>
      <c r="P1329" s="27" t="s">
        <v>123</v>
      </c>
      <c r="Q1329" s="27" t="s">
        <v>2370</v>
      </c>
      <c r="R1329" s="33">
        <v>34142</v>
      </c>
      <c r="S1329" s="34">
        <v>42125</v>
      </c>
      <c r="T1329" s="34">
        <v>42127</v>
      </c>
      <c r="U1329" s="29">
        <v>20.495999999999999</v>
      </c>
      <c r="V1329" s="26">
        <v>21</v>
      </c>
      <c r="W1329" s="29">
        <v>127.94</v>
      </c>
      <c r="X1329" s="26">
        <v>87586</v>
      </c>
      <c r="Y1329" s="35">
        <v>34.129999999999995</v>
      </c>
      <c r="Z1329" s="1" t="s">
        <v>3011</v>
      </c>
      <c r="AA1329" s="36">
        <v>3.7674000000000003</v>
      </c>
      <c r="AB1329" s="54">
        <v>78.043399999999991</v>
      </c>
      <c r="AC1329" s="54">
        <v>2.3760285714285714</v>
      </c>
      <c r="AD1329" s="36">
        <v>102.1866</v>
      </c>
    </row>
    <row r="1330" spans="1:30" s="37" customFormat="1" ht="15.75" customHeight="1" x14ac:dyDescent="0.2">
      <c r="A1330" s="26">
        <v>2724</v>
      </c>
      <c r="B1330" s="27" t="s">
        <v>2364</v>
      </c>
      <c r="C1330" s="27" t="s">
        <v>26</v>
      </c>
      <c r="D1330" s="28">
        <v>0.01</v>
      </c>
      <c r="E1330" s="29">
        <v>6.48</v>
      </c>
      <c r="F1330" s="29">
        <v>7.37</v>
      </c>
      <c r="G1330" s="30" t="s">
        <v>39</v>
      </c>
      <c r="H1330" s="27" t="s">
        <v>71</v>
      </c>
      <c r="I1330" s="27" t="s">
        <v>49</v>
      </c>
      <c r="J1330" s="27" t="s">
        <v>88</v>
      </c>
      <c r="K1330" s="27" t="s">
        <v>73</v>
      </c>
      <c r="L1330" s="31" t="s">
        <v>1615</v>
      </c>
      <c r="M1330" s="32">
        <v>0.37</v>
      </c>
      <c r="N1330" s="27" t="s">
        <v>33</v>
      </c>
      <c r="O1330" s="27" t="s">
        <v>34</v>
      </c>
      <c r="P1330" s="27" t="s">
        <v>400</v>
      </c>
      <c r="Q1330" s="27" t="s">
        <v>2365</v>
      </c>
      <c r="R1330" s="33">
        <v>37421</v>
      </c>
      <c r="S1330" s="34">
        <v>42125</v>
      </c>
      <c r="T1330" s="34">
        <v>42127</v>
      </c>
      <c r="U1330" s="29">
        <v>-449.69400000000002</v>
      </c>
      <c r="V1330" s="26">
        <v>18</v>
      </c>
      <c r="W1330" s="29">
        <v>122.8</v>
      </c>
      <c r="X1330" s="26">
        <v>88959</v>
      </c>
      <c r="Y1330" s="35">
        <v>2.2000000000000002</v>
      </c>
      <c r="Z1330" s="1" t="s">
        <v>3011</v>
      </c>
      <c r="AA1330" s="36">
        <v>1.1664000000000001</v>
      </c>
      <c r="AB1330" s="54">
        <v>77.364000000000004</v>
      </c>
      <c r="AC1330" s="54">
        <v>2.5242222222222219</v>
      </c>
      <c r="AD1330" s="36">
        <v>563.95759999999996</v>
      </c>
    </row>
    <row r="1331" spans="1:30" s="37" customFormat="1" ht="15.75" customHeight="1" x14ac:dyDescent="0.2">
      <c r="A1331" s="26">
        <v>2724</v>
      </c>
      <c r="B1331" s="27" t="s">
        <v>2364</v>
      </c>
      <c r="C1331" s="27" t="s">
        <v>26</v>
      </c>
      <c r="D1331" s="28">
        <v>0.06</v>
      </c>
      <c r="E1331" s="29">
        <v>4.9800000000000004</v>
      </c>
      <c r="F1331" s="29">
        <v>7.44</v>
      </c>
      <c r="G1331" s="30" t="s">
        <v>39</v>
      </c>
      <c r="H1331" s="27" t="s">
        <v>71</v>
      </c>
      <c r="I1331" s="27" t="s">
        <v>49</v>
      </c>
      <c r="J1331" s="27" t="s">
        <v>88</v>
      </c>
      <c r="K1331" s="27" t="s">
        <v>73</v>
      </c>
      <c r="L1331" s="31" t="s">
        <v>2174</v>
      </c>
      <c r="M1331" s="32">
        <v>0.36</v>
      </c>
      <c r="N1331" s="27" t="s">
        <v>33</v>
      </c>
      <c r="O1331" s="27" t="s">
        <v>34</v>
      </c>
      <c r="P1331" s="27" t="s">
        <v>400</v>
      </c>
      <c r="Q1331" s="27" t="s">
        <v>2365</v>
      </c>
      <c r="R1331" s="33">
        <v>37421</v>
      </c>
      <c r="S1331" s="34">
        <v>42125</v>
      </c>
      <c r="T1331" s="34">
        <v>42126</v>
      </c>
      <c r="U1331" s="29">
        <v>-37.561999999999998</v>
      </c>
      <c r="V1331" s="26">
        <v>10</v>
      </c>
      <c r="W1331" s="29">
        <v>53.21</v>
      </c>
      <c r="X1331" s="26">
        <v>88959</v>
      </c>
      <c r="Y1331" s="35">
        <v>415.81</v>
      </c>
      <c r="Z1331" s="1" t="s">
        <v>3011</v>
      </c>
      <c r="AA1331" s="36">
        <v>2.988</v>
      </c>
      <c r="AB1331" s="54">
        <v>34.054400000000001</v>
      </c>
      <c r="AC1331" s="54">
        <v>1.9155599999999999</v>
      </c>
      <c r="AD1331" s="36">
        <v>80.343999999999994</v>
      </c>
    </row>
    <row r="1332" spans="1:30" s="37" customFormat="1" ht="15.75" customHeight="1" x14ac:dyDescent="0.2">
      <c r="A1332" s="26">
        <v>2394</v>
      </c>
      <c r="B1332" s="27" t="s">
        <v>2361</v>
      </c>
      <c r="C1332" s="27" t="s">
        <v>26</v>
      </c>
      <c r="D1332" s="28">
        <v>0.03</v>
      </c>
      <c r="E1332" s="29">
        <v>4.55</v>
      </c>
      <c r="F1332" s="29">
        <v>1.49</v>
      </c>
      <c r="G1332" s="30" t="s">
        <v>39</v>
      </c>
      <c r="H1332" s="27" t="s">
        <v>94</v>
      </c>
      <c r="I1332" s="27" t="s">
        <v>49</v>
      </c>
      <c r="J1332" s="27" t="s">
        <v>72</v>
      </c>
      <c r="K1332" s="27" t="s">
        <v>73</v>
      </c>
      <c r="L1332" s="31" t="s">
        <v>1503</v>
      </c>
      <c r="M1332" s="32">
        <v>0.35</v>
      </c>
      <c r="N1332" s="27" t="s">
        <v>33</v>
      </c>
      <c r="O1332" s="27" t="s">
        <v>34</v>
      </c>
      <c r="P1332" s="27" t="s">
        <v>75</v>
      </c>
      <c r="Q1332" s="27" t="s">
        <v>2363</v>
      </c>
      <c r="R1332" s="33">
        <v>30328</v>
      </c>
      <c r="S1332" s="34">
        <v>42125</v>
      </c>
      <c r="T1332" s="34">
        <v>42125</v>
      </c>
      <c r="U1332" s="29">
        <v>100.38</v>
      </c>
      <c r="V1332" s="26">
        <v>9</v>
      </c>
      <c r="W1332" s="29">
        <v>40.28</v>
      </c>
      <c r="X1332" s="26">
        <v>86949</v>
      </c>
      <c r="Y1332" s="35">
        <v>5.95</v>
      </c>
      <c r="Z1332" s="1" t="s">
        <v>3011</v>
      </c>
      <c r="AA1332" s="36">
        <v>1.2284999999999999</v>
      </c>
      <c r="AB1332" s="54">
        <v>26.182000000000002</v>
      </c>
      <c r="AC1332" s="54">
        <v>1.5664444444444443</v>
      </c>
      <c r="AD1332" s="36">
        <v>-62.818499999999986</v>
      </c>
    </row>
    <row r="1333" spans="1:30" s="37" customFormat="1" ht="15.75" customHeight="1" x14ac:dyDescent="0.2">
      <c r="A1333" s="26">
        <v>1383</v>
      </c>
      <c r="B1333" s="27" t="s">
        <v>2366</v>
      </c>
      <c r="C1333" s="27" t="s">
        <v>116</v>
      </c>
      <c r="D1333" s="28">
        <v>0.03</v>
      </c>
      <c r="E1333" s="29">
        <v>2.23</v>
      </c>
      <c r="F1333" s="29">
        <v>4.57</v>
      </c>
      <c r="G1333" s="30" t="s">
        <v>39</v>
      </c>
      <c r="H1333" s="27" t="s">
        <v>40</v>
      </c>
      <c r="I1333" s="27" t="s">
        <v>29</v>
      </c>
      <c r="J1333" s="27" t="s">
        <v>126</v>
      </c>
      <c r="K1333" s="27" t="s">
        <v>43</v>
      </c>
      <c r="L1333" s="31" t="s">
        <v>2367</v>
      </c>
      <c r="M1333" s="32">
        <v>0.41</v>
      </c>
      <c r="N1333" s="27" t="s">
        <v>33</v>
      </c>
      <c r="O1333" s="27" t="s">
        <v>60</v>
      </c>
      <c r="P1333" s="27" t="s">
        <v>146</v>
      </c>
      <c r="Q1333" s="27" t="s">
        <v>1232</v>
      </c>
      <c r="R1333" s="33">
        <v>84120</v>
      </c>
      <c r="S1333" s="34">
        <v>42125</v>
      </c>
      <c r="T1333" s="34">
        <v>42126</v>
      </c>
      <c r="U1333" s="29">
        <v>-93.25</v>
      </c>
      <c r="V1333" s="26">
        <v>12</v>
      </c>
      <c r="W1333" s="29">
        <v>28.66</v>
      </c>
      <c r="X1333" s="26">
        <v>89406</v>
      </c>
      <c r="Y1333" s="35">
        <v>5.95</v>
      </c>
      <c r="Z1333" s="1" t="s">
        <v>3013</v>
      </c>
      <c r="AA1333" s="36">
        <v>0.80279999999999996</v>
      </c>
      <c r="AB1333" s="54">
        <v>16.909400000000002</v>
      </c>
      <c r="AC1333" s="54">
        <v>0.97921666666666651</v>
      </c>
      <c r="AD1333" s="36">
        <v>116.5372</v>
      </c>
    </row>
    <row r="1334" spans="1:30" s="37" customFormat="1" ht="15.75" customHeight="1" x14ac:dyDescent="0.2">
      <c r="A1334" s="26">
        <v>3139</v>
      </c>
      <c r="B1334" s="27" t="s">
        <v>2371</v>
      </c>
      <c r="C1334" s="27" t="s">
        <v>26</v>
      </c>
      <c r="D1334" s="28">
        <v>0.09</v>
      </c>
      <c r="E1334" s="29">
        <v>280.98</v>
      </c>
      <c r="F1334" s="29">
        <v>57</v>
      </c>
      <c r="G1334" s="30" t="s">
        <v>27</v>
      </c>
      <c r="H1334" s="27" t="s">
        <v>71</v>
      </c>
      <c r="I1334" s="27" t="s">
        <v>29</v>
      </c>
      <c r="J1334" s="27" t="s">
        <v>109</v>
      </c>
      <c r="K1334" s="27" t="s">
        <v>58</v>
      </c>
      <c r="L1334" s="31" t="s">
        <v>862</v>
      </c>
      <c r="M1334" s="32">
        <v>0.78</v>
      </c>
      <c r="N1334" s="27" t="s">
        <v>33</v>
      </c>
      <c r="O1334" s="27" t="s">
        <v>111</v>
      </c>
      <c r="P1334" s="27" t="s">
        <v>397</v>
      </c>
      <c r="Q1334" s="27" t="s">
        <v>2372</v>
      </c>
      <c r="R1334" s="33">
        <v>7016</v>
      </c>
      <c r="S1334" s="34">
        <v>42126</v>
      </c>
      <c r="T1334" s="34">
        <v>42129</v>
      </c>
      <c r="U1334" s="29">
        <v>252.488</v>
      </c>
      <c r="V1334" s="26">
        <v>31</v>
      </c>
      <c r="W1334" s="29">
        <v>7974.21</v>
      </c>
      <c r="X1334" s="26">
        <v>86793</v>
      </c>
      <c r="Y1334" s="35">
        <v>280.89000000000004</v>
      </c>
      <c r="Z1334" s="1" t="s">
        <v>3014</v>
      </c>
      <c r="AA1334" s="36">
        <v>783.93420000000003</v>
      </c>
      <c r="AB1334" s="54">
        <v>1754.3261999999997</v>
      </c>
      <c r="AC1334" s="54">
        <v>200.64141290322581</v>
      </c>
      <c r="AD1334" s="36">
        <v>6880.7878000000001</v>
      </c>
    </row>
    <row r="1335" spans="1:30" s="37" customFormat="1" ht="15.75" customHeight="1" x14ac:dyDescent="0.2">
      <c r="A1335" s="26">
        <v>2578</v>
      </c>
      <c r="B1335" s="27" t="s">
        <v>2378</v>
      </c>
      <c r="C1335" s="27" t="s">
        <v>48</v>
      </c>
      <c r="D1335" s="28">
        <v>0.08</v>
      </c>
      <c r="E1335" s="29">
        <v>105.49</v>
      </c>
      <c r="F1335" s="29">
        <v>41.64</v>
      </c>
      <c r="G1335" s="30" t="s">
        <v>27</v>
      </c>
      <c r="H1335" s="27" t="s">
        <v>71</v>
      </c>
      <c r="I1335" s="27" t="s">
        <v>29</v>
      </c>
      <c r="J1335" s="27" t="s">
        <v>30</v>
      </c>
      <c r="K1335" s="27" t="s">
        <v>31</v>
      </c>
      <c r="L1335" s="31" t="s">
        <v>2380</v>
      </c>
      <c r="M1335" s="32">
        <v>0.75</v>
      </c>
      <c r="N1335" s="27" t="s">
        <v>33</v>
      </c>
      <c r="O1335" s="27" t="s">
        <v>34</v>
      </c>
      <c r="P1335" s="27" t="s">
        <v>164</v>
      </c>
      <c r="Q1335" s="27" t="s">
        <v>2379</v>
      </c>
      <c r="R1335" s="33">
        <v>36801</v>
      </c>
      <c r="S1335" s="34">
        <v>42126</v>
      </c>
      <c r="T1335" s="34">
        <v>42133</v>
      </c>
      <c r="U1335" s="29">
        <v>-36.945999999999998</v>
      </c>
      <c r="V1335" s="26">
        <v>34</v>
      </c>
      <c r="W1335" s="29">
        <v>2694.49</v>
      </c>
      <c r="X1335" s="26">
        <v>88298</v>
      </c>
      <c r="Y1335" s="35">
        <v>30.89</v>
      </c>
      <c r="Z1335" s="1" t="s">
        <v>3011</v>
      </c>
      <c r="AA1335" s="36">
        <v>286.93279999999999</v>
      </c>
      <c r="AB1335" s="54">
        <v>673.62249999999995</v>
      </c>
      <c r="AC1335" s="54">
        <v>59.437279411764706</v>
      </c>
      <c r="AD1335" s="36">
        <v>2402.8631999999998</v>
      </c>
    </row>
    <row r="1336" spans="1:30" s="37" customFormat="1" ht="15.75" customHeight="1" x14ac:dyDescent="0.2">
      <c r="A1336" s="26">
        <v>3367</v>
      </c>
      <c r="B1336" s="27" t="s">
        <v>2373</v>
      </c>
      <c r="C1336" s="27" t="s">
        <v>26</v>
      </c>
      <c r="D1336" s="28">
        <v>0.08</v>
      </c>
      <c r="E1336" s="29">
        <v>30.97</v>
      </c>
      <c r="F1336" s="29">
        <v>4</v>
      </c>
      <c r="G1336" s="30" t="s">
        <v>39</v>
      </c>
      <c r="H1336" s="27" t="s">
        <v>71</v>
      </c>
      <c r="I1336" s="27" t="s">
        <v>41</v>
      </c>
      <c r="J1336" s="27" t="s">
        <v>42</v>
      </c>
      <c r="K1336" s="27" t="s">
        <v>73</v>
      </c>
      <c r="L1336" s="31" t="s">
        <v>2162</v>
      </c>
      <c r="M1336" s="32">
        <v>0.74</v>
      </c>
      <c r="N1336" s="27" t="s">
        <v>33</v>
      </c>
      <c r="O1336" s="27" t="s">
        <v>111</v>
      </c>
      <c r="P1336" s="27" t="s">
        <v>317</v>
      </c>
      <c r="Q1336" s="27" t="s">
        <v>2374</v>
      </c>
      <c r="R1336" s="33">
        <v>43221</v>
      </c>
      <c r="S1336" s="34">
        <v>42126</v>
      </c>
      <c r="T1336" s="34">
        <v>42127</v>
      </c>
      <c r="U1336" s="29">
        <v>10.68</v>
      </c>
      <c r="V1336" s="26">
        <v>26</v>
      </c>
      <c r="W1336" s="29">
        <v>758.97</v>
      </c>
      <c r="X1336" s="26">
        <v>90502</v>
      </c>
      <c r="Y1336" s="35">
        <v>4.03</v>
      </c>
      <c r="Z1336" s="1" t="s">
        <v>3014</v>
      </c>
      <c r="AA1336" s="36">
        <v>64.417599999999993</v>
      </c>
      <c r="AB1336" s="54">
        <v>197.3322</v>
      </c>
      <c r="AC1336" s="54">
        <v>21.601453846153845</v>
      </c>
      <c r="AD1336" s="36">
        <v>679.87239999999997</v>
      </c>
    </row>
    <row r="1337" spans="1:30" s="37" customFormat="1" ht="15.75" customHeight="1" x14ac:dyDescent="0.2">
      <c r="A1337" s="26">
        <v>408</v>
      </c>
      <c r="B1337" s="27" t="s">
        <v>2376</v>
      </c>
      <c r="C1337" s="27" t="s">
        <v>48</v>
      </c>
      <c r="D1337" s="28">
        <v>7.0000000000000007E-2</v>
      </c>
      <c r="E1337" s="29">
        <v>29.17</v>
      </c>
      <c r="F1337" s="29">
        <v>6.27</v>
      </c>
      <c r="G1337" s="30" t="s">
        <v>39</v>
      </c>
      <c r="H1337" s="27" t="s">
        <v>94</v>
      </c>
      <c r="I1337" s="27" t="s">
        <v>49</v>
      </c>
      <c r="J1337" s="27" t="s">
        <v>72</v>
      </c>
      <c r="K1337" s="27" t="s">
        <v>73</v>
      </c>
      <c r="L1337" s="31" t="s">
        <v>74</v>
      </c>
      <c r="M1337" s="32">
        <v>0.37</v>
      </c>
      <c r="N1337" s="27" t="s">
        <v>33</v>
      </c>
      <c r="O1337" s="27" t="s">
        <v>53</v>
      </c>
      <c r="P1337" s="27" t="s">
        <v>187</v>
      </c>
      <c r="Q1337" s="27" t="s">
        <v>2377</v>
      </c>
      <c r="R1337" s="33">
        <v>78589</v>
      </c>
      <c r="S1337" s="34">
        <v>42126</v>
      </c>
      <c r="T1337" s="34">
        <v>42130</v>
      </c>
      <c r="U1337" s="29">
        <v>236.2371</v>
      </c>
      <c r="V1337" s="26">
        <v>14</v>
      </c>
      <c r="W1337" s="29">
        <v>400.47</v>
      </c>
      <c r="X1337" s="26">
        <v>89639</v>
      </c>
      <c r="Y1337" s="35">
        <v>29.1</v>
      </c>
      <c r="Z1337" s="1" t="s">
        <v>3012</v>
      </c>
      <c r="AA1337" s="36">
        <v>28.586600000000008</v>
      </c>
      <c r="AB1337" s="54">
        <v>252.29610000000002</v>
      </c>
      <c r="AC1337" s="54">
        <v>10.58385</v>
      </c>
      <c r="AD1337" s="36">
        <v>129.37630000000001</v>
      </c>
    </row>
    <row r="1338" spans="1:30" s="37" customFormat="1" ht="15.75" customHeight="1" x14ac:dyDescent="0.2">
      <c r="A1338" s="26">
        <v>2426</v>
      </c>
      <c r="B1338" s="27" t="s">
        <v>1650</v>
      </c>
      <c r="C1338" s="27" t="s">
        <v>48</v>
      </c>
      <c r="D1338" s="28">
        <v>0.08</v>
      </c>
      <c r="E1338" s="29">
        <v>4.4800000000000004</v>
      </c>
      <c r="F1338" s="29">
        <v>49</v>
      </c>
      <c r="G1338" s="30" t="s">
        <v>39</v>
      </c>
      <c r="H1338" s="27" t="s">
        <v>3095</v>
      </c>
      <c r="I1338" s="27" t="s">
        <v>49</v>
      </c>
      <c r="J1338" s="27" t="s">
        <v>95</v>
      </c>
      <c r="K1338" s="27" t="s">
        <v>65</v>
      </c>
      <c r="L1338" s="31" t="s">
        <v>468</v>
      </c>
      <c r="M1338" s="32">
        <v>0.6</v>
      </c>
      <c r="N1338" s="27" t="s">
        <v>33</v>
      </c>
      <c r="O1338" s="27" t="s">
        <v>53</v>
      </c>
      <c r="P1338" s="27" t="s">
        <v>187</v>
      </c>
      <c r="Q1338" s="27" t="s">
        <v>1652</v>
      </c>
      <c r="R1338" s="33">
        <v>75061</v>
      </c>
      <c r="S1338" s="34">
        <v>42126</v>
      </c>
      <c r="T1338" s="34">
        <v>42126</v>
      </c>
      <c r="U1338" s="29">
        <v>139.58009999999999</v>
      </c>
      <c r="V1338" s="26">
        <v>37</v>
      </c>
      <c r="W1338" s="29">
        <v>202.29</v>
      </c>
      <c r="X1338" s="26">
        <v>90861</v>
      </c>
      <c r="Y1338" s="35">
        <v>4.4000000000000004</v>
      </c>
      <c r="Z1338" s="1" t="s">
        <v>3012</v>
      </c>
      <c r="AA1338" s="36">
        <v>13.260800000000001</v>
      </c>
      <c r="AB1338" s="54">
        <v>80.915999999999997</v>
      </c>
      <c r="AC1338" s="54">
        <v>3.2803783783783782</v>
      </c>
      <c r="AD1338" s="36">
        <v>0.4491000000000156</v>
      </c>
    </row>
    <row r="1339" spans="1:30" s="37" customFormat="1" ht="15.75" customHeight="1" x14ac:dyDescent="0.2">
      <c r="A1339" s="26">
        <v>2426</v>
      </c>
      <c r="B1339" s="27" t="s">
        <v>1650</v>
      </c>
      <c r="C1339" s="27" t="s">
        <v>48</v>
      </c>
      <c r="D1339" s="28">
        <v>0</v>
      </c>
      <c r="E1339" s="29">
        <v>17.670000000000002</v>
      </c>
      <c r="F1339" s="29">
        <v>8.99</v>
      </c>
      <c r="G1339" s="30" t="s">
        <v>39</v>
      </c>
      <c r="H1339" s="27" t="s">
        <v>3095</v>
      </c>
      <c r="I1339" s="27" t="s">
        <v>29</v>
      </c>
      <c r="J1339" s="27" t="s">
        <v>126</v>
      </c>
      <c r="K1339" s="27" t="s">
        <v>43</v>
      </c>
      <c r="L1339" s="31" t="s">
        <v>2056</v>
      </c>
      <c r="M1339" s="32">
        <v>0.47</v>
      </c>
      <c r="N1339" s="27" t="s">
        <v>33</v>
      </c>
      <c r="O1339" s="27" t="s">
        <v>53</v>
      </c>
      <c r="P1339" s="27" t="s">
        <v>187</v>
      </c>
      <c r="Q1339" s="27" t="s">
        <v>1652</v>
      </c>
      <c r="R1339" s="33">
        <v>75061</v>
      </c>
      <c r="S1339" s="34">
        <v>42126</v>
      </c>
      <c r="T1339" s="34">
        <v>42133</v>
      </c>
      <c r="U1339" s="29">
        <v>109.67</v>
      </c>
      <c r="V1339" s="26">
        <v>9</v>
      </c>
      <c r="W1339" s="29">
        <v>168.71</v>
      </c>
      <c r="X1339" s="26">
        <v>90861</v>
      </c>
      <c r="Y1339" s="35">
        <v>17.670000000000002</v>
      </c>
      <c r="Z1339" s="1" t="s">
        <v>3012</v>
      </c>
      <c r="AA1339" s="36">
        <v>0</v>
      </c>
      <c r="AB1339" s="54">
        <v>89.416300000000007</v>
      </c>
      <c r="AC1339" s="54">
        <v>8.8104111111111099</v>
      </c>
      <c r="AD1339" s="36">
        <v>50.050000000000011</v>
      </c>
    </row>
    <row r="1340" spans="1:30" s="37" customFormat="1" ht="15.75" customHeight="1" x14ac:dyDescent="0.2">
      <c r="A1340" s="26">
        <v>2578</v>
      </c>
      <c r="B1340" s="27" t="s">
        <v>2378</v>
      </c>
      <c r="C1340" s="27" t="s">
        <v>48</v>
      </c>
      <c r="D1340" s="28">
        <v>0.01</v>
      </c>
      <c r="E1340" s="29">
        <v>3.58</v>
      </c>
      <c r="F1340" s="29">
        <v>1.63</v>
      </c>
      <c r="G1340" s="30" t="s">
        <v>39</v>
      </c>
      <c r="H1340" s="27" t="s">
        <v>71</v>
      </c>
      <c r="I1340" s="27" t="s">
        <v>49</v>
      </c>
      <c r="J1340" s="27" t="s">
        <v>176</v>
      </c>
      <c r="K1340" s="27" t="s">
        <v>51</v>
      </c>
      <c r="L1340" s="31" t="s">
        <v>2221</v>
      </c>
      <c r="M1340" s="32">
        <v>0.36</v>
      </c>
      <c r="N1340" s="27" t="s">
        <v>33</v>
      </c>
      <c r="O1340" s="27" t="s">
        <v>34</v>
      </c>
      <c r="P1340" s="27" t="s">
        <v>164</v>
      </c>
      <c r="Q1340" s="27" t="s">
        <v>2379</v>
      </c>
      <c r="R1340" s="33">
        <v>36801</v>
      </c>
      <c r="S1340" s="34">
        <v>42126</v>
      </c>
      <c r="T1340" s="34">
        <v>42130</v>
      </c>
      <c r="U1340" s="29">
        <v>-128.85599999999999</v>
      </c>
      <c r="V1340" s="26">
        <v>26</v>
      </c>
      <c r="W1340" s="29">
        <v>93.57</v>
      </c>
      <c r="X1340" s="26">
        <v>88298</v>
      </c>
      <c r="Y1340" s="35">
        <v>8.56</v>
      </c>
      <c r="Z1340" s="1" t="s">
        <v>3011</v>
      </c>
      <c r="AA1340" s="36">
        <v>0.93079999999999996</v>
      </c>
      <c r="AB1340" s="54">
        <v>59.884799999999998</v>
      </c>
      <c r="AC1340" s="54">
        <v>1.2955846153846153</v>
      </c>
      <c r="AD1340" s="36">
        <v>219.86519999999999</v>
      </c>
    </row>
    <row r="1341" spans="1:30" s="37" customFormat="1" ht="15.75" customHeight="1" x14ac:dyDescent="0.2">
      <c r="A1341" s="26">
        <v>3367</v>
      </c>
      <c r="B1341" s="27" t="s">
        <v>2373</v>
      </c>
      <c r="C1341" s="27" t="s">
        <v>26</v>
      </c>
      <c r="D1341" s="28">
        <v>0.1</v>
      </c>
      <c r="E1341" s="29">
        <v>4.13</v>
      </c>
      <c r="F1341" s="29">
        <v>0.5</v>
      </c>
      <c r="G1341" s="30" t="s">
        <v>87</v>
      </c>
      <c r="H1341" s="27" t="s">
        <v>71</v>
      </c>
      <c r="I1341" s="27" t="s">
        <v>49</v>
      </c>
      <c r="J1341" s="27" t="s">
        <v>152</v>
      </c>
      <c r="K1341" s="27" t="s">
        <v>73</v>
      </c>
      <c r="L1341" s="31" t="s">
        <v>2375</v>
      </c>
      <c r="M1341" s="32">
        <v>0.39</v>
      </c>
      <c r="N1341" s="27" t="s">
        <v>33</v>
      </c>
      <c r="O1341" s="27" t="s">
        <v>111</v>
      </c>
      <c r="P1341" s="27" t="s">
        <v>317</v>
      </c>
      <c r="Q1341" s="27" t="s">
        <v>2374</v>
      </c>
      <c r="R1341" s="33">
        <v>43221</v>
      </c>
      <c r="S1341" s="34">
        <v>42126</v>
      </c>
      <c r="T1341" s="34">
        <v>42128</v>
      </c>
      <c r="U1341" s="29">
        <v>58.263599999999997</v>
      </c>
      <c r="V1341" s="26">
        <v>18</v>
      </c>
      <c r="W1341" s="29">
        <v>84.44</v>
      </c>
      <c r="X1341" s="26">
        <v>90502</v>
      </c>
      <c r="Y1341" s="35">
        <v>3.5700000000000003</v>
      </c>
      <c r="Z1341" s="1" t="s">
        <v>3014</v>
      </c>
      <c r="AA1341" s="36">
        <v>7.4340000000000011</v>
      </c>
      <c r="AB1341" s="54">
        <v>51.508399999999995</v>
      </c>
      <c r="AC1341" s="54">
        <v>1.8295333333333332</v>
      </c>
      <c r="AD1341" s="36">
        <v>18.242400000000004</v>
      </c>
    </row>
    <row r="1342" spans="1:30" s="37" customFormat="1" ht="15.75" customHeight="1" x14ac:dyDescent="0.2">
      <c r="A1342" s="26">
        <v>27</v>
      </c>
      <c r="B1342" s="27" t="s">
        <v>2383</v>
      </c>
      <c r="C1342" s="27" t="s">
        <v>3094</v>
      </c>
      <c r="D1342" s="28">
        <v>0.04</v>
      </c>
      <c r="E1342" s="29">
        <v>4.1399999999999997</v>
      </c>
      <c r="F1342" s="29">
        <v>6.6</v>
      </c>
      <c r="G1342" s="30" t="s">
        <v>39</v>
      </c>
      <c r="H1342" s="27" t="s">
        <v>94</v>
      </c>
      <c r="I1342" s="27" t="s">
        <v>29</v>
      </c>
      <c r="J1342" s="27" t="s">
        <v>126</v>
      </c>
      <c r="K1342" s="27" t="s">
        <v>73</v>
      </c>
      <c r="L1342" s="31" t="s">
        <v>412</v>
      </c>
      <c r="M1342" s="32">
        <v>0.49</v>
      </c>
      <c r="N1342" s="27" t="s">
        <v>33</v>
      </c>
      <c r="O1342" s="27" t="s">
        <v>60</v>
      </c>
      <c r="P1342" s="27" t="s">
        <v>90</v>
      </c>
      <c r="Q1342" s="27" t="s">
        <v>1963</v>
      </c>
      <c r="R1342" s="33">
        <v>90712</v>
      </c>
      <c r="S1342" s="34">
        <v>42126</v>
      </c>
      <c r="T1342" s="34">
        <v>42128</v>
      </c>
      <c r="U1342" s="29">
        <v>8.8940000000000001</v>
      </c>
      <c r="V1342" s="26">
        <v>12</v>
      </c>
      <c r="W1342" s="29">
        <v>54.78</v>
      </c>
      <c r="X1342" s="26">
        <v>87652</v>
      </c>
      <c r="Y1342" s="35">
        <v>105.41</v>
      </c>
      <c r="Z1342" s="1" t="s">
        <v>3013</v>
      </c>
      <c r="AA1342" s="36">
        <v>1.9872000000000001</v>
      </c>
      <c r="AB1342" s="54">
        <v>27.937799999999999</v>
      </c>
      <c r="AC1342" s="54">
        <v>2.23685</v>
      </c>
      <c r="AD1342" s="36">
        <v>37.2988</v>
      </c>
    </row>
    <row r="1343" spans="1:30" s="37" customFormat="1" ht="15.75" customHeight="1" x14ac:dyDescent="0.2">
      <c r="A1343" s="26">
        <v>2531</v>
      </c>
      <c r="B1343" s="27" t="s">
        <v>2381</v>
      </c>
      <c r="C1343" s="27" t="s">
        <v>116</v>
      </c>
      <c r="D1343" s="28">
        <v>0.08</v>
      </c>
      <c r="E1343" s="29">
        <v>4</v>
      </c>
      <c r="F1343" s="29">
        <v>1.3</v>
      </c>
      <c r="G1343" s="30" t="s">
        <v>39</v>
      </c>
      <c r="H1343" s="27" t="s">
        <v>3095</v>
      </c>
      <c r="I1343" s="27" t="s">
        <v>49</v>
      </c>
      <c r="J1343" s="27" t="s">
        <v>88</v>
      </c>
      <c r="K1343" s="27" t="s">
        <v>51</v>
      </c>
      <c r="L1343" s="31" t="s">
        <v>371</v>
      </c>
      <c r="M1343" s="32">
        <v>0.37</v>
      </c>
      <c r="N1343" s="27" t="s">
        <v>33</v>
      </c>
      <c r="O1343" s="27" t="s">
        <v>60</v>
      </c>
      <c r="P1343" s="27" t="s">
        <v>90</v>
      </c>
      <c r="Q1343" s="27" t="s">
        <v>2382</v>
      </c>
      <c r="R1343" s="33">
        <v>93422</v>
      </c>
      <c r="S1343" s="34">
        <v>42126</v>
      </c>
      <c r="T1343" s="34">
        <v>42128</v>
      </c>
      <c r="U1343" s="29">
        <v>28.4</v>
      </c>
      <c r="V1343" s="26">
        <v>14</v>
      </c>
      <c r="W1343" s="29">
        <v>51.99</v>
      </c>
      <c r="X1343" s="26">
        <v>87452</v>
      </c>
      <c r="Y1343" s="35">
        <v>3.92</v>
      </c>
      <c r="Z1343" s="1" t="s">
        <v>3013</v>
      </c>
      <c r="AA1343" s="36">
        <v>4.4800000000000004</v>
      </c>
      <c r="AB1343" s="54">
        <v>32.753700000000002</v>
      </c>
      <c r="AC1343" s="54">
        <v>1.3740214285714285</v>
      </c>
      <c r="AD1343" s="36">
        <v>17.810000000000002</v>
      </c>
    </row>
    <row r="1344" spans="1:30" s="37" customFormat="1" ht="15.75" customHeight="1" x14ac:dyDescent="0.2">
      <c r="A1344" s="26">
        <v>2578</v>
      </c>
      <c r="B1344" s="27" t="s">
        <v>2378</v>
      </c>
      <c r="C1344" s="27" t="s">
        <v>48</v>
      </c>
      <c r="D1344" s="28">
        <v>0.04</v>
      </c>
      <c r="E1344" s="29">
        <v>8.6</v>
      </c>
      <c r="F1344" s="29">
        <v>6.19</v>
      </c>
      <c r="G1344" s="30" t="s">
        <v>39</v>
      </c>
      <c r="H1344" s="27" t="s">
        <v>71</v>
      </c>
      <c r="I1344" s="27" t="s">
        <v>49</v>
      </c>
      <c r="J1344" s="27" t="s">
        <v>72</v>
      </c>
      <c r="K1344" s="27" t="s">
        <v>73</v>
      </c>
      <c r="L1344" s="31" t="s">
        <v>532</v>
      </c>
      <c r="M1344" s="32">
        <v>0.38</v>
      </c>
      <c r="N1344" s="27" t="s">
        <v>33</v>
      </c>
      <c r="O1344" s="27" t="s">
        <v>34</v>
      </c>
      <c r="P1344" s="27" t="s">
        <v>164</v>
      </c>
      <c r="Q1344" s="27" t="s">
        <v>2379</v>
      </c>
      <c r="R1344" s="33">
        <v>36801</v>
      </c>
      <c r="S1344" s="34">
        <v>42126</v>
      </c>
      <c r="T1344" s="34">
        <v>42128</v>
      </c>
      <c r="U1344" s="29">
        <v>309.71159999999998</v>
      </c>
      <c r="V1344" s="26">
        <v>5</v>
      </c>
      <c r="W1344" s="29">
        <v>46.85</v>
      </c>
      <c r="X1344" s="26">
        <v>88298</v>
      </c>
      <c r="Y1344" s="35">
        <v>4.0999999999999996</v>
      </c>
      <c r="Z1344" s="1" t="s">
        <v>3011</v>
      </c>
      <c r="AA1344" s="36">
        <v>1.7199999999999998</v>
      </c>
      <c r="AB1344" s="54">
        <v>29.047000000000001</v>
      </c>
      <c r="AC1344" s="54">
        <v>3.5606000000000004</v>
      </c>
      <c r="AD1344" s="36">
        <v>-270.77159999999998</v>
      </c>
    </row>
    <row r="1345" spans="1:30" s="37" customFormat="1" ht="15.75" customHeight="1" x14ac:dyDescent="0.2">
      <c r="A1345" s="26">
        <v>94</v>
      </c>
      <c r="B1345" s="27" t="s">
        <v>2390</v>
      </c>
      <c r="C1345" s="27" t="s">
        <v>3094</v>
      </c>
      <c r="D1345" s="28">
        <v>0.04</v>
      </c>
      <c r="E1345" s="29">
        <v>160.97999999999999</v>
      </c>
      <c r="F1345" s="29">
        <v>30</v>
      </c>
      <c r="G1345" s="30" t="s">
        <v>27</v>
      </c>
      <c r="H1345" s="27" t="s">
        <v>71</v>
      </c>
      <c r="I1345" s="27" t="s">
        <v>29</v>
      </c>
      <c r="J1345" s="27" t="s">
        <v>109</v>
      </c>
      <c r="K1345" s="27" t="s">
        <v>58</v>
      </c>
      <c r="L1345" s="31" t="s">
        <v>892</v>
      </c>
      <c r="M1345" s="32">
        <v>0.62</v>
      </c>
      <c r="N1345" s="27" t="s">
        <v>33</v>
      </c>
      <c r="O1345" s="27" t="s">
        <v>53</v>
      </c>
      <c r="P1345" s="27" t="s">
        <v>103</v>
      </c>
      <c r="Q1345" s="27" t="s">
        <v>533</v>
      </c>
      <c r="R1345" s="33">
        <v>60601</v>
      </c>
      <c r="S1345" s="34">
        <v>42127</v>
      </c>
      <c r="T1345" s="34">
        <v>42129</v>
      </c>
      <c r="U1345" s="29">
        <v>116.1</v>
      </c>
      <c r="V1345" s="26">
        <v>37</v>
      </c>
      <c r="W1345" s="29">
        <v>6276.34</v>
      </c>
      <c r="X1345" s="26">
        <v>44231</v>
      </c>
      <c r="Y1345" s="35">
        <v>2.61</v>
      </c>
      <c r="Z1345" s="1" t="s">
        <v>3012</v>
      </c>
      <c r="AA1345" s="36">
        <v>238.25039999999998</v>
      </c>
      <c r="AB1345" s="54">
        <v>2385.0092</v>
      </c>
      <c r="AC1345" s="54">
        <v>105.17110270270271</v>
      </c>
      <c r="AD1345" s="36">
        <v>5891.9895999999999</v>
      </c>
    </row>
    <row r="1346" spans="1:30" s="37" customFormat="1" ht="15.75" customHeight="1" x14ac:dyDescent="0.2">
      <c r="A1346" s="26">
        <v>2157</v>
      </c>
      <c r="B1346" s="27" t="s">
        <v>1681</v>
      </c>
      <c r="C1346" s="27" t="s">
        <v>38</v>
      </c>
      <c r="D1346" s="28">
        <v>0.05</v>
      </c>
      <c r="E1346" s="29">
        <v>297.48</v>
      </c>
      <c r="F1346" s="29">
        <v>18.059999999999999</v>
      </c>
      <c r="G1346" s="30" t="s">
        <v>27</v>
      </c>
      <c r="H1346" s="27" t="s">
        <v>71</v>
      </c>
      <c r="I1346" s="27" t="s">
        <v>41</v>
      </c>
      <c r="J1346" s="27" t="s">
        <v>57</v>
      </c>
      <c r="K1346" s="27" t="s">
        <v>58</v>
      </c>
      <c r="L1346" s="31" t="s">
        <v>387</v>
      </c>
      <c r="M1346" s="32">
        <v>0.6</v>
      </c>
      <c r="N1346" s="27" t="s">
        <v>33</v>
      </c>
      <c r="O1346" s="27" t="s">
        <v>53</v>
      </c>
      <c r="P1346" s="27" t="s">
        <v>289</v>
      </c>
      <c r="Q1346" s="27" t="s">
        <v>1683</v>
      </c>
      <c r="R1346" s="33">
        <v>48093</v>
      </c>
      <c r="S1346" s="34">
        <v>42127</v>
      </c>
      <c r="T1346" s="34">
        <v>42128</v>
      </c>
      <c r="U1346" s="29">
        <v>709.85199999999998</v>
      </c>
      <c r="V1346" s="26">
        <v>14</v>
      </c>
      <c r="W1346" s="29">
        <v>4075.18</v>
      </c>
      <c r="X1346" s="26">
        <v>90386</v>
      </c>
      <c r="Y1346" s="35">
        <v>25.34</v>
      </c>
      <c r="Z1346" s="1" t="s">
        <v>3012</v>
      </c>
      <c r="AA1346" s="36">
        <v>208.23600000000005</v>
      </c>
      <c r="AB1346" s="54">
        <v>1630.0720000000001</v>
      </c>
      <c r="AC1346" s="54">
        <v>174.65057142857142</v>
      </c>
      <c r="AD1346" s="36">
        <v>3139.0320000000002</v>
      </c>
    </row>
    <row r="1347" spans="1:30" s="37" customFormat="1" ht="15.75" customHeight="1" x14ac:dyDescent="0.2">
      <c r="A1347" s="26">
        <v>94</v>
      </c>
      <c r="B1347" s="27" t="s">
        <v>2390</v>
      </c>
      <c r="C1347" s="27" t="s">
        <v>3094</v>
      </c>
      <c r="D1347" s="28">
        <v>0.01</v>
      </c>
      <c r="E1347" s="29">
        <v>17.98</v>
      </c>
      <c r="F1347" s="29">
        <v>4</v>
      </c>
      <c r="G1347" s="30" t="s">
        <v>39</v>
      </c>
      <c r="H1347" s="27" t="s">
        <v>71</v>
      </c>
      <c r="I1347" s="27" t="s">
        <v>41</v>
      </c>
      <c r="J1347" s="27" t="s">
        <v>42</v>
      </c>
      <c r="K1347" s="27" t="s">
        <v>73</v>
      </c>
      <c r="L1347" s="31" t="s">
        <v>1657</v>
      </c>
      <c r="M1347" s="32">
        <v>0.79</v>
      </c>
      <c r="N1347" s="27" t="s">
        <v>33</v>
      </c>
      <c r="O1347" s="27" t="s">
        <v>53</v>
      </c>
      <c r="P1347" s="27" t="s">
        <v>103</v>
      </c>
      <c r="Q1347" s="27" t="s">
        <v>533</v>
      </c>
      <c r="R1347" s="33">
        <v>60601</v>
      </c>
      <c r="S1347" s="34">
        <v>42127</v>
      </c>
      <c r="T1347" s="34">
        <v>42129</v>
      </c>
      <c r="U1347" s="29">
        <v>-87.96</v>
      </c>
      <c r="V1347" s="26">
        <v>146</v>
      </c>
      <c r="W1347" s="29">
        <v>2664.4</v>
      </c>
      <c r="X1347" s="26">
        <v>44231</v>
      </c>
      <c r="Y1347" s="35">
        <v>30.86</v>
      </c>
      <c r="Z1347" s="1" t="s">
        <v>3012</v>
      </c>
      <c r="AA1347" s="36">
        <v>26.250800000000002</v>
      </c>
      <c r="AB1347" s="54">
        <v>559.52399999999989</v>
      </c>
      <c r="AC1347" s="54">
        <v>14.41695890410959</v>
      </c>
      <c r="AD1347" s="36">
        <v>2722.1091999999999</v>
      </c>
    </row>
    <row r="1348" spans="1:30" s="37" customFormat="1" ht="15.75" customHeight="1" x14ac:dyDescent="0.2">
      <c r="A1348" s="26">
        <v>97</v>
      </c>
      <c r="B1348" s="27" t="s">
        <v>2391</v>
      </c>
      <c r="C1348" s="27" t="s">
        <v>3094</v>
      </c>
      <c r="D1348" s="28">
        <v>0.06</v>
      </c>
      <c r="E1348" s="29">
        <v>115.99</v>
      </c>
      <c r="F1348" s="29">
        <v>8.99</v>
      </c>
      <c r="G1348" s="30" t="s">
        <v>39</v>
      </c>
      <c r="H1348" s="27" t="s">
        <v>71</v>
      </c>
      <c r="I1348" s="27" t="s">
        <v>41</v>
      </c>
      <c r="J1348" s="27" t="s">
        <v>135</v>
      </c>
      <c r="K1348" s="27" t="s">
        <v>73</v>
      </c>
      <c r="L1348" s="31" t="s">
        <v>2109</v>
      </c>
      <c r="M1348" s="32">
        <v>0.57999999999999996</v>
      </c>
      <c r="N1348" s="27" t="s">
        <v>33</v>
      </c>
      <c r="O1348" s="27" t="s">
        <v>53</v>
      </c>
      <c r="P1348" s="27" t="s">
        <v>537</v>
      </c>
      <c r="Q1348" s="27" t="s">
        <v>2392</v>
      </c>
      <c r="R1348" s="33">
        <v>66502</v>
      </c>
      <c r="S1348" s="34">
        <v>42127</v>
      </c>
      <c r="T1348" s="34">
        <v>42128</v>
      </c>
      <c r="U1348" s="29">
        <v>685.6146</v>
      </c>
      <c r="V1348" s="26">
        <v>20</v>
      </c>
      <c r="W1348" s="29">
        <v>1952.56</v>
      </c>
      <c r="X1348" s="26">
        <v>87306</v>
      </c>
      <c r="Y1348" s="35">
        <v>297.43</v>
      </c>
      <c r="Z1348" s="1" t="s">
        <v>3012</v>
      </c>
      <c r="AA1348" s="36">
        <v>139.18799999999999</v>
      </c>
      <c r="AB1348" s="54">
        <v>820.07520000000011</v>
      </c>
      <c r="AC1348" s="54">
        <v>56.624239999999993</v>
      </c>
      <c r="AD1348" s="36">
        <v>1118.7674</v>
      </c>
    </row>
    <row r="1349" spans="1:30" s="37" customFormat="1" ht="15.75" customHeight="1" x14ac:dyDescent="0.2">
      <c r="A1349" s="26">
        <v>2157</v>
      </c>
      <c r="B1349" s="27" t="s">
        <v>1681</v>
      </c>
      <c r="C1349" s="27" t="s">
        <v>38</v>
      </c>
      <c r="D1349" s="28">
        <v>7.0000000000000007E-2</v>
      </c>
      <c r="E1349" s="29">
        <v>296.18</v>
      </c>
      <c r="F1349" s="29">
        <v>54.12</v>
      </c>
      <c r="G1349" s="30" t="s">
        <v>27</v>
      </c>
      <c r="H1349" s="27" t="s">
        <v>71</v>
      </c>
      <c r="I1349" s="27" t="s">
        <v>29</v>
      </c>
      <c r="J1349" s="27" t="s">
        <v>30</v>
      </c>
      <c r="K1349" s="27" t="s">
        <v>31</v>
      </c>
      <c r="L1349" s="31" t="s">
        <v>1079</v>
      </c>
      <c r="M1349" s="32">
        <v>0.76</v>
      </c>
      <c r="N1349" s="27" t="s">
        <v>33</v>
      </c>
      <c r="O1349" s="27" t="s">
        <v>53</v>
      </c>
      <c r="P1349" s="27" t="s">
        <v>289</v>
      </c>
      <c r="Q1349" s="27" t="s">
        <v>1683</v>
      </c>
      <c r="R1349" s="33">
        <v>48093</v>
      </c>
      <c r="S1349" s="34">
        <v>42127</v>
      </c>
      <c r="T1349" s="34">
        <v>42129</v>
      </c>
      <c r="U1349" s="29">
        <v>80.809200000000004</v>
      </c>
      <c r="V1349" s="26">
        <v>6</v>
      </c>
      <c r="W1349" s="29">
        <v>1798.23</v>
      </c>
      <c r="X1349" s="26">
        <v>90386</v>
      </c>
      <c r="Y1349" s="35">
        <v>296.11</v>
      </c>
      <c r="Z1349" s="1" t="s">
        <v>3012</v>
      </c>
      <c r="AA1349" s="36">
        <v>124.3956</v>
      </c>
      <c r="AB1349" s="54">
        <v>431.5752</v>
      </c>
      <c r="AC1349" s="54">
        <v>227.7758</v>
      </c>
      <c r="AD1349" s="36">
        <v>1538.9052000000001</v>
      </c>
    </row>
    <row r="1350" spans="1:30" s="37" customFormat="1" ht="15.75" customHeight="1" x14ac:dyDescent="0.2">
      <c r="A1350" s="26">
        <v>97</v>
      </c>
      <c r="B1350" s="27" t="s">
        <v>2391</v>
      </c>
      <c r="C1350" s="27" t="s">
        <v>3094</v>
      </c>
      <c r="D1350" s="28">
        <v>0.04</v>
      </c>
      <c r="E1350" s="29">
        <v>160.97999999999999</v>
      </c>
      <c r="F1350" s="29">
        <v>30</v>
      </c>
      <c r="G1350" s="30" t="s">
        <v>27</v>
      </c>
      <c r="H1350" s="27" t="s">
        <v>71</v>
      </c>
      <c r="I1350" s="27" t="s">
        <v>29</v>
      </c>
      <c r="J1350" s="27" t="s">
        <v>109</v>
      </c>
      <c r="K1350" s="27" t="s">
        <v>58</v>
      </c>
      <c r="L1350" s="31" t="s">
        <v>892</v>
      </c>
      <c r="M1350" s="32">
        <v>0.62</v>
      </c>
      <c r="N1350" s="27" t="s">
        <v>33</v>
      </c>
      <c r="O1350" s="27" t="s">
        <v>53</v>
      </c>
      <c r="P1350" s="27" t="s">
        <v>537</v>
      </c>
      <c r="Q1350" s="27" t="s">
        <v>2392</v>
      </c>
      <c r="R1350" s="33">
        <v>66502</v>
      </c>
      <c r="S1350" s="34">
        <v>42127</v>
      </c>
      <c r="T1350" s="34">
        <v>42129</v>
      </c>
      <c r="U1350" s="29">
        <v>255.42</v>
      </c>
      <c r="V1350" s="26">
        <v>9</v>
      </c>
      <c r="W1350" s="29">
        <v>1526.68</v>
      </c>
      <c r="X1350" s="26">
        <v>87306</v>
      </c>
      <c r="Y1350" s="35">
        <v>12.209999999999999</v>
      </c>
      <c r="Z1350" s="1" t="s">
        <v>3012</v>
      </c>
      <c r="AA1350" s="36">
        <v>57.952799999999996</v>
      </c>
      <c r="AB1350" s="54">
        <v>580.13840000000005</v>
      </c>
      <c r="AC1350" s="54">
        <v>105.1712888888889</v>
      </c>
      <c r="AD1350" s="36">
        <v>1183.3072000000002</v>
      </c>
    </row>
    <row r="1351" spans="1:30" s="37" customFormat="1" ht="15.75" customHeight="1" x14ac:dyDescent="0.2">
      <c r="A1351" s="26">
        <v>3386</v>
      </c>
      <c r="B1351" s="27" t="s">
        <v>2384</v>
      </c>
      <c r="C1351" s="27" t="s">
        <v>26</v>
      </c>
      <c r="D1351" s="28">
        <v>0.04</v>
      </c>
      <c r="E1351" s="29">
        <v>25.38</v>
      </c>
      <c r="F1351" s="29">
        <v>8.99</v>
      </c>
      <c r="G1351" s="30" t="s">
        <v>87</v>
      </c>
      <c r="H1351" s="27" t="s">
        <v>94</v>
      </c>
      <c r="I1351" s="27" t="s">
        <v>29</v>
      </c>
      <c r="J1351" s="27" t="s">
        <v>126</v>
      </c>
      <c r="K1351" s="27" t="s">
        <v>43</v>
      </c>
      <c r="L1351" s="31" t="s">
        <v>2385</v>
      </c>
      <c r="M1351" s="32">
        <v>0.5</v>
      </c>
      <c r="N1351" s="27" t="s">
        <v>33</v>
      </c>
      <c r="O1351" s="27" t="s">
        <v>111</v>
      </c>
      <c r="P1351" s="27" t="s">
        <v>317</v>
      </c>
      <c r="Q1351" s="27" t="s">
        <v>2198</v>
      </c>
      <c r="R1351" s="33">
        <v>43402</v>
      </c>
      <c r="S1351" s="34">
        <v>42127</v>
      </c>
      <c r="T1351" s="34">
        <v>42130</v>
      </c>
      <c r="U1351" s="29">
        <v>152.482</v>
      </c>
      <c r="V1351" s="26">
        <v>35</v>
      </c>
      <c r="W1351" s="29">
        <v>861.3</v>
      </c>
      <c r="X1351" s="26">
        <v>88746</v>
      </c>
      <c r="Y1351" s="35">
        <v>30.89</v>
      </c>
      <c r="Z1351" s="1" t="s">
        <v>3014</v>
      </c>
      <c r="AA1351" s="36">
        <v>35.531999999999996</v>
      </c>
      <c r="AB1351" s="54">
        <v>430.65</v>
      </c>
      <c r="AC1351" s="54">
        <v>12.304285714285713</v>
      </c>
      <c r="AD1351" s="36">
        <v>664.29599999999994</v>
      </c>
    </row>
    <row r="1352" spans="1:30" s="37" customFormat="1" ht="15.75" customHeight="1" x14ac:dyDescent="0.2">
      <c r="A1352" s="26">
        <v>1680</v>
      </c>
      <c r="B1352" s="27" t="s">
        <v>2387</v>
      </c>
      <c r="C1352" s="27" t="s">
        <v>48</v>
      </c>
      <c r="D1352" s="28">
        <v>0.03</v>
      </c>
      <c r="E1352" s="29">
        <v>49.34</v>
      </c>
      <c r="F1352" s="29">
        <v>10.25</v>
      </c>
      <c r="G1352" s="30" t="s">
        <v>39</v>
      </c>
      <c r="H1352" s="27" t="s">
        <v>40</v>
      </c>
      <c r="I1352" s="27" t="s">
        <v>29</v>
      </c>
      <c r="J1352" s="27" t="s">
        <v>126</v>
      </c>
      <c r="K1352" s="27" t="s">
        <v>65</v>
      </c>
      <c r="L1352" s="31" t="s">
        <v>2389</v>
      </c>
      <c r="M1352" s="32">
        <v>0.56999999999999995</v>
      </c>
      <c r="N1352" s="27" t="s">
        <v>33</v>
      </c>
      <c r="O1352" s="27" t="s">
        <v>111</v>
      </c>
      <c r="P1352" s="27" t="s">
        <v>317</v>
      </c>
      <c r="Q1352" s="27" t="s">
        <v>764</v>
      </c>
      <c r="R1352" s="33">
        <v>45014</v>
      </c>
      <c r="S1352" s="34">
        <v>42127</v>
      </c>
      <c r="T1352" s="34">
        <v>42129</v>
      </c>
      <c r="U1352" s="29">
        <v>554.77</v>
      </c>
      <c r="V1352" s="26">
        <v>17</v>
      </c>
      <c r="W1352" s="29">
        <v>817.32</v>
      </c>
      <c r="X1352" s="26">
        <v>86645</v>
      </c>
      <c r="Y1352" s="35">
        <v>49.31</v>
      </c>
      <c r="Z1352" s="1" t="s">
        <v>3014</v>
      </c>
      <c r="AA1352" s="36">
        <v>25.163399999999999</v>
      </c>
      <c r="AB1352" s="54">
        <v>351.44760000000008</v>
      </c>
      <c r="AC1352" s="54">
        <v>27.40425882352941</v>
      </c>
      <c r="AD1352" s="36">
        <v>227.13660000000004</v>
      </c>
    </row>
    <row r="1353" spans="1:30" s="37" customFormat="1" ht="15.75" customHeight="1" x14ac:dyDescent="0.2">
      <c r="A1353" s="26">
        <v>2157</v>
      </c>
      <c r="B1353" s="27" t="s">
        <v>1681</v>
      </c>
      <c r="C1353" s="27" t="s">
        <v>38</v>
      </c>
      <c r="D1353" s="28">
        <v>7.0000000000000007E-2</v>
      </c>
      <c r="E1353" s="29">
        <v>30.93</v>
      </c>
      <c r="F1353" s="29">
        <v>3.92</v>
      </c>
      <c r="G1353" s="30" t="s">
        <v>39</v>
      </c>
      <c r="H1353" s="27" t="s">
        <v>71</v>
      </c>
      <c r="I1353" s="27" t="s">
        <v>29</v>
      </c>
      <c r="J1353" s="27" t="s">
        <v>126</v>
      </c>
      <c r="K1353" s="27" t="s">
        <v>43</v>
      </c>
      <c r="L1353" s="31" t="s">
        <v>1651</v>
      </c>
      <c r="M1353" s="32">
        <v>0.44</v>
      </c>
      <c r="N1353" s="27" t="s">
        <v>33</v>
      </c>
      <c r="O1353" s="27" t="s">
        <v>53</v>
      </c>
      <c r="P1353" s="27" t="s">
        <v>289</v>
      </c>
      <c r="Q1353" s="27" t="s">
        <v>1683</v>
      </c>
      <c r="R1353" s="33">
        <v>48093</v>
      </c>
      <c r="S1353" s="34">
        <v>42127</v>
      </c>
      <c r="T1353" s="34">
        <v>42128</v>
      </c>
      <c r="U1353" s="29">
        <v>398.30250000000001</v>
      </c>
      <c r="V1353" s="26">
        <v>19</v>
      </c>
      <c r="W1353" s="29">
        <v>577.25</v>
      </c>
      <c r="X1353" s="26">
        <v>90386</v>
      </c>
      <c r="Y1353" s="35">
        <v>160.94</v>
      </c>
      <c r="Z1353" s="1" t="s">
        <v>3012</v>
      </c>
      <c r="AA1353" s="36">
        <v>41.136900000000004</v>
      </c>
      <c r="AB1353" s="54">
        <v>323.26000000000005</v>
      </c>
      <c r="AC1353" s="54">
        <v>13.367894736842105</v>
      </c>
      <c r="AD1353" s="36">
        <v>133.89059999999995</v>
      </c>
    </row>
    <row r="1354" spans="1:30" s="37" customFormat="1" ht="15.75" customHeight="1" x14ac:dyDescent="0.2">
      <c r="A1354" s="26">
        <v>1680</v>
      </c>
      <c r="B1354" s="27" t="s">
        <v>2387</v>
      </c>
      <c r="C1354" s="27" t="s">
        <v>48</v>
      </c>
      <c r="D1354" s="28">
        <v>0.09</v>
      </c>
      <c r="E1354" s="29">
        <v>30.98</v>
      </c>
      <c r="F1354" s="29">
        <v>19.510000000000002</v>
      </c>
      <c r="G1354" s="30" t="s">
        <v>39</v>
      </c>
      <c r="H1354" s="27" t="s">
        <v>40</v>
      </c>
      <c r="I1354" s="27" t="s">
        <v>49</v>
      </c>
      <c r="J1354" s="27" t="s">
        <v>345</v>
      </c>
      <c r="K1354" s="27" t="s">
        <v>73</v>
      </c>
      <c r="L1354" s="31" t="s">
        <v>2388</v>
      </c>
      <c r="M1354" s="32">
        <v>0.36</v>
      </c>
      <c r="N1354" s="27" t="s">
        <v>33</v>
      </c>
      <c r="O1354" s="27" t="s">
        <v>111</v>
      </c>
      <c r="P1354" s="27" t="s">
        <v>317</v>
      </c>
      <c r="Q1354" s="27" t="s">
        <v>764</v>
      </c>
      <c r="R1354" s="33">
        <v>45014</v>
      </c>
      <c r="S1354" s="34">
        <v>42127</v>
      </c>
      <c r="T1354" s="34">
        <v>42129</v>
      </c>
      <c r="U1354" s="29">
        <v>-163.53</v>
      </c>
      <c r="V1354" s="26">
        <v>18</v>
      </c>
      <c r="W1354" s="29">
        <v>514.62</v>
      </c>
      <c r="X1354" s="26">
        <v>86645</v>
      </c>
      <c r="Y1354" s="35">
        <v>17.97</v>
      </c>
      <c r="Z1354" s="1" t="s">
        <v>3014</v>
      </c>
      <c r="AA1354" s="36">
        <v>50.187599999999996</v>
      </c>
      <c r="AB1354" s="54">
        <v>329.35680000000002</v>
      </c>
      <c r="AC1354" s="54">
        <v>10.292399999999999</v>
      </c>
      <c r="AD1354" s="36">
        <v>608.45240000000001</v>
      </c>
    </row>
    <row r="1355" spans="1:30" s="37" customFormat="1" ht="15.75" customHeight="1" x14ac:dyDescent="0.2">
      <c r="A1355" s="26">
        <v>1391</v>
      </c>
      <c r="B1355" s="27" t="s">
        <v>2292</v>
      </c>
      <c r="C1355" s="27" t="s">
        <v>48</v>
      </c>
      <c r="D1355" s="28">
        <v>7.0000000000000007E-2</v>
      </c>
      <c r="E1355" s="29">
        <v>12.28</v>
      </c>
      <c r="F1355" s="29">
        <v>6.13</v>
      </c>
      <c r="G1355" s="30" t="s">
        <v>39</v>
      </c>
      <c r="H1355" s="27" t="s">
        <v>3095</v>
      </c>
      <c r="I1355" s="27" t="s">
        <v>49</v>
      </c>
      <c r="J1355" s="27" t="s">
        <v>78</v>
      </c>
      <c r="K1355" s="27" t="s">
        <v>73</v>
      </c>
      <c r="L1355" s="31" t="s">
        <v>2386</v>
      </c>
      <c r="M1355" s="32">
        <v>0.56999999999999995</v>
      </c>
      <c r="N1355" s="27" t="s">
        <v>33</v>
      </c>
      <c r="O1355" s="27" t="s">
        <v>60</v>
      </c>
      <c r="P1355" s="27" t="s">
        <v>90</v>
      </c>
      <c r="Q1355" s="27" t="s">
        <v>2293</v>
      </c>
      <c r="R1355" s="33">
        <v>94086</v>
      </c>
      <c r="S1355" s="34">
        <v>42127</v>
      </c>
      <c r="T1355" s="34">
        <v>42134</v>
      </c>
      <c r="U1355" s="29">
        <v>15.236000000000001</v>
      </c>
      <c r="V1355" s="26">
        <v>33</v>
      </c>
      <c r="W1355" s="29">
        <v>389.59</v>
      </c>
      <c r="X1355" s="26">
        <v>88730</v>
      </c>
      <c r="Y1355" s="35">
        <v>160.94</v>
      </c>
      <c r="Z1355" s="1" t="s">
        <v>3013</v>
      </c>
      <c r="AA1355" s="36">
        <v>28.366800000000001</v>
      </c>
      <c r="AB1355" s="54">
        <v>167.52370000000002</v>
      </c>
      <c r="AC1355" s="54">
        <v>6.7292818181818168</v>
      </c>
      <c r="AD1355" s="36">
        <v>339.85719999999998</v>
      </c>
    </row>
    <row r="1356" spans="1:30" s="37" customFormat="1" ht="15.75" customHeight="1" x14ac:dyDescent="0.2">
      <c r="A1356" s="26">
        <v>1869</v>
      </c>
      <c r="B1356" s="27" t="s">
        <v>2393</v>
      </c>
      <c r="C1356" s="27" t="s">
        <v>3094</v>
      </c>
      <c r="D1356" s="28">
        <v>0.08</v>
      </c>
      <c r="E1356" s="29">
        <v>8.09</v>
      </c>
      <c r="F1356" s="29">
        <v>7.96</v>
      </c>
      <c r="G1356" s="30" t="s">
        <v>39</v>
      </c>
      <c r="H1356" s="27" t="s">
        <v>40</v>
      </c>
      <c r="I1356" s="27" t="s">
        <v>29</v>
      </c>
      <c r="J1356" s="27" t="s">
        <v>126</v>
      </c>
      <c r="K1356" s="27" t="s">
        <v>73</v>
      </c>
      <c r="L1356" s="31" t="s">
        <v>522</v>
      </c>
      <c r="M1356" s="32">
        <v>0.49</v>
      </c>
      <c r="N1356" s="27" t="s">
        <v>33</v>
      </c>
      <c r="O1356" s="27" t="s">
        <v>60</v>
      </c>
      <c r="P1356" s="27" t="s">
        <v>640</v>
      </c>
      <c r="Q1356" s="27" t="s">
        <v>2394</v>
      </c>
      <c r="R1356" s="33">
        <v>88310</v>
      </c>
      <c r="S1356" s="34">
        <v>42127</v>
      </c>
      <c r="T1356" s="34">
        <v>42128</v>
      </c>
      <c r="U1356" s="29">
        <v>-88.82</v>
      </c>
      <c r="V1356" s="26">
        <v>10</v>
      </c>
      <c r="W1356" s="29">
        <v>80.349999999999994</v>
      </c>
      <c r="X1356" s="26">
        <v>89209</v>
      </c>
      <c r="Y1356" s="35">
        <v>115.92999999999999</v>
      </c>
      <c r="Z1356" s="1" t="s">
        <v>3013</v>
      </c>
      <c r="AA1356" s="36">
        <v>6.4719999999999995</v>
      </c>
      <c r="AB1356" s="54">
        <v>40.978499999999997</v>
      </c>
      <c r="AC1356" s="54">
        <v>3.9371499999999999</v>
      </c>
      <c r="AD1356" s="36">
        <v>154.738</v>
      </c>
    </row>
    <row r="1357" spans="1:30" s="37" customFormat="1" ht="15.75" customHeight="1" x14ac:dyDescent="0.2">
      <c r="A1357" s="26">
        <v>3386</v>
      </c>
      <c r="B1357" s="27" t="s">
        <v>2384</v>
      </c>
      <c r="C1357" s="27" t="s">
        <v>26</v>
      </c>
      <c r="D1357" s="28">
        <v>0</v>
      </c>
      <c r="E1357" s="29">
        <v>2.61</v>
      </c>
      <c r="F1357" s="29">
        <v>0.5</v>
      </c>
      <c r="G1357" s="30" t="s">
        <v>39</v>
      </c>
      <c r="H1357" s="27" t="s">
        <v>94</v>
      </c>
      <c r="I1357" s="27" t="s">
        <v>49</v>
      </c>
      <c r="J1357" s="27" t="s">
        <v>152</v>
      </c>
      <c r="K1357" s="27" t="s">
        <v>73</v>
      </c>
      <c r="L1357" s="31" t="s">
        <v>1367</v>
      </c>
      <c r="M1357" s="32">
        <v>0.39</v>
      </c>
      <c r="N1357" s="27" t="s">
        <v>33</v>
      </c>
      <c r="O1357" s="27" t="s">
        <v>111</v>
      </c>
      <c r="P1357" s="27" t="s">
        <v>317</v>
      </c>
      <c r="Q1357" s="27" t="s">
        <v>2198</v>
      </c>
      <c r="R1357" s="33">
        <v>43402</v>
      </c>
      <c r="S1357" s="34">
        <v>42127</v>
      </c>
      <c r="T1357" s="34">
        <v>42129</v>
      </c>
      <c r="U1357" s="29">
        <v>19.554600000000001</v>
      </c>
      <c r="V1357" s="26">
        <v>10</v>
      </c>
      <c r="W1357" s="29">
        <v>28.34</v>
      </c>
      <c r="X1357" s="26">
        <v>88746</v>
      </c>
      <c r="Y1357" s="35">
        <v>8.01</v>
      </c>
      <c r="Z1357" s="1" t="s">
        <v>3014</v>
      </c>
      <c r="AA1357" s="36">
        <v>0</v>
      </c>
      <c r="AB1357" s="54">
        <v>17.287399999999998</v>
      </c>
      <c r="AC1357" s="54">
        <v>1.1052600000000001</v>
      </c>
      <c r="AD1357" s="36">
        <v>8.2853999999999992</v>
      </c>
    </row>
    <row r="1358" spans="1:30" s="37" customFormat="1" ht="15.75" customHeight="1" x14ac:dyDescent="0.2">
      <c r="A1358" s="26">
        <v>3356</v>
      </c>
      <c r="B1358" s="27" t="s">
        <v>2412</v>
      </c>
      <c r="C1358" s="27" t="s">
        <v>116</v>
      </c>
      <c r="D1358" s="28">
        <v>0.03</v>
      </c>
      <c r="E1358" s="29">
        <v>160.97999999999999</v>
      </c>
      <c r="F1358" s="29">
        <v>30</v>
      </c>
      <c r="G1358" s="30" t="s">
        <v>27</v>
      </c>
      <c r="H1358" s="27" t="s">
        <v>94</v>
      </c>
      <c r="I1358" s="27" t="s">
        <v>29</v>
      </c>
      <c r="J1358" s="27" t="s">
        <v>109</v>
      </c>
      <c r="K1358" s="27" t="s">
        <v>58</v>
      </c>
      <c r="L1358" s="31" t="s">
        <v>892</v>
      </c>
      <c r="M1358" s="32">
        <v>0.62</v>
      </c>
      <c r="N1358" s="27" t="s">
        <v>33</v>
      </c>
      <c r="O1358" s="27" t="s">
        <v>60</v>
      </c>
      <c r="P1358" s="27" t="s">
        <v>490</v>
      </c>
      <c r="Q1358" s="27" t="s">
        <v>2413</v>
      </c>
      <c r="R1358" s="33">
        <v>83616</v>
      </c>
      <c r="S1358" s="34">
        <v>42128</v>
      </c>
      <c r="T1358" s="34">
        <v>42129</v>
      </c>
      <c r="U1358" s="29">
        <v>1304.9000000000001</v>
      </c>
      <c r="V1358" s="26">
        <v>18</v>
      </c>
      <c r="W1358" s="29">
        <v>2934.16</v>
      </c>
      <c r="X1358" s="26">
        <v>88588</v>
      </c>
      <c r="Y1358" s="35">
        <v>6.19</v>
      </c>
      <c r="Z1358" s="1" t="s">
        <v>3013</v>
      </c>
      <c r="AA1358" s="36">
        <v>86.929199999999994</v>
      </c>
      <c r="AB1358" s="54">
        <v>1114.9808</v>
      </c>
      <c r="AC1358" s="54">
        <v>101.06551111111111</v>
      </c>
      <c r="AD1358" s="36">
        <v>1512.3307999999997</v>
      </c>
    </row>
    <row r="1359" spans="1:30" s="37" customFormat="1" ht="15.75" customHeight="1" x14ac:dyDescent="0.2">
      <c r="A1359" s="26">
        <v>411</v>
      </c>
      <c r="B1359" s="27" t="s">
        <v>2408</v>
      </c>
      <c r="C1359" s="27" t="s">
        <v>38</v>
      </c>
      <c r="D1359" s="28">
        <v>0.05</v>
      </c>
      <c r="E1359" s="29">
        <v>178.47</v>
      </c>
      <c r="F1359" s="29">
        <v>19.989999999999998</v>
      </c>
      <c r="G1359" s="30" t="s">
        <v>87</v>
      </c>
      <c r="H1359" s="27" t="s">
        <v>40</v>
      </c>
      <c r="I1359" s="27" t="s">
        <v>49</v>
      </c>
      <c r="J1359" s="27" t="s">
        <v>78</v>
      </c>
      <c r="K1359" s="27" t="s">
        <v>73</v>
      </c>
      <c r="L1359" s="31" t="s">
        <v>1011</v>
      </c>
      <c r="M1359" s="32">
        <v>0.55000000000000004</v>
      </c>
      <c r="N1359" s="27" t="s">
        <v>33</v>
      </c>
      <c r="O1359" s="27" t="s">
        <v>60</v>
      </c>
      <c r="P1359" s="27" t="s">
        <v>90</v>
      </c>
      <c r="Q1359" s="27" t="s">
        <v>2136</v>
      </c>
      <c r="R1359" s="33">
        <v>94601</v>
      </c>
      <c r="S1359" s="34">
        <v>42128</v>
      </c>
      <c r="T1359" s="34">
        <v>42131</v>
      </c>
      <c r="U1359" s="29">
        <v>943</v>
      </c>
      <c r="V1359" s="26">
        <v>9</v>
      </c>
      <c r="W1359" s="29">
        <v>1531.31</v>
      </c>
      <c r="X1359" s="26">
        <v>87905</v>
      </c>
      <c r="Y1359" s="35">
        <v>3.25</v>
      </c>
      <c r="Z1359" s="1" t="s">
        <v>3013</v>
      </c>
      <c r="AA1359" s="36">
        <v>80.311500000000009</v>
      </c>
      <c r="AB1359" s="54">
        <v>689.08949999999993</v>
      </c>
      <c r="AC1359" s="54">
        <v>93.58005555555556</v>
      </c>
      <c r="AD1359" s="36">
        <v>488.00849999999991</v>
      </c>
    </row>
    <row r="1360" spans="1:30" s="37" customFormat="1" ht="15.75" customHeight="1" x14ac:dyDescent="0.2">
      <c r="A1360" s="26">
        <v>3356</v>
      </c>
      <c r="B1360" s="27" t="s">
        <v>2412</v>
      </c>
      <c r="C1360" s="27" t="s">
        <v>116</v>
      </c>
      <c r="D1360" s="28">
        <v>0.04</v>
      </c>
      <c r="E1360" s="29">
        <v>65.989999999999995</v>
      </c>
      <c r="F1360" s="29">
        <v>5.63</v>
      </c>
      <c r="G1360" s="30" t="s">
        <v>87</v>
      </c>
      <c r="H1360" s="27" t="s">
        <v>94</v>
      </c>
      <c r="I1360" s="27" t="s">
        <v>41</v>
      </c>
      <c r="J1360" s="27" t="s">
        <v>135</v>
      </c>
      <c r="K1360" s="27" t="s">
        <v>73</v>
      </c>
      <c r="L1360" s="31" t="s">
        <v>2414</v>
      </c>
      <c r="M1360" s="32">
        <v>0.56000000000000005</v>
      </c>
      <c r="N1360" s="27" t="s">
        <v>33</v>
      </c>
      <c r="O1360" s="27" t="s">
        <v>60</v>
      </c>
      <c r="P1360" s="27" t="s">
        <v>490</v>
      </c>
      <c r="Q1360" s="27" t="s">
        <v>2413</v>
      </c>
      <c r="R1360" s="33">
        <v>83616</v>
      </c>
      <c r="S1360" s="34">
        <v>42128</v>
      </c>
      <c r="T1360" s="34">
        <v>42128</v>
      </c>
      <c r="U1360" s="29">
        <v>605.04719999999998</v>
      </c>
      <c r="V1360" s="26">
        <v>15</v>
      </c>
      <c r="W1360" s="29">
        <v>876.88</v>
      </c>
      <c r="X1360" s="26">
        <v>88588</v>
      </c>
      <c r="Y1360" s="35">
        <v>3.25</v>
      </c>
      <c r="Z1360" s="1" t="s">
        <v>3013</v>
      </c>
      <c r="AA1360" s="36">
        <v>39.593999999999994</v>
      </c>
      <c r="AB1360" s="54">
        <v>385.82719999999995</v>
      </c>
      <c r="AC1360" s="54">
        <v>32.736853333333336</v>
      </c>
      <c r="AD1360" s="36">
        <v>226.60880000000009</v>
      </c>
    </row>
    <row r="1361" spans="1:30" s="37" customFormat="1" ht="15.75" customHeight="1" x14ac:dyDescent="0.2">
      <c r="A1361" s="26">
        <v>2650</v>
      </c>
      <c r="B1361" s="27" t="s">
        <v>2402</v>
      </c>
      <c r="C1361" s="27" t="s">
        <v>26</v>
      </c>
      <c r="D1361" s="28">
        <v>0.05</v>
      </c>
      <c r="E1361" s="29">
        <v>35.99</v>
      </c>
      <c r="F1361" s="29">
        <v>5.99</v>
      </c>
      <c r="G1361" s="30" t="s">
        <v>39</v>
      </c>
      <c r="H1361" s="27" t="s">
        <v>94</v>
      </c>
      <c r="I1361" s="27" t="s">
        <v>41</v>
      </c>
      <c r="J1361" s="27" t="s">
        <v>135</v>
      </c>
      <c r="K1361" s="27" t="s">
        <v>51</v>
      </c>
      <c r="L1361" s="31" t="s">
        <v>1372</v>
      </c>
      <c r="M1361" s="32">
        <v>0.38</v>
      </c>
      <c r="N1361" s="27" t="s">
        <v>33</v>
      </c>
      <c r="O1361" s="27" t="s">
        <v>111</v>
      </c>
      <c r="P1361" s="27" t="s">
        <v>320</v>
      </c>
      <c r="Q1361" s="27" t="s">
        <v>2403</v>
      </c>
      <c r="R1361" s="33">
        <v>15234</v>
      </c>
      <c r="S1361" s="34">
        <v>42128</v>
      </c>
      <c r="T1361" s="34">
        <v>42129</v>
      </c>
      <c r="U1361" s="29">
        <v>524.31719999999996</v>
      </c>
      <c r="V1361" s="26">
        <v>26</v>
      </c>
      <c r="W1361" s="29">
        <v>759.88</v>
      </c>
      <c r="X1361" s="26">
        <v>88815</v>
      </c>
      <c r="Y1361" s="35">
        <v>7.58</v>
      </c>
      <c r="Z1361" s="1" t="s">
        <v>3014</v>
      </c>
      <c r="AA1361" s="36">
        <v>46.787000000000006</v>
      </c>
      <c r="AB1361" s="54">
        <v>471.12560000000002</v>
      </c>
      <c r="AC1361" s="54">
        <v>11.105938461538461</v>
      </c>
      <c r="AD1361" s="36">
        <v>182.78579999999999</v>
      </c>
    </row>
    <row r="1362" spans="1:30" s="37" customFormat="1" ht="15.75" customHeight="1" x14ac:dyDescent="0.2">
      <c r="A1362" s="26">
        <v>2693</v>
      </c>
      <c r="B1362" s="27" t="s">
        <v>2407</v>
      </c>
      <c r="C1362" s="27" t="s">
        <v>26</v>
      </c>
      <c r="D1362" s="28">
        <v>0.01</v>
      </c>
      <c r="E1362" s="29">
        <v>30.98</v>
      </c>
      <c r="F1362" s="29">
        <v>9.18</v>
      </c>
      <c r="G1362" s="30" t="s">
        <v>39</v>
      </c>
      <c r="H1362" s="27" t="s">
        <v>71</v>
      </c>
      <c r="I1362" s="27" t="s">
        <v>49</v>
      </c>
      <c r="J1362" s="27" t="s">
        <v>88</v>
      </c>
      <c r="K1362" s="27" t="s">
        <v>73</v>
      </c>
      <c r="L1362" s="31" t="s">
        <v>2249</v>
      </c>
      <c r="M1362" s="32">
        <v>0.4</v>
      </c>
      <c r="N1362" s="27" t="s">
        <v>33</v>
      </c>
      <c r="O1362" s="27" t="s">
        <v>111</v>
      </c>
      <c r="P1362" s="27" t="s">
        <v>633</v>
      </c>
      <c r="Q1362" s="27" t="s">
        <v>1630</v>
      </c>
      <c r="R1362" s="33">
        <v>5201</v>
      </c>
      <c r="S1362" s="34">
        <v>42128</v>
      </c>
      <c r="T1362" s="34">
        <v>42128</v>
      </c>
      <c r="U1362" s="29">
        <v>380.46800000000002</v>
      </c>
      <c r="V1362" s="26">
        <v>20</v>
      </c>
      <c r="W1362" s="29">
        <v>627.19000000000005</v>
      </c>
      <c r="X1362" s="26">
        <v>90624</v>
      </c>
      <c r="Y1362" s="35">
        <v>35.940000000000005</v>
      </c>
      <c r="Z1362" s="1" t="s">
        <v>3014</v>
      </c>
      <c r="AA1362" s="36">
        <v>6.1960000000000006</v>
      </c>
      <c r="AB1362" s="54">
        <v>376.31400000000002</v>
      </c>
      <c r="AC1362" s="54">
        <v>12.543800000000003</v>
      </c>
      <c r="AD1362" s="36">
        <v>231.346</v>
      </c>
    </row>
    <row r="1363" spans="1:30" s="37" customFormat="1" ht="15.75" customHeight="1" x14ac:dyDescent="0.2">
      <c r="A1363" s="26">
        <v>3176</v>
      </c>
      <c r="B1363" s="27" t="s">
        <v>2409</v>
      </c>
      <c r="C1363" s="27" t="s">
        <v>38</v>
      </c>
      <c r="D1363" s="28">
        <v>0.06</v>
      </c>
      <c r="E1363" s="29">
        <v>10.97</v>
      </c>
      <c r="F1363" s="29">
        <v>6.5</v>
      </c>
      <c r="G1363" s="30" t="s">
        <v>39</v>
      </c>
      <c r="H1363" s="27" t="s">
        <v>40</v>
      </c>
      <c r="I1363" s="27" t="s">
        <v>41</v>
      </c>
      <c r="J1363" s="27" t="s">
        <v>42</v>
      </c>
      <c r="K1363" s="27" t="s">
        <v>73</v>
      </c>
      <c r="L1363" s="31" t="s">
        <v>2410</v>
      </c>
      <c r="M1363" s="32">
        <v>0.64</v>
      </c>
      <c r="N1363" s="27" t="s">
        <v>33</v>
      </c>
      <c r="O1363" s="27" t="s">
        <v>34</v>
      </c>
      <c r="P1363" s="27" t="s">
        <v>123</v>
      </c>
      <c r="Q1363" s="27" t="s">
        <v>2411</v>
      </c>
      <c r="R1363" s="33">
        <v>32216</v>
      </c>
      <c r="S1363" s="34">
        <v>42128</v>
      </c>
      <c r="T1363" s="34">
        <v>42130</v>
      </c>
      <c r="U1363" s="29">
        <v>65.597999999999999</v>
      </c>
      <c r="V1363" s="26">
        <v>19</v>
      </c>
      <c r="W1363" s="29">
        <v>215.25</v>
      </c>
      <c r="X1363" s="26">
        <v>90820</v>
      </c>
      <c r="Y1363" s="35">
        <v>3.66</v>
      </c>
      <c r="Z1363" s="1" t="s">
        <v>3011</v>
      </c>
      <c r="AA1363" s="36">
        <v>12.505800000000001</v>
      </c>
      <c r="AB1363" s="54">
        <v>77.489999999999995</v>
      </c>
      <c r="AC1363" s="54">
        <v>7.2505263157894744</v>
      </c>
      <c r="AD1363" s="36">
        <v>130.64619999999999</v>
      </c>
    </row>
    <row r="1364" spans="1:30" s="37" customFormat="1" ht="15.75" customHeight="1" x14ac:dyDescent="0.2">
      <c r="A1364" s="26">
        <v>2289</v>
      </c>
      <c r="B1364" s="27" t="s">
        <v>2401</v>
      </c>
      <c r="C1364" s="27" t="s">
        <v>26</v>
      </c>
      <c r="D1364" s="28">
        <v>0.01</v>
      </c>
      <c r="E1364" s="29">
        <v>7.59</v>
      </c>
      <c r="F1364" s="29">
        <v>4</v>
      </c>
      <c r="G1364" s="30" t="s">
        <v>39</v>
      </c>
      <c r="H1364" s="27" t="s">
        <v>71</v>
      </c>
      <c r="I1364" s="27" t="s">
        <v>29</v>
      </c>
      <c r="J1364" s="27" t="s">
        <v>126</v>
      </c>
      <c r="K1364" s="27" t="s">
        <v>51</v>
      </c>
      <c r="L1364" s="31" t="s">
        <v>1687</v>
      </c>
      <c r="M1364" s="32">
        <v>0.42</v>
      </c>
      <c r="N1364" s="27" t="s">
        <v>33</v>
      </c>
      <c r="O1364" s="27" t="s">
        <v>53</v>
      </c>
      <c r="P1364" s="27" t="s">
        <v>84</v>
      </c>
      <c r="Q1364" s="27" t="s">
        <v>963</v>
      </c>
      <c r="R1364" s="33">
        <v>55337</v>
      </c>
      <c r="S1364" s="34">
        <v>42128</v>
      </c>
      <c r="T1364" s="34">
        <v>42128</v>
      </c>
      <c r="U1364" s="29">
        <v>2.97</v>
      </c>
      <c r="V1364" s="26">
        <v>17</v>
      </c>
      <c r="W1364" s="29">
        <v>136.25</v>
      </c>
      <c r="X1364" s="26">
        <v>88165</v>
      </c>
      <c r="Y1364" s="35">
        <v>30.97</v>
      </c>
      <c r="Z1364" s="1" t="s">
        <v>3012</v>
      </c>
      <c r="AA1364" s="36">
        <v>1.2903</v>
      </c>
      <c r="AB1364" s="54">
        <v>79.025000000000006</v>
      </c>
      <c r="AC1364" s="54">
        <v>3.3661764705882353</v>
      </c>
      <c r="AD1364" s="36">
        <v>127.9897</v>
      </c>
    </row>
    <row r="1365" spans="1:30" s="37" customFormat="1" ht="15.75" customHeight="1" x14ac:dyDescent="0.2">
      <c r="A1365" s="26">
        <v>2689</v>
      </c>
      <c r="B1365" s="27" t="s">
        <v>2404</v>
      </c>
      <c r="C1365" s="27" t="s">
        <v>26</v>
      </c>
      <c r="D1365" s="28">
        <v>0.09</v>
      </c>
      <c r="E1365" s="29">
        <v>3.75</v>
      </c>
      <c r="F1365" s="29">
        <v>0.5</v>
      </c>
      <c r="G1365" s="30" t="s">
        <v>39</v>
      </c>
      <c r="H1365" s="27" t="s">
        <v>71</v>
      </c>
      <c r="I1365" s="27" t="s">
        <v>49</v>
      </c>
      <c r="J1365" s="27" t="s">
        <v>152</v>
      </c>
      <c r="K1365" s="27" t="s">
        <v>73</v>
      </c>
      <c r="L1365" s="31" t="s">
        <v>2405</v>
      </c>
      <c r="M1365" s="32">
        <v>0.37</v>
      </c>
      <c r="N1365" s="27" t="s">
        <v>33</v>
      </c>
      <c r="O1365" s="27" t="s">
        <v>111</v>
      </c>
      <c r="P1365" s="27" t="s">
        <v>397</v>
      </c>
      <c r="Q1365" s="27" t="s">
        <v>2406</v>
      </c>
      <c r="R1365" s="33">
        <v>7011</v>
      </c>
      <c r="S1365" s="34">
        <v>42128</v>
      </c>
      <c r="T1365" s="34">
        <v>42130</v>
      </c>
      <c r="U1365" s="29">
        <v>51.218699999999998</v>
      </c>
      <c r="V1365" s="26">
        <v>21</v>
      </c>
      <c r="W1365" s="29">
        <v>74.23</v>
      </c>
      <c r="X1365" s="26">
        <v>90624</v>
      </c>
      <c r="Y1365" s="35">
        <v>178.42</v>
      </c>
      <c r="Z1365" s="1" t="s">
        <v>3014</v>
      </c>
      <c r="AA1365" s="36">
        <v>7.0874999999999995</v>
      </c>
      <c r="AB1365" s="54">
        <v>46.764900000000004</v>
      </c>
      <c r="AC1365" s="54">
        <v>1.3078619047619049</v>
      </c>
      <c r="AD1365" s="36">
        <v>15.423800000000007</v>
      </c>
    </row>
    <row r="1366" spans="1:30" s="37" customFormat="1" ht="15.75" customHeight="1" x14ac:dyDescent="0.2">
      <c r="A1366" s="26">
        <v>342</v>
      </c>
      <c r="B1366" s="27" t="s">
        <v>2397</v>
      </c>
      <c r="C1366" s="27" t="s">
        <v>26</v>
      </c>
      <c r="D1366" s="28">
        <v>0.01</v>
      </c>
      <c r="E1366" s="29">
        <v>3.26</v>
      </c>
      <c r="F1366" s="29">
        <v>1.86</v>
      </c>
      <c r="G1366" s="30" t="s">
        <v>39</v>
      </c>
      <c r="H1366" s="27" t="s">
        <v>94</v>
      </c>
      <c r="I1366" s="27" t="s">
        <v>49</v>
      </c>
      <c r="J1366" s="27" t="s">
        <v>50</v>
      </c>
      <c r="K1366" s="27" t="s">
        <v>51</v>
      </c>
      <c r="L1366" s="31" t="s">
        <v>2398</v>
      </c>
      <c r="M1366" s="32">
        <v>0.41</v>
      </c>
      <c r="N1366" s="27" t="s">
        <v>33</v>
      </c>
      <c r="O1366" s="27" t="s">
        <v>34</v>
      </c>
      <c r="P1366" s="27" t="s">
        <v>123</v>
      </c>
      <c r="Q1366" s="27" t="s">
        <v>128</v>
      </c>
      <c r="R1366" s="33">
        <v>33181</v>
      </c>
      <c r="S1366" s="34">
        <v>42128</v>
      </c>
      <c r="T1366" s="34">
        <v>42130</v>
      </c>
      <c r="U1366" s="29">
        <v>-4.6683000000000003</v>
      </c>
      <c r="V1366" s="26">
        <v>20</v>
      </c>
      <c r="W1366" s="29">
        <v>73.97</v>
      </c>
      <c r="X1366" s="26">
        <v>3332</v>
      </c>
      <c r="Y1366" s="35">
        <v>10.91</v>
      </c>
      <c r="Z1366" s="1" t="s">
        <v>3011</v>
      </c>
      <c r="AA1366" s="36">
        <v>0.65199999999999991</v>
      </c>
      <c r="AB1366" s="54">
        <v>43.642300000000006</v>
      </c>
      <c r="AC1366" s="54">
        <v>1.5163849999999999</v>
      </c>
      <c r="AD1366" s="36">
        <v>76.126300000000001</v>
      </c>
    </row>
    <row r="1367" spans="1:30" s="37" customFormat="1" ht="15.75" customHeight="1" x14ac:dyDescent="0.2">
      <c r="A1367" s="26">
        <v>3356</v>
      </c>
      <c r="B1367" s="27" t="s">
        <v>2412</v>
      </c>
      <c r="C1367" s="27" t="s">
        <v>116</v>
      </c>
      <c r="D1367" s="28">
        <v>7.0000000000000007E-2</v>
      </c>
      <c r="E1367" s="29">
        <v>5.34</v>
      </c>
      <c r="F1367" s="29">
        <v>5.63</v>
      </c>
      <c r="G1367" s="30" t="s">
        <v>39</v>
      </c>
      <c r="H1367" s="27" t="s">
        <v>94</v>
      </c>
      <c r="I1367" s="27" t="s">
        <v>49</v>
      </c>
      <c r="J1367" s="27" t="s">
        <v>72</v>
      </c>
      <c r="K1367" s="27" t="s">
        <v>73</v>
      </c>
      <c r="L1367" s="31" t="s">
        <v>1723</v>
      </c>
      <c r="M1367" s="32">
        <v>0.39</v>
      </c>
      <c r="N1367" s="27" t="s">
        <v>33</v>
      </c>
      <c r="O1367" s="27" t="s">
        <v>60</v>
      </c>
      <c r="P1367" s="27" t="s">
        <v>490</v>
      </c>
      <c r="Q1367" s="27" t="s">
        <v>2413</v>
      </c>
      <c r="R1367" s="33">
        <v>83616</v>
      </c>
      <c r="S1367" s="34">
        <v>42128</v>
      </c>
      <c r="T1367" s="34">
        <v>42130</v>
      </c>
      <c r="U1367" s="29">
        <v>-116.3455</v>
      </c>
      <c r="V1367" s="26">
        <v>13</v>
      </c>
      <c r="W1367" s="29">
        <v>66.650000000000006</v>
      </c>
      <c r="X1367" s="26">
        <v>88588</v>
      </c>
      <c r="Y1367" s="35">
        <v>5.27</v>
      </c>
      <c r="Z1367" s="1" t="s">
        <v>3013</v>
      </c>
      <c r="AA1367" s="36">
        <v>4.8593999999999999</v>
      </c>
      <c r="AB1367" s="54">
        <v>40.656500000000001</v>
      </c>
      <c r="AC1367" s="54">
        <v>1.9995000000000003</v>
      </c>
      <c r="AD1367" s="36">
        <v>172.5061</v>
      </c>
    </row>
    <row r="1368" spans="1:30" s="37" customFormat="1" ht="15.75" customHeight="1" x14ac:dyDescent="0.2">
      <c r="A1368" s="26">
        <v>1765</v>
      </c>
      <c r="B1368" s="27" t="s">
        <v>2415</v>
      </c>
      <c r="C1368" s="27" t="s">
        <v>3094</v>
      </c>
      <c r="D1368" s="28">
        <v>0</v>
      </c>
      <c r="E1368" s="29">
        <v>5.77</v>
      </c>
      <c r="F1368" s="29">
        <v>4.97</v>
      </c>
      <c r="G1368" s="30" t="s">
        <v>39</v>
      </c>
      <c r="H1368" s="27" t="s">
        <v>40</v>
      </c>
      <c r="I1368" s="27" t="s">
        <v>49</v>
      </c>
      <c r="J1368" s="27" t="s">
        <v>72</v>
      </c>
      <c r="K1368" s="27" t="s">
        <v>73</v>
      </c>
      <c r="L1368" s="31" t="s">
        <v>2416</v>
      </c>
      <c r="M1368" s="32">
        <v>0.35</v>
      </c>
      <c r="N1368" s="27" t="s">
        <v>33</v>
      </c>
      <c r="O1368" s="27" t="s">
        <v>53</v>
      </c>
      <c r="P1368" s="27" t="s">
        <v>80</v>
      </c>
      <c r="Q1368" s="27" t="s">
        <v>2417</v>
      </c>
      <c r="R1368" s="33">
        <v>63141</v>
      </c>
      <c r="S1368" s="34">
        <v>42128</v>
      </c>
      <c r="T1368" s="34">
        <v>42129</v>
      </c>
      <c r="U1368" s="29">
        <v>3.5581</v>
      </c>
      <c r="V1368" s="26">
        <v>8</v>
      </c>
      <c r="W1368" s="29">
        <v>52.43</v>
      </c>
      <c r="X1368" s="26">
        <v>89777</v>
      </c>
      <c r="Y1368" s="35">
        <v>160.94999999999999</v>
      </c>
      <c r="Z1368" s="1" t="s">
        <v>3012</v>
      </c>
      <c r="AA1368" s="36">
        <v>0</v>
      </c>
      <c r="AB1368" s="54">
        <v>34.079500000000003</v>
      </c>
      <c r="AC1368" s="54">
        <v>2.2938125</v>
      </c>
      <c r="AD1368" s="36">
        <v>43.901899999999998</v>
      </c>
    </row>
    <row r="1369" spans="1:30" s="37" customFormat="1" ht="15.75" customHeight="1" x14ac:dyDescent="0.2">
      <c r="A1369" s="26">
        <v>344</v>
      </c>
      <c r="B1369" s="27" t="s">
        <v>2399</v>
      </c>
      <c r="C1369" s="27" t="s">
        <v>26</v>
      </c>
      <c r="D1369" s="28">
        <v>0.01</v>
      </c>
      <c r="E1369" s="29">
        <v>3.26</v>
      </c>
      <c r="F1369" s="29">
        <v>1.86</v>
      </c>
      <c r="G1369" s="30" t="s">
        <v>39</v>
      </c>
      <c r="H1369" s="27" t="s">
        <v>94</v>
      </c>
      <c r="I1369" s="27" t="s">
        <v>49</v>
      </c>
      <c r="J1369" s="27" t="s">
        <v>50</v>
      </c>
      <c r="K1369" s="27" t="s">
        <v>51</v>
      </c>
      <c r="L1369" s="31" t="s">
        <v>2398</v>
      </c>
      <c r="M1369" s="32">
        <v>0.41</v>
      </c>
      <c r="N1369" s="27" t="s">
        <v>33</v>
      </c>
      <c r="O1369" s="27" t="s">
        <v>111</v>
      </c>
      <c r="P1369" s="27" t="s">
        <v>331</v>
      </c>
      <c r="Q1369" s="27" t="s">
        <v>2400</v>
      </c>
      <c r="R1369" s="33">
        <v>4101</v>
      </c>
      <c r="S1369" s="34">
        <v>42128</v>
      </c>
      <c r="T1369" s="34">
        <v>42130</v>
      </c>
      <c r="U1369" s="29">
        <v>0.70199999999999996</v>
      </c>
      <c r="V1369" s="26">
        <v>5</v>
      </c>
      <c r="W1369" s="29">
        <v>18.489999999999998</v>
      </c>
      <c r="X1369" s="26">
        <v>88152</v>
      </c>
      <c r="Y1369" s="35">
        <v>65.949999999999989</v>
      </c>
      <c r="Z1369" s="1" t="s">
        <v>3014</v>
      </c>
      <c r="AA1369" s="36">
        <v>0.16299999999999998</v>
      </c>
      <c r="AB1369" s="54">
        <v>10.9091</v>
      </c>
      <c r="AC1369" s="54">
        <v>1.5161799999999996</v>
      </c>
      <c r="AD1369" s="36">
        <v>15.764999999999999</v>
      </c>
    </row>
    <row r="1370" spans="1:30" s="37" customFormat="1" ht="15.75" customHeight="1" x14ac:dyDescent="0.2">
      <c r="A1370" s="26">
        <v>335</v>
      </c>
      <c r="B1370" s="27" t="s">
        <v>2395</v>
      </c>
      <c r="C1370" s="27" t="s">
        <v>26</v>
      </c>
      <c r="D1370" s="28">
        <v>0.09</v>
      </c>
      <c r="E1370" s="29">
        <v>6.28</v>
      </c>
      <c r="F1370" s="29">
        <v>5.29</v>
      </c>
      <c r="G1370" s="30" t="s">
        <v>39</v>
      </c>
      <c r="H1370" s="27" t="s">
        <v>94</v>
      </c>
      <c r="I1370" s="27" t="s">
        <v>29</v>
      </c>
      <c r="J1370" s="27" t="s">
        <v>126</v>
      </c>
      <c r="K1370" s="27" t="s">
        <v>73</v>
      </c>
      <c r="L1370" s="31" t="s">
        <v>1575</v>
      </c>
      <c r="M1370" s="32">
        <v>0.43</v>
      </c>
      <c r="N1370" s="27" t="s">
        <v>33</v>
      </c>
      <c r="O1370" s="27" t="s">
        <v>60</v>
      </c>
      <c r="P1370" s="27" t="s">
        <v>139</v>
      </c>
      <c r="Q1370" s="27" t="s">
        <v>2396</v>
      </c>
      <c r="R1370" s="33">
        <v>97504</v>
      </c>
      <c r="S1370" s="34">
        <v>42128</v>
      </c>
      <c r="T1370" s="34">
        <v>42128</v>
      </c>
      <c r="U1370" s="29">
        <v>-5.2</v>
      </c>
      <c r="V1370" s="26">
        <v>1</v>
      </c>
      <c r="W1370" s="29">
        <v>8.5299999999999994</v>
      </c>
      <c r="X1370" s="26">
        <v>87277</v>
      </c>
      <c r="Y1370" s="35">
        <v>5.77</v>
      </c>
      <c r="Z1370" s="1" t="s">
        <v>3013</v>
      </c>
      <c r="AA1370" s="36">
        <v>0.56520000000000004</v>
      </c>
      <c r="AB1370" s="54">
        <v>4.8620999999999999</v>
      </c>
      <c r="AC1370" s="54">
        <v>3.6678999999999995</v>
      </c>
      <c r="AD1370" s="36">
        <v>7.8747999999999996</v>
      </c>
    </row>
    <row r="1371" spans="1:30" s="37" customFormat="1" ht="15.75" customHeight="1" x14ac:dyDescent="0.2">
      <c r="A1371" s="26">
        <v>693</v>
      </c>
      <c r="B1371" s="27" t="s">
        <v>1549</v>
      </c>
      <c r="C1371" s="27" t="s">
        <v>38</v>
      </c>
      <c r="D1371" s="28">
        <v>0</v>
      </c>
      <c r="E1371" s="29">
        <v>230.98</v>
      </c>
      <c r="F1371" s="29">
        <v>23.78</v>
      </c>
      <c r="G1371" s="30" t="s">
        <v>27</v>
      </c>
      <c r="H1371" s="27" t="s">
        <v>3095</v>
      </c>
      <c r="I1371" s="27" t="s">
        <v>29</v>
      </c>
      <c r="J1371" s="27" t="s">
        <v>30</v>
      </c>
      <c r="K1371" s="27" t="s">
        <v>31</v>
      </c>
      <c r="L1371" s="31" t="s">
        <v>1528</v>
      </c>
      <c r="M1371" s="32">
        <v>0.6</v>
      </c>
      <c r="N1371" s="27" t="s">
        <v>33</v>
      </c>
      <c r="O1371" s="27" t="s">
        <v>60</v>
      </c>
      <c r="P1371" s="27" t="s">
        <v>61</v>
      </c>
      <c r="Q1371" s="27" t="s">
        <v>1550</v>
      </c>
      <c r="R1371" s="33">
        <v>80229</v>
      </c>
      <c r="S1371" s="34">
        <v>42129</v>
      </c>
      <c r="T1371" s="34">
        <v>42131</v>
      </c>
      <c r="U1371" s="29">
        <v>6095.8602000000001</v>
      </c>
      <c r="V1371" s="26">
        <v>36</v>
      </c>
      <c r="W1371" s="29">
        <v>8834.58</v>
      </c>
      <c r="X1371" s="26">
        <v>87813</v>
      </c>
      <c r="Y1371" s="35">
        <v>230.98</v>
      </c>
      <c r="Z1371" s="1" t="s">
        <v>3013</v>
      </c>
      <c r="AA1371" s="36">
        <v>0</v>
      </c>
      <c r="AB1371" s="54">
        <v>3533.8320000000003</v>
      </c>
      <c r="AC1371" s="54">
        <v>147.24299999999999</v>
      </c>
      <c r="AD1371" s="36">
        <v>2714.9398000000001</v>
      </c>
    </row>
    <row r="1372" spans="1:30" s="37" customFormat="1" ht="15.75" customHeight="1" x14ac:dyDescent="0.2">
      <c r="A1372" s="26">
        <v>2382</v>
      </c>
      <c r="B1372" s="27" t="s">
        <v>2306</v>
      </c>
      <c r="C1372" s="27" t="s">
        <v>48</v>
      </c>
      <c r="D1372" s="28">
        <v>0.06</v>
      </c>
      <c r="E1372" s="29">
        <v>122.99</v>
      </c>
      <c r="F1372" s="29">
        <v>19.989999999999998</v>
      </c>
      <c r="G1372" s="30" t="s">
        <v>39</v>
      </c>
      <c r="H1372" s="27" t="s">
        <v>3095</v>
      </c>
      <c r="I1372" s="27" t="s">
        <v>49</v>
      </c>
      <c r="J1372" s="27" t="s">
        <v>72</v>
      </c>
      <c r="K1372" s="27" t="s">
        <v>73</v>
      </c>
      <c r="L1372" s="31" t="s">
        <v>2424</v>
      </c>
      <c r="M1372" s="32">
        <v>0.37</v>
      </c>
      <c r="N1372" s="27" t="s">
        <v>33</v>
      </c>
      <c r="O1372" s="27" t="s">
        <v>111</v>
      </c>
      <c r="P1372" s="27" t="s">
        <v>112</v>
      </c>
      <c r="Q1372" s="27" t="s">
        <v>113</v>
      </c>
      <c r="R1372" s="33">
        <v>10024</v>
      </c>
      <c r="S1372" s="34">
        <v>42129</v>
      </c>
      <c r="T1372" s="34">
        <v>42131</v>
      </c>
      <c r="U1372" s="29">
        <v>1408.1865</v>
      </c>
      <c r="V1372" s="26">
        <v>48</v>
      </c>
      <c r="W1372" s="29">
        <v>5911.35</v>
      </c>
      <c r="X1372" s="26">
        <v>962</v>
      </c>
      <c r="Y1372" s="35">
        <v>120.94</v>
      </c>
      <c r="Z1372" s="1" t="s">
        <v>3014</v>
      </c>
      <c r="AA1372" s="36">
        <v>354.21119999999996</v>
      </c>
      <c r="AB1372" s="54">
        <v>3724.1505000000002</v>
      </c>
      <c r="AC1372" s="54">
        <v>45.566656250000001</v>
      </c>
      <c r="AD1372" s="36">
        <v>4128.9623000000001</v>
      </c>
    </row>
    <row r="1373" spans="1:30" s="37" customFormat="1" ht="15.75" customHeight="1" x14ac:dyDescent="0.2">
      <c r="A1373" s="26">
        <v>2382</v>
      </c>
      <c r="B1373" s="27" t="s">
        <v>2306</v>
      </c>
      <c r="C1373" s="27" t="s">
        <v>48</v>
      </c>
      <c r="D1373" s="28">
        <v>0.08</v>
      </c>
      <c r="E1373" s="29">
        <v>68.81</v>
      </c>
      <c r="F1373" s="29">
        <v>60</v>
      </c>
      <c r="G1373" s="30" t="s">
        <v>27</v>
      </c>
      <c r="H1373" s="27" t="s">
        <v>3095</v>
      </c>
      <c r="I1373" s="27" t="s">
        <v>49</v>
      </c>
      <c r="J1373" s="27" t="s">
        <v>95</v>
      </c>
      <c r="K1373" s="27" t="s">
        <v>58</v>
      </c>
      <c r="L1373" s="31" t="s">
        <v>1676</v>
      </c>
      <c r="M1373" s="32">
        <v>0.41</v>
      </c>
      <c r="N1373" s="27" t="s">
        <v>33</v>
      </c>
      <c r="O1373" s="27" t="s">
        <v>111</v>
      </c>
      <c r="P1373" s="27" t="s">
        <v>112</v>
      </c>
      <c r="Q1373" s="27" t="s">
        <v>113</v>
      </c>
      <c r="R1373" s="33">
        <v>10024</v>
      </c>
      <c r="S1373" s="34">
        <v>42129</v>
      </c>
      <c r="T1373" s="34">
        <v>42131</v>
      </c>
      <c r="U1373" s="29">
        <v>-1069.72</v>
      </c>
      <c r="V1373" s="26">
        <v>68</v>
      </c>
      <c r="W1373" s="29">
        <v>4649.8500000000004</v>
      </c>
      <c r="X1373" s="26">
        <v>962</v>
      </c>
      <c r="Y1373" s="35">
        <v>55.97</v>
      </c>
      <c r="Z1373" s="1" t="s">
        <v>3014</v>
      </c>
      <c r="AA1373" s="36">
        <v>374.32640000000004</v>
      </c>
      <c r="AB1373" s="54">
        <v>2743.4115000000006</v>
      </c>
      <c r="AC1373" s="54">
        <v>28.035860294117651</v>
      </c>
      <c r="AD1373" s="36">
        <v>5285.2436000000007</v>
      </c>
    </row>
    <row r="1374" spans="1:30" s="37" customFormat="1" ht="15.75" customHeight="1" x14ac:dyDescent="0.2">
      <c r="A1374" s="26">
        <v>2273</v>
      </c>
      <c r="B1374" s="27" t="s">
        <v>2418</v>
      </c>
      <c r="C1374" s="27" t="s">
        <v>48</v>
      </c>
      <c r="D1374" s="28">
        <v>0.04</v>
      </c>
      <c r="E1374" s="29">
        <v>120.98</v>
      </c>
      <c r="F1374" s="29">
        <v>3.99</v>
      </c>
      <c r="G1374" s="30" t="s">
        <v>39</v>
      </c>
      <c r="H1374" s="27" t="s">
        <v>94</v>
      </c>
      <c r="I1374" s="27" t="s">
        <v>49</v>
      </c>
      <c r="J1374" s="27" t="s">
        <v>95</v>
      </c>
      <c r="K1374" s="27" t="s">
        <v>73</v>
      </c>
      <c r="L1374" s="31" t="s">
        <v>2419</v>
      </c>
      <c r="M1374" s="32">
        <v>0.6</v>
      </c>
      <c r="N1374" s="27" t="s">
        <v>33</v>
      </c>
      <c r="O1374" s="27" t="s">
        <v>53</v>
      </c>
      <c r="P1374" s="27" t="s">
        <v>187</v>
      </c>
      <c r="Q1374" s="27" t="s">
        <v>2420</v>
      </c>
      <c r="R1374" s="33">
        <v>78550</v>
      </c>
      <c r="S1374" s="34">
        <v>42129</v>
      </c>
      <c r="T1374" s="34">
        <v>42129</v>
      </c>
      <c r="U1374" s="29">
        <v>1389.5771999999999</v>
      </c>
      <c r="V1374" s="26">
        <v>17</v>
      </c>
      <c r="W1374" s="29">
        <v>2013.88</v>
      </c>
      <c r="X1374" s="26">
        <v>90109</v>
      </c>
      <c r="Y1374" s="35">
        <v>23.939999999999998</v>
      </c>
      <c r="Z1374" s="1" t="s">
        <v>3012</v>
      </c>
      <c r="AA1374" s="36">
        <v>82.266400000000004</v>
      </c>
      <c r="AB1374" s="54">
        <v>805.55200000000013</v>
      </c>
      <c r="AC1374" s="54">
        <v>71.078117647058818</v>
      </c>
      <c r="AD1374" s="36">
        <v>538.04640000000018</v>
      </c>
    </row>
    <row r="1375" spans="1:30" s="37" customFormat="1" ht="15.75" customHeight="1" x14ac:dyDescent="0.2">
      <c r="A1375" s="26">
        <v>2379</v>
      </c>
      <c r="B1375" s="27" t="s">
        <v>2423</v>
      </c>
      <c r="C1375" s="27" t="s">
        <v>48</v>
      </c>
      <c r="D1375" s="28">
        <v>0.06</v>
      </c>
      <c r="E1375" s="29">
        <v>122.99</v>
      </c>
      <c r="F1375" s="29">
        <v>19.989999999999998</v>
      </c>
      <c r="G1375" s="30" t="s">
        <v>39</v>
      </c>
      <c r="H1375" s="27" t="s">
        <v>3095</v>
      </c>
      <c r="I1375" s="27" t="s">
        <v>49</v>
      </c>
      <c r="J1375" s="27" t="s">
        <v>72</v>
      </c>
      <c r="K1375" s="27" t="s">
        <v>73</v>
      </c>
      <c r="L1375" s="31" t="s">
        <v>2424</v>
      </c>
      <c r="M1375" s="32">
        <v>0.37</v>
      </c>
      <c r="N1375" s="27" t="s">
        <v>33</v>
      </c>
      <c r="O1375" s="27" t="s">
        <v>53</v>
      </c>
      <c r="P1375" s="27" t="s">
        <v>289</v>
      </c>
      <c r="Q1375" s="27" t="s">
        <v>2065</v>
      </c>
      <c r="R1375" s="33">
        <v>48135</v>
      </c>
      <c r="S1375" s="34">
        <v>42129</v>
      </c>
      <c r="T1375" s="34">
        <v>42131</v>
      </c>
      <c r="U1375" s="29">
        <v>1019.7096</v>
      </c>
      <c r="V1375" s="26">
        <v>12</v>
      </c>
      <c r="W1375" s="29">
        <v>1477.84</v>
      </c>
      <c r="X1375" s="26">
        <v>86655</v>
      </c>
      <c r="Y1375" s="35">
        <v>122.92999999999999</v>
      </c>
      <c r="Z1375" s="1" t="s">
        <v>3012</v>
      </c>
      <c r="AA1375" s="36">
        <v>88.552799999999991</v>
      </c>
      <c r="AB1375" s="54">
        <v>931.03919999999994</v>
      </c>
      <c r="AC1375" s="54">
        <v>45.566733333333332</v>
      </c>
      <c r="AD1375" s="36">
        <v>349.58760000000007</v>
      </c>
    </row>
    <row r="1376" spans="1:30" s="37" customFormat="1" ht="15.75" customHeight="1" x14ac:dyDescent="0.2">
      <c r="A1376" s="26">
        <v>2380</v>
      </c>
      <c r="B1376" s="27" t="s">
        <v>2304</v>
      </c>
      <c r="C1376" s="27" t="s">
        <v>48</v>
      </c>
      <c r="D1376" s="28">
        <v>0.08</v>
      </c>
      <c r="E1376" s="29">
        <v>68.81</v>
      </c>
      <c r="F1376" s="29">
        <v>60</v>
      </c>
      <c r="G1376" s="30" t="s">
        <v>27</v>
      </c>
      <c r="H1376" s="27" t="s">
        <v>3095</v>
      </c>
      <c r="I1376" s="27" t="s">
        <v>49</v>
      </c>
      <c r="J1376" s="27" t="s">
        <v>95</v>
      </c>
      <c r="K1376" s="27" t="s">
        <v>58</v>
      </c>
      <c r="L1376" s="31" t="s">
        <v>1676</v>
      </c>
      <c r="M1376" s="32">
        <v>0.41</v>
      </c>
      <c r="N1376" s="27" t="s">
        <v>33</v>
      </c>
      <c r="O1376" s="27" t="s">
        <v>53</v>
      </c>
      <c r="P1376" s="27" t="s">
        <v>289</v>
      </c>
      <c r="Q1376" s="27" t="s">
        <v>2305</v>
      </c>
      <c r="R1376" s="33">
        <v>49505</v>
      </c>
      <c r="S1376" s="34">
        <v>42129</v>
      </c>
      <c r="T1376" s="34">
        <v>42131</v>
      </c>
      <c r="U1376" s="29">
        <v>-1069.72</v>
      </c>
      <c r="V1376" s="26">
        <v>17</v>
      </c>
      <c r="W1376" s="29">
        <v>1162.46</v>
      </c>
      <c r="X1376" s="26">
        <v>86655</v>
      </c>
      <c r="Y1376" s="35">
        <v>68.73</v>
      </c>
      <c r="Z1376" s="1" t="s">
        <v>3012</v>
      </c>
      <c r="AA1376" s="36">
        <v>93.581600000000009</v>
      </c>
      <c r="AB1376" s="54">
        <v>685.85140000000013</v>
      </c>
      <c r="AC1376" s="54">
        <v>28.035799999999995</v>
      </c>
      <c r="AD1376" s="36">
        <v>2078.5983999999999</v>
      </c>
    </row>
    <row r="1377" spans="1:30" s="37" customFormat="1" ht="15.75" customHeight="1" x14ac:dyDescent="0.2">
      <c r="A1377" s="26">
        <v>2509</v>
      </c>
      <c r="B1377" s="27" t="s">
        <v>2426</v>
      </c>
      <c r="C1377" s="27" t="s">
        <v>116</v>
      </c>
      <c r="D1377" s="28">
        <v>0.05</v>
      </c>
      <c r="E1377" s="29">
        <v>30.98</v>
      </c>
      <c r="F1377" s="29">
        <v>9.18</v>
      </c>
      <c r="G1377" s="30" t="s">
        <v>39</v>
      </c>
      <c r="H1377" s="27" t="s">
        <v>71</v>
      </c>
      <c r="I1377" s="27" t="s">
        <v>49</v>
      </c>
      <c r="J1377" s="27" t="s">
        <v>88</v>
      </c>
      <c r="K1377" s="27" t="s">
        <v>73</v>
      </c>
      <c r="L1377" s="31" t="s">
        <v>2249</v>
      </c>
      <c r="M1377" s="32">
        <v>0.4</v>
      </c>
      <c r="N1377" s="27" t="s">
        <v>33</v>
      </c>
      <c r="O1377" s="27" t="s">
        <v>111</v>
      </c>
      <c r="P1377" s="27" t="s">
        <v>331</v>
      </c>
      <c r="Q1377" s="27" t="s">
        <v>2427</v>
      </c>
      <c r="R1377" s="33">
        <v>4106</v>
      </c>
      <c r="S1377" s="34">
        <v>42129</v>
      </c>
      <c r="T1377" s="34">
        <v>42129</v>
      </c>
      <c r="U1377" s="29">
        <v>308.67</v>
      </c>
      <c r="V1377" s="26">
        <v>15</v>
      </c>
      <c r="W1377" s="29">
        <v>462.57</v>
      </c>
      <c r="X1377" s="26">
        <v>87029</v>
      </c>
      <c r="Y1377" s="35">
        <v>122.92999999999999</v>
      </c>
      <c r="Z1377" s="1" t="s">
        <v>3014</v>
      </c>
      <c r="AA1377" s="36">
        <v>23.235000000000003</v>
      </c>
      <c r="AB1377" s="54">
        <v>277.54199999999997</v>
      </c>
      <c r="AC1377" s="54">
        <v>12.3352</v>
      </c>
      <c r="AD1377" s="36">
        <v>121.48499999999996</v>
      </c>
    </row>
    <row r="1378" spans="1:30" s="37" customFormat="1" ht="15.75" customHeight="1" x14ac:dyDescent="0.2">
      <c r="A1378" s="26">
        <v>2274</v>
      </c>
      <c r="B1378" s="27" t="s">
        <v>2421</v>
      </c>
      <c r="C1378" s="27" t="s">
        <v>48</v>
      </c>
      <c r="D1378" s="28">
        <v>0.05</v>
      </c>
      <c r="E1378" s="29">
        <v>23.99</v>
      </c>
      <c r="F1378" s="29">
        <v>15.68</v>
      </c>
      <c r="G1378" s="30" t="s">
        <v>27</v>
      </c>
      <c r="H1378" s="27" t="s">
        <v>94</v>
      </c>
      <c r="I1378" s="27" t="s">
        <v>29</v>
      </c>
      <c r="J1378" s="27" t="s">
        <v>126</v>
      </c>
      <c r="K1378" s="27" t="s">
        <v>58</v>
      </c>
      <c r="L1378" s="31" t="s">
        <v>2422</v>
      </c>
      <c r="M1378" s="32">
        <v>0.62</v>
      </c>
      <c r="N1378" s="27" t="s">
        <v>33</v>
      </c>
      <c r="O1378" s="27" t="s">
        <v>53</v>
      </c>
      <c r="P1378" s="27" t="s">
        <v>187</v>
      </c>
      <c r="Q1378" s="27" t="s">
        <v>1753</v>
      </c>
      <c r="R1378" s="33">
        <v>77036</v>
      </c>
      <c r="S1378" s="34">
        <v>42129</v>
      </c>
      <c r="T1378" s="34">
        <v>42133</v>
      </c>
      <c r="U1378" s="29">
        <v>-133.71</v>
      </c>
      <c r="V1378" s="26">
        <v>12</v>
      </c>
      <c r="W1378" s="29">
        <v>298.51</v>
      </c>
      <c r="X1378" s="26">
        <v>90109</v>
      </c>
      <c r="Y1378" s="35">
        <v>68.73</v>
      </c>
      <c r="Z1378" s="1" t="s">
        <v>3012</v>
      </c>
      <c r="AA1378" s="36">
        <v>14.394</v>
      </c>
      <c r="AB1378" s="54">
        <v>113.43379999999999</v>
      </c>
      <c r="AC1378" s="54">
        <v>15.423016666666665</v>
      </c>
      <c r="AD1378" s="36">
        <v>402.14599999999996</v>
      </c>
    </row>
    <row r="1379" spans="1:30" s="37" customFormat="1" ht="15.75" customHeight="1" x14ac:dyDescent="0.2">
      <c r="A1379" s="26">
        <v>2273</v>
      </c>
      <c r="B1379" s="27" t="s">
        <v>2418</v>
      </c>
      <c r="C1379" s="27" t="s">
        <v>48</v>
      </c>
      <c r="D1379" s="28">
        <v>0.02</v>
      </c>
      <c r="E1379" s="29">
        <v>55.99</v>
      </c>
      <c r="F1379" s="29">
        <v>5</v>
      </c>
      <c r="G1379" s="30" t="s">
        <v>39</v>
      </c>
      <c r="H1379" s="27" t="s">
        <v>94</v>
      </c>
      <c r="I1379" s="27" t="s">
        <v>41</v>
      </c>
      <c r="J1379" s="27" t="s">
        <v>135</v>
      </c>
      <c r="K1379" s="27" t="s">
        <v>43</v>
      </c>
      <c r="L1379" s="31" t="s">
        <v>1938</v>
      </c>
      <c r="M1379" s="32">
        <v>0.83</v>
      </c>
      <c r="N1379" s="27" t="s">
        <v>33</v>
      </c>
      <c r="O1379" s="27" t="s">
        <v>53</v>
      </c>
      <c r="P1379" s="27" t="s">
        <v>187</v>
      </c>
      <c r="Q1379" s="27" t="s">
        <v>2420</v>
      </c>
      <c r="R1379" s="33">
        <v>78550</v>
      </c>
      <c r="S1379" s="34">
        <v>42129</v>
      </c>
      <c r="T1379" s="34">
        <v>42129</v>
      </c>
      <c r="U1379" s="29">
        <v>-222.816</v>
      </c>
      <c r="V1379" s="26">
        <v>4</v>
      </c>
      <c r="W1379" s="29">
        <v>201.32</v>
      </c>
      <c r="X1379" s="26">
        <v>90109</v>
      </c>
      <c r="Y1379" s="35">
        <v>15.120000000000001</v>
      </c>
      <c r="Z1379" s="1" t="s">
        <v>3012</v>
      </c>
      <c r="AA1379" s="36">
        <v>4.4792000000000005</v>
      </c>
      <c r="AB1379" s="54">
        <v>34.22440000000001</v>
      </c>
      <c r="AC1379" s="54">
        <v>41.773899999999998</v>
      </c>
      <c r="AD1379" s="36">
        <v>414.65679999999998</v>
      </c>
    </row>
    <row r="1380" spans="1:30" s="37" customFormat="1" ht="15.75" customHeight="1" x14ac:dyDescent="0.2">
      <c r="A1380" s="26">
        <v>1979</v>
      </c>
      <c r="B1380" s="27" t="s">
        <v>2428</v>
      </c>
      <c r="C1380" s="27" t="s">
        <v>3094</v>
      </c>
      <c r="D1380" s="28">
        <v>0.05</v>
      </c>
      <c r="E1380" s="29">
        <v>20.99</v>
      </c>
      <c r="F1380" s="29">
        <v>3.3</v>
      </c>
      <c r="G1380" s="30" t="s">
        <v>39</v>
      </c>
      <c r="H1380" s="27" t="s">
        <v>94</v>
      </c>
      <c r="I1380" s="27" t="s">
        <v>41</v>
      </c>
      <c r="J1380" s="27" t="s">
        <v>135</v>
      </c>
      <c r="K1380" s="27" t="s">
        <v>43</v>
      </c>
      <c r="L1380" s="31" t="s">
        <v>1583</v>
      </c>
      <c r="M1380" s="32">
        <v>0.81</v>
      </c>
      <c r="N1380" s="27" t="s">
        <v>33</v>
      </c>
      <c r="O1380" s="27" t="s">
        <v>60</v>
      </c>
      <c r="P1380" s="27" t="s">
        <v>61</v>
      </c>
      <c r="Q1380" s="27" t="s">
        <v>2429</v>
      </c>
      <c r="R1380" s="33">
        <v>80122</v>
      </c>
      <c r="S1380" s="34">
        <v>42129</v>
      </c>
      <c r="T1380" s="34">
        <v>42130</v>
      </c>
      <c r="U1380" s="29">
        <v>21.883400000000002</v>
      </c>
      <c r="V1380" s="26">
        <v>4</v>
      </c>
      <c r="W1380" s="29">
        <v>72.75</v>
      </c>
      <c r="X1380" s="26">
        <v>87757</v>
      </c>
      <c r="Y1380" s="35">
        <v>30.93</v>
      </c>
      <c r="Z1380" s="1" t="s">
        <v>3013</v>
      </c>
      <c r="AA1380" s="36">
        <v>4.1979999999999995</v>
      </c>
      <c r="AB1380" s="54">
        <v>13.822499999999996</v>
      </c>
      <c r="AC1380" s="54">
        <v>14.731875</v>
      </c>
      <c r="AD1380" s="36">
        <v>43.368600000000001</v>
      </c>
    </row>
    <row r="1381" spans="1:30" s="37" customFormat="1" ht="15.75" customHeight="1" x14ac:dyDescent="0.2">
      <c r="A1381" s="26">
        <v>1101</v>
      </c>
      <c r="B1381" s="27" t="s">
        <v>2425</v>
      </c>
      <c r="C1381" s="27" t="s">
        <v>116</v>
      </c>
      <c r="D1381" s="28">
        <v>0.02</v>
      </c>
      <c r="E1381" s="29">
        <v>15.14</v>
      </c>
      <c r="F1381" s="29">
        <v>4.53</v>
      </c>
      <c r="G1381" s="30" t="s">
        <v>39</v>
      </c>
      <c r="H1381" s="27" t="s">
        <v>3095</v>
      </c>
      <c r="I1381" s="27" t="s">
        <v>49</v>
      </c>
      <c r="J1381" s="27" t="s">
        <v>78</v>
      </c>
      <c r="K1381" s="27" t="s">
        <v>73</v>
      </c>
      <c r="L1381" s="31" t="s">
        <v>1355</v>
      </c>
      <c r="M1381" s="32">
        <v>0.81</v>
      </c>
      <c r="N1381" s="27" t="s">
        <v>33</v>
      </c>
      <c r="O1381" s="27" t="s">
        <v>60</v>
      </c>
      <c r="P1381" s="27" t="s">
        <v>90</v>
      </c>
      <c r="Q1381" s="27" t="s">
        <v>1255</v>
      </c>
      <c r="R1381" s="33">
        <v>93030</v>
      </c>
      <c r="S1381" s="34">
        <v>42129</v>
      </c>
      <c r="T1381" s="34">
        <v>42130</v>
      </c>
      <c r="U1381" s="29">
        <v>5.8840000000000003</v>
      </c>
      <c r="V1381" s="26">
        <v>3</v>
      </c>
      <c r="W1381" s="29">
        <v>51.02</v>
      </c>
      <c r="X1381" s="26">
        <v>91488</v>
      </c>
      <c r="Y1381" s="35">
        <v>20.939999999999998</v>
      </c>
      <c r="Z1381" s="1" t="s">
        <v>3013</v>
      </c>
      <c r="AA1381" s="36">
        <v>0.9084000000000001</v>
      </c>
      <c r="AB1381" s="54">
        <v>9.6937999999999978</v>
      </c>
      <c r="AC1381" s="54">
        <v>13.775400000000001</v>
      </c>
      <c r="AD1381" s="36">
        <v>39.697600000000001</v>
      </c>
    </row>
    <row r="1382" spans="1:30" s="37" customFormat="1" ht="15.75" customHeight="1" x14ac:dyDescent="0.2">
      <c r="A1382" s="26">
        <v>1416</v>
      </c>
      <c r="B1382" s="27" t="s">
        <v>2430</v>
      </c>
      <c r="C1382" s="27" t="s">
        <v>26</v>
      </c>
      <c r="D1382" s="28">
        <v>0.02</v>
      </c>
      <c r="E1382" s="29">
        <v>417.4</v>
      </c>
      <c r="F1382" s="29">
        <v>75.23</v>
      </c>
      <c r="G1382" s="30" t="s">
        <v>27</v>
      </c>
      <c r="H1382" s="27" t="s">
        <v>3095</v>
      </c>
      <c r="I1382" s="27" t="s">
        <v>29</v>
      </c>
      <c r="J1382" s="27" t="s">
        <v>30</v>
      </c>
      <c r="K1382" s="27" t="s">
        <v>31</v>
      </c>
      <c r="L1382" s="31" t="s">
        <v>1195</v>
      </c>
      <c r="M1382" s="32">
        <v>0.79</v>
      </c>
      <c r="N1382" s="27" t="s">
        <v>33</v>
      </c>
      <c r="O1382" s="27" t="s">
        <v>53</v>
      </c>
      <c r="P1382" s="27" t="s">
        <v>54</v>
      </c>
      <c r="Q1382" s="27" t="s">
        <v>1512</v>
      </c>
      <c r="R1382" s="33">
        <v>46203</v>
      </c>
      <c r="S1382" s="34">
        <v>42130</v>
      </c>
      <c r="T1382" s="34">
        <v>42131</v>
      </c>
      <c r="U1382" s="29">
        <v>-634.86540000000002</v>
      </c>
      <c r="V1382" s="26">
        <v>1</v>
      </c>
      <c r="W1382" s="29">
        <v>471.21</v>
      </c>
      <c r="X1382" s="26">
        <v>90538</v>
      </c>
      <c r="Y1382" s="35">
        <v>417.38</v>
      </c>
      <c r="Z1382" s="1" t="s">
        <v>3012</v>
      </c>
      <c r="AA1382" s="36">
        <v>8.347999999999999</v>
      </c>
      <c r="AB1382" s="54">
        <v>98.954099999999983</v>
      </c>
      <c r="AC1382" s="54">
        <v>372.2559</v>
      </c>
      <c r="AD1382" s="36">
        <v>1022.4974</v>
      </c>
    </row>
    <row r="1383" spans="1:30" s="37" customFormat="1" ht="15.75" customHeight="1" x14ac:dyDescent="0.2">
      <c r="A1383" s="26">
        <v>1986</v>
      </c>
      <c r="B1383" s="27" t="s">
        <v>2433</v>
      </c>
      <c r="C1383" s="27" t="s">
        <v>3094</v>
      </c>
      <c r="D1383" s="28">
        <v>0.01</v>
      </c>
      <c r="E1383" s="29">
        <v>15.31</v>
      </c>
      <c r="F1383" s="29">
        <v>8.7799999999999994</v>
      </c>
      <c r="G1383" s="30" t="s">
        <v>39</v>
      </c>
      <c r="H1383" s="27" t="s">
        <v>71</v>
      </c>
      <c r="I1383" s="27" t="s">
        <v>49</v>
      </c>
      <c r="J1383" s="27" t="s">
        <v>78</v>
      </c>
      <c r="K1383" s="27" t="s">
        <v>73</v>
      </c>
      <c r="L1383" s="31" t="s">
        <v>2434</v>
      </c>
      <c r="M1383" s="32">
        <v>0.56999999999999995</v>
      </c>
      <c r="N1383" s="27" t="s">
        <v>33</v>
      </c>
      <c r="O1383" s="27" t="s">
        <v>53</v>
      </c>
      <c r="P1383" s="27" t="s">
        <v>187</v>
      </c>
      <c r="Q1383" s="27" t="s">
        <v>1504</v>
      </c>
      <c r="R1383" s="33">
        <v>79701</v>
      </c>
      <c r="S1383" s="34">
        <v>42130</v>
      </c>
      <c r="T1383" s="34">
        <v>42131</v>
      </c>
      <c r="U1383" s="29">
        <v>12.146000000000001</v>
      </c>
      <c r="V1383" s="26">
        <v>23</v>
      </c>
      <c r="W1383" s="29">
        <v>377</v>
      </c>
      <c r="X1383" s="26">
        <v>90888</v>
      </c>
      <c r="Y1383" s="35">
        <v>9.07</v>
      </c>
      <c r="Z1383" s="1" t="s">
        <v>3012</v>
      </c>
      <c r="AA1383" s="36">
        <v>3.5213000000000001</v>
      </c>
      <c r="AB1383" s="54">
        <v>162.11000000000001</v>
      </c>
      <c r="AC1383" s="54">
        <v>9.3430434782608689</v>
      </c>
      <c r="AD1383" s="36">
        <v>352.55270000000002</v>
      </c>
    </row>
    <row r="1384" spans="1:30" s="37" customFormat="1" ht="15.75" customHeight="1" x14ac:dyDescent="0.2">
      <c r="A1384" s="26">
        <v>2420</v>
      </c>
      <c r="B1384" s="27" t="s">
        <v>2431</v>
      </c>
      <c r="C1384" s="27" t="s">
        <v>38</v>
      </c>
      <c r="D1384" s="28">
        <v>0.04</v>
      </c>
      <c r="E1384" s="29">
        <v>9.11</v>
      </c>
      <c r="F1384" s="29">
        <v>2.15</v>
      </c>
      <c r="G1384" s="30" t="s">
        <v>39</v>
      </c>
      <c r="H1384" s="27" t="s">
        <v>40</v>
      </c>
      <c r="I1384" s="27" t="s">
        <v>49</v>
      </c>
      <c r="J1384" s="27" t="s">
        <v>88</v>
      </c>
      <c r="K1384" s="27" t="s">
        <v>51</v>
      </c>
      <c r="L1384" s="31" t="s">
        <v>89</v>
      </c>
      <c r="M1384" s="32">
        <v>0.4</v>
      </c>
      <c r="N1384" s="27" t="s">
        <v>33</v>
      </c>
      <c r="O1384" s="27" t="s">
        <v>34</v>
      </c>
      <c r="P1384" s="27" t="s">
        <v>242</v>
      </c>
      <c r="Q1384" s="27" t="s">
        <v>2432</v>
      </c>
      <c r="R1384" s="33">
        <v>23223</v>
      </c>
      <c r="S1384" s="34">
        <v>42130</v>
      </c>
      <c r="T1384" s="34">
        <v>42130</v>
      </c>
      <c r="U1384" s="29">
        <v>-23.071999999999999</v>
      </c>
      <c r="V1384" s="26">
        <v>11</v>
      </c>
      <c r="W1384" s="29">
        <v>100.87</v>
      </c>
      <c r="X1384" s="26">
        <v>86752</v>
      </c>
      <c r="Y1384" s="35">
        <v>15.3</v>
      </c>
      <c r="Z1384" s="1" t="s">
        <v>3011</v>
      </c>
      <c r="AA1384" s="36">
        <v>4.0084</v>
      </c>
      <c r="AB1384" s="54">
        <v>60.521999999999998</v>
      </c>
      <c r="AC1384" s="54">
        <v>3.6680000000000001</v>
      </c>
      <c r="AD1384" s="36">
        <v>117.78360000000001</v>
      </c>
    </row>
    <row r="1385" spans="1:30" s="37" customFormat="1" ht="15.75" customHeight="1" x14ac:dyDescent="0.2">
      <c r="A1385" s="26">
        <v>1986</v>
      </c>
      <c r="B1385" s="27" t="s">
        <v>2433</v>
      </c>
      <c r="C1385" s="27" t="s">
        <v>3094</v>
      </c>
      <c r="D1385" s="28">
        <v>0.05</v>
      </c>
      <c r="E1385" s="29">
        <v>7.99</v>
      </c>
      <c r="F1385" s="29">
        <v>5.03</v>
      </c>
      <c r="G1385" s="30" t="s">
        <v>87</v>
      </c>
      <c r="H1385" s="27" t="s">
        <v>71</v>
      </c>
      <c r="I1385" s="27" t="s">
        <v>41</v>
      </c>
      <c r="J1385" s="27" t="s">
        <v>135</v>
      </c>
      <c r="K1385" s="27" t="s">
        <v>144</v>
      </c>
      <c r="L1385" s="31" t="s">
        <v>465</v>
      </c>
      <c r="M1385" s="32">
        <v>0.6</v>
      </c>
      <c r="N1385" s="27" t="s">
        <v>33</v>
      </c>
      <c r="O1385" s="27" t="s">
        <v>53</v>
      </c>
      <c r="P1385" s="27" t="s">
        <v>187</v>
      </c>
      <c r="Q1385" s="27" t="s">
        <v>1504</v>
      </c>
      <c r="R1385" s="33">
        <v>79701</v>
      </c>
      <c r="S1385" s="34">
        <v>42130</v>
      </c>
      <c r="T1385" s="34">
        <v>42132</v>
      </c>
      <c r="U1385" s="29">
        <v>5.6870000000000003</v>
      </c>
      <c r="V1385" s="26">
        <v>4</v>
      </c>
      <c r="W1385" s="29">
        <v>42.99</v>
      </c>
      <c r="X1385" s="26">
        <v>90888</v>
      </c>
      <c r="Y1385" s="35">
        <v>7.94</v>
      </c>
      <c r="Z1385" s="1" t="s">
        <v>3012</v>
      </c>
      <c r="AA1385" s="36">
        <v>1.5980000000000001</v>
      </c>
      <c r="AB1385" s="54">
        <v>17.196000000000002</v>
      </c>
      <c r="AC1385" s="54">
        <v>6.4485000000000001</v>
      </c>
      <c r="AD1385" s="36">
        <v>30.675000000000001</v>
      </c>
    </row>
    <row r="1386" spans="1:30" s="37" customFormat="1" ht="15.75" customHeight="1" x14ac:dyDescent="0.2">
      <c r="A1386" s="26">
        <v>3079</v>
      </c>
      <c r="B1386" s="27" t="s">
        <v>319</v>
      </c>
      <c r="C1386" s="27" t="s">
        <v>116</v>
      </c>
      <c r="D1386" s="28">
        <v>7.0000000000000007E-2</v>
      </c>
      <c r="E1386" s="29">
        <v>300.97000000000003</v>
      </c>
      <c r="F1386" s="29">
        <v>7.18</v>
      </c>
      <c r="G1386" s="30" t="s">
        <v>39</v>
      </c>
      <c r="H1386" s="27" t="s">
        <v>3095</v>
      </c>
      <c r="I1386" s="27" t="s">
        <v>41</v>
      </c>
      <c r="J1386" s="27" t="s">
        <v>42</v>
      </c>
      <c r="K1386" s="27" t="s">
        <v>73</v>
      </c>
      <c r="L1386" s="31" t="s">
        <v>2209</v>
      </c>
      <c r="M1386" s="32">
        <v>0.48</v>
      </c>
      <c r="N1386" s="27" t="s">
        <v>33</v>
      </c>
      <c r="O1386" s="27" t="s">
        <v>111</v>
      </c>
      <c r="P1386" s="27" t="s">
        <v>320</v>
      </c>
      <c r="Q1386" s="27" t="s">
        <v>321</v>
      </c>
      <c r="R1386" s="33">
        <v>19112</v>
      </c>
      <c r="S1386" s="34">
        <v>42131</v>
      </c>
      <c r="T1386" s="34">
        <v>42133</v>
      </c>
      <c r="U1386" s="29">
        <v>-807.59</v>
      </c>
      <c r="V1386" s="26">
        <v>7</v>
      </c>
      <c r="W1386" s="29">
        <v>2037.69</v>
      </c>
      <c r="X1386" s="26">
        <v>41253</v>
      </c>
      <c r="Y1386" s="35">
        <v>73.960000000000008</v>
      </c>
      <c r="Z1386" s="1" t="s">
        <v>3014</v>
      </c>
      <c r="AA1386" s="36">
        <v>147.47530000000003</v>
      </c>
      <c r="AB1386" s="54">
        <v>1059.5988</v>
      </c>
      <c r="AC1386" s="54">
        <v>139.7273142857143</v>
      </c>
      <c r="AD1386" s="36">
        <v>2690.6247000000003</v>
      </c>
    </row>
    <row r="1387" spans="1:30" s="37" customFormat="1" ht="15.75" customHeight="1" x14ac:dyDescent="0.2">
      <c r="A1387" s="26">
        <v>3077</v>
      </c>
      <c r="B1387" s="27" t="s">
        <v>2447</v>
      </c>
      <c r="C1387" s="27" t="s">
        <v>116</v>
      </c>
      <c r="D1387" s="28">
        <v>7.0000000000000007E-2</v>
      </c>
      <c r="E1387" s="29">
        <v>300.97000000000003</v>
      </c>
      <c r="F1387" s="29">
        <v>7.18</v>
      </c>
      <c r="G1387" s="30" t="s">
        <v>39</v>
      </c>
      <c r="H1387" s="27" t="s">
        <v>3095</v>
      </c>
      <c r="I1387" s="27" t="s">
        <v>41</v>
      </c>
      <c r="J1387" s="27" t="s">
        <v>42</v>
      </c>
      <c r="K1387" s="27" t="s">
        <v>73</v>
      </c>
      <c r="L1387" s="31" t="s">
        <v>2209</v>
      </c>
      <c r="M1387" s="32">
        <v>0.48</v>
      </c>
      <c r="N1387" s="27" t="s">
        <v>33</v>
      </c>
      <c r="O1387" s="27" t="s">
        <v>111</v>
      </c>
      <c r="P1387" s="27" t="s">
        <v>317</v>
      </c>
      <c r="Q1387" s="27" t="s">
        <v>2448</v>
      </c>
      <c r="R1387" s="33">
        <v>44136</v>
      </c>
      <c r="S1387" s="34">
        <v>42131</v>
      </c>
      <c r="T1387" s="34">
        <v>42133</v>
      </c>
      <c r="U1387" s="29">
        <v>-807.59</v>
      </c>
      <c r="V1387" s="26">
        <v>2</v>
      </c>
      <c r="W1387" s="29">
        <v>582.20000000000005</v>
      </c>
      <c r="X1387" s="26">
        <v>88239</v>
      </c>
      <c r="Y1387" s="35">
        <v>3.61</v>
      </c>
      <c r="Z1387" s="1" t="s">
        <v>3014</v>
      </c>
      <c r="AA1387" s="36">
        <v>42.13580000000001</v>
      </c>
      <c r="AB1387" s="54">
        <v>302.74400000000003</v>
      </c>
      <c r="AC1387" s="54">
        <v>139.72800000000001</v>
      </c>
      <c r="AD1387" s="36">
        <v>1340.4742000000001</v>
      </c>
    </row>
    <row r="1388" spans="1:30" s="37" customFormat="1" ht="15.75" customHeight="1" x14ac:dyDescent="0.2">
      <c r="A1388" s="26">
        <v>1261</v>
      </c>
      <c r="B1388" s="27" t="s">
        <v>2435</v>
      </c>
      <c r="C1388" s="27" t="s">
        <v>26</v>
      </c>
      <c r="D1388" s="28">
        <v>0.02</v>
      </c>
      <c r="E1388" s="29">
        <v>73.98</v>
      </c>
      <c r="F1388" s="29">
        <v>14.52</v>
      </c>
      <c r="G1388" s="30" t="s">
        <v>39</v>
      </c>
      <c r="H1388" s="27" t="s">
        <v>71</v>
      </c>
      <c r="I1388" s="27" t="s">
        <v>41</v>
      </c>
      <c r="J1388" s="27" t="s">
        <v>42</v>
      </c>
      <c r="K1388" s="27" t="s">
        <v>73</v>
      </c>
      <c r="L1388" s="31" t="s">
        <v>308</v>
      </c>
      <c r="M1388" s="32">
        <v>0.65</v>
      </c>
      <c r="N1388" s="27" t="s">
        <v>33</v>
      </c>
      <c r="O1388" s="27" t="s">
        <v>60</v>
      </c>
      <c r="P1388" s="27" t="s">
        <v>61</v>
      </c>
      <c r="Q1388" s="27" t="s">
        <v>2436</v>
      </c>
      <c r="R1388" s="33">
        <v>80020</v>
      </c>
      <c r="S1388" s="34">
        <v>42131</v>
      </c>
      <c r="T1388" s="34">
        <v>42134</v>
      </c>
      <c r="U1388" s="29">
        <v>43.537999999999997</v>
      </c>
      <c r="V1388" s="26">
        <v>5</v>
      </c>
      <c r="W1388" s="29">
        <v>378.23</v>
      </c>
      <c r="X1388" s="26">
        <v>89730</v>
      </c>
      <c r="Y1388" s="35">
        <v>35.940000000000005</v>
      </c>
      <c r="Z1388" s="1" t="s">
        <v>3013</v>
      </c>
      <c r="AA1388" s="36">
        <v>7.3979999999999997</v>
      </c>
      <c r="AB1388" s="54">
        <v>132.38050000000001</v>
      </c>
      <c r="AC1388" s="54">
        <v>49.169900000000005</v>
      </c>
      <c r="AD1388" s="36">
        <v>312.774</v>
      </c>
    </row>
    <row r="1389" spans="1:30" s="37" customFormat="1" ht="15.75" customHeight="1" x14ac:dyDescent="0.2">
      <c r="A1389" s="26">
        <v>1725</v>
      </c>
      <c r="B1389" s="27" t="s">
        <v>2439</v>
      </c>
      <c r="C1389" s="27" t="s">
        <v>38</v>
      </c>
      <c r="D1389" s="28">
        <v>0.05</v>
      </c>
      <c r="E1389" s="29">
        <v>35.99</v>
      </c>
      <c r="F1389" s="29">
        <v>1.1000000000000001</v>
      </c>
      <c r="G1389" s="30" t="s">
        <v>39</v>
      </c>
      <c r="H1389" s="27" t="s">
        <v>94</v>
      </c>
      <c r="I1389" s="27" t="s">
        <v>41</v>
      </c>
      <c r="J1389" s="27" t="s">
        <v>135</v>
      </c>
      <c r="K1389" s="27" t="s">
        <v>73</v>
      </c>
      <c r="L1389" s="31" t="s">
        <v>274</v>
      </c>
      <c r="M1389" s="32">
        <v>0.55000000000000004</v>
      </c>
      <c r="N1389" s="27" t="s">
        <v>33</v>
      </c>
      <c r="O1389" s="27" t="s">
        <v>111</v>
      </c>
      <c r="P1389" s="27" t="s">
        <v>317</v>
      </c>
      <c r="Q1389" s="27" t="s">
        <v>2440</v>
      </c>
      <c r="R1389" s="33">
        <v>43026</v>
      </c>
      <c r="S1389" s="34">
        <v>42131</v>
      </c>
      <c r="T1389" s="34">
        <v>42133</v>
      </c>
      <c r="U1389" s="29">
        <v>149.166</v>
      </c>
      <c r="V1389" s="26">
        <v>9</v>
      </c>
      <c r="W1389" s="29">
        <v>261.56</v>
      </c>
      <c r="X1389" s="26">
        <v>87193</v>
      </c>
      <c r="Y1389" s="35">
        <v>4.6899999999999995</v>
      </c>
      <c r="Z1389" s="1" t="s">
        <v>3014</v>
      </c>
      <c r="AA1389" s="36">
        <v>16.195500000000003</v>
      </c>
      <c r="AB1389" s="54">
        <v>117.70199999999998</v>
      </c>
      <c r="AC1389" s="54">
        <v>15.984222222222224</v>
      </c>
      <c r="AD1389" s="36">
        <v>95.098500000000001</v>
      </c>
    </row>
    <row r="1390" spans="1:30" s="37" customFormat="1" ht="15.75" customHeight="1" x14ac:dyDescent="0.2">
      <c r="A1390" s="26">
        <v>1502</v>
      </c>
      <c r="B1390" s="27" t="s">
        <v>2437</v>
      </c>
      <c r="C1390" s="27" t="s">
        <v>26</v>
      </c>
      <c r="D1390" s="28">
        <v>0.08</v>
      </c>
      <c r="E1390" s="29">
        <v>3.69</v>
      </c>
      <c r="F1390" s="29">
        <v>0.5</v>
      </c>
      <c r="G1390" s="30" t="s">
        <v>39</v>
      </c>
      <c r="H1390" s="27" t="s">
        <v>3095</v>
      </c>
      <c r="I1390" s="27" t="s">
        <v>49</v>
      </c>
      <c r="J1390" s="27" t="s">
        <v>152</v>
      </c>
      <c r="K1390" s="27" t="s">
        <v>73</v>
      </c>
      <c r="L1390" s="31" t="s">
        <v>1894</v>
      </c>
      <c r="M1390" s="32">
        <v>0.38</v>
      </c>
      <c r="N1390" s="27" t="s">
        <v>33</v>
      </c>
      <c r="O1390" s="27" t="s">
        <v>34</v>
      </c>
      <c r="P1390" s="27" t="s">
        <v>123</v>
      </c>
      <c r="Q1390" s="27" t="s">
        <v>2438</v>
      </c>
      <c r="R1390" s="33">
        <v>33065</v>
      </c>
      <c r="S1390" s="34">
        <v>42131</v>
      </c>
      <c r="T1390" s="34">
        <v>42134</v>
      </c>
      <c r="U1390" s="29">
        <v>-3.6547000000000001</v>
      </c>
      <c r="V1390" s="26">
        <v>38</v>
      </c>
      <c r="W1390" s="29">
        <v>129.43</v>
      </c>
      <c r="X1390" s="26">
        <v>89193</v>
      </c>
      <c r="Y1390" s="35">
        <v>2.71</v>
      </c>
      <c r="Z1390" s="1" t="s">
        <v>3011</v>
      </c>
      <c r="AA1390" s="36">
        <v>11.217600000000001</v>
      </c>
      <c r="AB1390" s="54">
        <v>80.246600000000001</v>
      </c>
      <c r="AC1390" s="54">
        <v>1.2943000000000002</v>
      </c>
      <c r="AD1390" s="36">
        <v>121.36710000000001</v>
      </c>
    </row>
    <row r="1391" spans="1:30" s="37" customFormat="1" ht="15.75" customHeight="1" x14ac:dyDescent="0.2">
      <c r="A1391" s="26">
        <v>1997</v>
      </c>
      <c r="B1391" s="27" t="s">
        <v>774</v>
      </c>
      <c r="C1391" s="27" t="s">
        <v>116</v>
      </c>
      <c r="D1391" s="28">
        <v>0.01</v>
      </c>
      <c r="E1391" s="29">
        <v>16.48</v>
      </c>
      <c r="F1391" s="29">
        <v>1.99</v>
      </c>
      <c r="G1391" s="30" t="s">
        <v>39</v>
      </c>
      <c r="H1391" s="27" t="s">
        <v>40</v>
      </c>
      <c r="I1391" s="27" t="s">
        <v>41</v>
      </c>
      <c r="J1391" s="27" t="s">
        <v>42</v>
      </c>
      <c r="K1391" s="27" t="s">
        <v>43</v>
      </c>
      <c r="L1391" s="31" t="s">
        <v>601</v>
      </c>
      <c r="M1391" s="32">
        <v>0.42</v>
      </c>
      <c r="N1391" s="27" t="s">
        <v>33</v>
      </c>
      <c r="O1391" s="27" t="s">
        <v>34</v>
      </c>
      <c r="P1391" s="27" t="s">
        <v>271</v>
      </c>
      <c r="Q1391" s="27" t="s">
        <v>272</v>
      </c>
      <c r="R1391" s="33">
        <v>29915</v>
      </c>
      <c r="S1391" s="34">
        <v>42131</v>
      </c>
      <c r="T1391" s="34">
        <v>42132</v>
      </c>
      <c r="U1391" s="29">
        <v>739.67399999999998</v>
      </c>
      <c r="V1391" s="26">
        <v>7</v>
      </c>
      <c r="W1391" s="29">
        <v>122.93</v>
      </c>
      <c r="X1391" s="26">
        <v>90334</v>
      </c>
      <c r="Y1391" s="35">
        <v>6.4</v>
      </c>
      <c r="Z1391" s="1" t="s">
        <v>3011</v>
      </c>
      <c r="AA1391" s="36">
        <v>1.1536</v>
      </c>
      <c r="AB1391" s="54">
        <v>71.299400000000006</v>
      </c>
      <c r="AC1391" s="54">
        <v>7.3757999999999999</v>
      </c>
      <c r="AD1391" s="36">
        <v>-619.88760000000002</v>
      </c>
    </row>
    <row r="1392" spans="1:30" s="37" customFormat="1" ht="15.75" customHeight="1" x14ac:dyDescent="0.2">
      <c r="A1392" s="26">
        <v>2962</v>
      </c>
      <c r="B1392" s="27" t="s">
        <v>2441</v>
      </c>
      <c r="C1392" s="27" t="s">
        <v>38</v>
      </c>
      <c r="D1392" s="28">
        <v>7.0000000000000007E-2</v>
      </c>
      <c r="E1392" s="29">
        <v>4.76</v>
      </c>
      <c r="F1392" s="29">
        <v>0.88</v>
      </c>
      <c r="G1392" s="30" t="s">
        <v>87</v>
      </c>
      <c r="H1392" s="27" t="s">
        <v>40</v>
      </c>
      <c r="I1392" s="27" t="s">
        <v>49</v>
      </c>
      <c r="J1392" s="27" t="s">
        <v>88</v>
      </c>
      <c r="K1392" s="27" t="s">
        <v>51</v>
      </c>
      <c r="L1392" s="31" t="s">
        <v>2442</v>
      </c>
      <c r="M1392" s="32">
        <v>0.39</v>
      </c>
      <c r="N1392" s="27" t="s">
        <v>33</v>
      </c>
      <c r="O1392" s="27" t="s">
        <v>60</v>
      </c>
      <c r="P1392" s="27" t="s">
        <v>61</v>
      </c>
      <c r="Q1392" s="27" t="s">
        <v>1313</v>
      </c>
      <c r="R1392" s="33">
        <v>80027</v>
      </c>
      <c r="S1392" s="34">
        <v>42131</v>
      </c>
      <c r="T1392" s="34">
        <v>42133</v>
      </c>
      <c r="U1392" s="29">
        <v>33.347700000000003</v>
      </c>
      <c r="V1392" s="26">
        <v>10</v>
      </c>
      <c r="W1392" s="29">
        <v>48.33</v>
      </c>
      <c r="X1392" s="26">
        <v>88611</v>
      </c>
      <c r="Y1392" s="35">
        <v>16.47</v>
      </c>
      <c r="Z1392" s="1" t="s">
        <v>3013</v>
      </c>
      <c r="AA1392" s="36">
        <v>3.3319999999999999</v>
      </c>
      <c r="AB1392" s="54">
        <v>29.481299999999997</v>
      </c>
      <c r="AC1392" s="54">
        <v>1.88487</v>
      </c>
      <c r="AD1392" s="36">
        <v>10.770299999999992</v>
      </c>
    </row>
    <row r="1393" spans="1:30" s="37" customFormat="1" ht="15.75" customHeight="1" x14ac:dyDescent="0.2">
      <c r="A1393" s="26">
        <v>3248</v>
      </c>
      <c r="B1393" s="27" t="s">
        <v>2443</v>
      </c>
      <c r="C1393" s="27" t="s">
        <v>38</v>
      </c>
      <c r="D1393" s="28">
        <v>7.0000000000000007E-2</v>
      </c>
      <c r="E1393" s="29">
        <v>2.78</v>
      </c>
      <c r="F1393" s="29">
        <v>1.49</v>
      </c>
      <c r="G1393" s="30" t="s">
        <v>39</v>
      </c>
      <c r="H1393" s="27" t="s">
        <v>3095</v>
      </c>
      <c r="I1393" s="27" t="s">
        <v>49</v>
      </c>
      <c r="J1393" s="27" t="s">
        <v>72</v>
      </c>
      <c r="K1393" s="27" t="s">
        <v>73</v>
      </c>
      <c r="L1393" s="31" t="s">
        <v>2184</v>
      </c>
      <c r="M1393" s="32">
        <v>0.36</v>
      </c>
      <c r="N1393" s="27" t="s">
        <v>33</v>
      </c>
      <c r="O1393" s="27" t="s">
        <v>34</v>
      </c>
      <c r="P1393" s="27" t="s">
        <v>168</v>
      </c>
      <c r="Q1393" s="27" t="s">
        <v>2444</v>
      </c>
      <c r="R1393" s="33">
        <v>70458</v>
      </c>
      <c r="S1393" s="34">
        <v>42131</v>
      </c>
      <c r="T1393" s="34">
        <v>42132</v>
      </c>
      <c r="U1393" s="29">
        <v>-340.53109999999998</v>
      </c>
      <c r="V1393" s="26">
        <v>17</v>
      </c>
      <c r="W1393" s="29">
        <v>47.12</v>
      </c>
      <c r="X1393" s="26">
        <v>87297</v>
      </c>
      <c r="Y1393" s="35">
        <v>300.90000000000003</v>
      </c>
      <c r="Z1393" s="1" t="s">
        <v>3011</v>
      </c>
      <c r="AA1393" s="36">
        <v>3.3081999999999998</v>
      </c>
      <c r="AB1393" s="54">
        <v>30.1568</v>
      </c>
      <c r="AC1393" s="54">
        <v>0.99783529411764693</v>
      </c>
      <c r="AD1393" s="36">
        <v>382.85289999999998</v>
      </c>
    </row>
    <row r="1394" spans="1:30" s="37" customFormat="1" ht="15.75" customHeight="1" x14ac:dyDescent="0.2">
      <c r="A1394" s="26">
        <v>3338</v>
      </c>
      <c r="B1394" s="27" t="s">
        <v>2445</v>
      </c>
      <c r="C1394" s="27" t="s">
        <v>38</v>
      </c>
      <c r="D1394" s="28">
        <v>0.08</v>
      </c>
      <c r="E1394" s="29">
        <v>6.48</v>
      </c>
      <c r="F1394" s="29">
        <v>8.4</v>
      </c>
      <c r="G1394" s="30" t="s">
        <v>39</v>
      </c>
      <c r="H1394" s="27" t="s">
        <v>40</v>
      </c>
      <c r="I1394" s="27" t="s">
        <v>49</v>
      </c>
      <c r="J1394" s="27" t="s">
        <v>88</v>
      </c>
      <c r="K1394" s="27" t="s">
        <v>73</v>
      </c>
      <c r="L1394" s="31" t="s">
        <v>1943</v>
      </c>
      <c r="M1394" s="32">
        <v>0.37</v>
      </c>
      <c r="N1394" s="27" t="s">
        <v>33</v>
      </c>
      <c r="O1394" s="27" t="s">
        <v>34</v>
      </c>
      <c r="P1394" s="27" t="s">
        <v>123</v>
      </c>
      <c r="Q1394" s="27" t="s">
        <v>2446</v>
      </c>
      <c r="R1394" s="33">
        <v>33614</v>
      </c>
      <c r="S1394" s="34">
        <v>42131</v>
      </c>
      <c r="T1394" s="34">
        <v>42131</v>
      </c>
      <c r="U1394" s="29">
        <v>58.811999999999998</v>
      </c>
      <c r="V1394" s="26">
        <v>7</v>
      </c>
      <c r="W1394" s="29">
        <v>45</v>
      </c>
      <c r="X1394" s="26">
        <v>85979</v>
      </c>
      <c r="Y1394" s="35">
        <v>300.90000000000003</v>
      </c>
      <c r="Z1394" s="1" t="s">
        <v>3011</v>
      </c>
      <c r="AA1394" s="36">
        <v>3.6288000000000005</v>
      </c>
      <c r="AB1394" s="54">
        <v>28.35</v>
      </c>
      <c r="AC1394" s="54">
        <v>2.3785714285714286</v>
      </c>
      <c r="AD1394" s="36">
        <v>-25.840800000000002</v>
      </c>
    </row>
    <row r="1395" spans="1:30" s="37" customFormat="1" ht="15.75" customHeight="1" x14ac:dyDescent="0.2">
      <c r="A1395" s="26">
        <v>2880</v>
      </c>
      <c r="B1395" s="27" t="s">
        <v>1903</v>
      </c>
      <c r="C1395" s="27" t="s">
        <v>48</v>
      </c>
      <c r="D1395" s="28">
        <v>0.09</v>
      </c>
      <c r="E1395" s="29">
        <v>243.98</v>
      </c>
      <c r="F1395" s="29">
        <v>43.32</v>
      </c>
      <c r="G1395" s="30" t="s">
        <v>27</v>
      </c>
      <c r="H1395" s="27" t="s">
        <v>3095</v>
      </c>
      <c r="I1395" s="27" t="s">
        <v>29</v>
      </c>
      <c r="J1395" s="27" t="s">
        <v>109</v>
      </c>
      <c r="K1395" s="27" t="s">
        <v>58</v>
      </c>
      <c r="L1395" s="31" t="s">
        <v>235</v>
      </c>
      <c r="M1395" s="32">
        <v>0.55000000000000004</v>
      </c>
      <c r="N1395" s="27" t="s">
        <v>33</v>
      </c>
      <c r="O1395" s="27" t="s">
        <v>34</v>
      </c>
      <c r="P1395" s="27" t="s">
        <v>123</v>
      </c>
      <c r="Q1395" s="27" t="s">
        <v>1904</v>
      </c>
      <c r="R1395" s="33">
        <v>33160</v>
      </c>
      <c r="S1395" s="34">
        <v>42132</v>
      </c>
      <c r="T1395" s="34">
        <v>42137</v>
      </c>
      <c r="U1395" s="29">
        <v>1059.288</v>
      </c>
      <c r="V1395" s="26">
        <v>25</v>
      </c>
      <c r="W1395" s="29">
        <v>5587.89</v>
      </c>
      <c r="X1395" s="26">
        <v>88627</v>
      </c>
      <c r="Y1395" s="35">
        <v>16.89</v>
      </c>
      <c r="Z1395" s="1" t="s">
        <v>3011</v>
      </c>
      <c r="AA1395" s="36">
        <v>548.95499999999993</v>
      </c>
      <c r="AB1395" s="54">
        <v>2514.5504999999998</v>
      </c>
      <c r="AC1395" s="54">
        <v>122.93358000000001</v>
      </c>
      <c r="AD1395" s="36">
        <v>3936.3270000000002</v>
      </c>
    </row>
    <row r="1396" spans="1:30" s="37" customFormat="1" ht="15.75" customHeight="1" x14ac:dyDescent="0.2">
      <c r="A1396" s="26">
        <v>1028</v>
      </c>
      <c r="B1396" s="27" t="s">
        <v>1912</v>
      </c>
      <c r="C1396" s="27" t="s">
        <v>3094</v>
      </c>
      <c r="D1396" s="28">
        <v>0.05</v>
      </c>
      <c r="E1396" s="29">
        <v>83.1</v>
      </c>
      <c r="F1396" s="29">
        <v>6.13</v>
      </c>
      <c r="G1396" s="30" t="s">
        <v>87</v>
      </c>
      <c r="H1396" s="27" t="s">
        <v>3095</v>
      </c>
      <c r="I1396" s="27" t="s">
        <v>41</v>
      </c>
      <c r="J1396" s="27" t="s">
        <v>42</v>
      </c>
      <c r="K1396" s="27" t="s">
        <v>73</v>
      </c>
      <c r="L1396" s="31" t="s">
        <v>2462</v>
      </c>
      <c r="M1396" s="32">
        <v>0.45</v>
      </c>
      <c r="N1396" s="27" t="s">
        <v>33</v>
      </c>
      <c r="O1396" s="27" t="s">
        <v>111</v>
      </c>
      <c r="P1396" s="27" t="s">
        <v>112</v>
      </c>
      <c r="Q1396" s="27" t="s">
        <v>1914</v>
      </c>
      <c r="R1396" s="33">
        <v>11725</v>
      </c>
      <c r="S1396" s="34">
        <v>42132</v>
      </c>
      <c r="T1396" s="34">
        <v>42133</v>
      </c>
      <c r="U1396" s="29">
        <v>1152.5277000000001</v>
      </c>
      <c r="V1396" s="26">
        <v>20</v>
      </c>
      <c r="W1396" s="29">
        <v>1670.33</v>
      </c>
      <c r="X1396" s="26">
        <v>89007</v>
      </c>
      <c r="Y1396" s="35">
        <v>16.89</v>
      </c>
      <c r="Z1396" s="1" t="s">
        <v>3014</v>
      </c>
      <c r="AA1396" s="36">
        <v>83.100000000000009</v>
      </c>
      <c r="AB1396" s="54">
        <v>918.68150000000003</v>
      </c>
      <c r="AC1396" s="54">
        <v>37.582425000000001</v>
      </c>
      <c r="AD1396" s="36">
        <v>428.57229999999981</v>
      </c>
    </row>
    <row r="1397" spans="1:30" s="37" customFormat="1" ht="15.75" customHeight="1" x14ac:dyDescent="0.2">
      <c r="A1397" s="26">
        <v>2189</v>
      </c>
      <c r="B1397" s="27" t="s">
        <v>2452</v>
      </c>
      <c r="C1397" s="27" t="s">
        <v>38</v>
      </c>
      <c r="D1397" s="28">
        <v>0.09</v>
      </c>
      <c r="E1397" s="29">
        <v>16.98</v>
      </c>
      <c r="F1397" s="29">
        <v>12.39</v>
      </c>
      <c r="G1397" s="30" t="s">
        <v>39</v>
      </c>
      <c r="H1397" s="27" t="s">
        <v>94</v>
      </c>
      <c r="I1397" s="27" t="s">
        <v>49</v>
      </c>
      <c r="J1397" s="27" t="s">
        <v>345</v>
      </c>
      <c r="K1397" s="27" t="s">
        <v>73</v>
      </c>
      <c r="L1397" s="31" t="s">
        <v>2450</v>
      </c>
      <c r="M1397" s="32">
        <v>0.35</v>
      </c>
      <c r="N1397" s="27" t="s">
        <v>33</v>
      </c>
      <c r="O1397" s="27" t="s">
        <v>111</v>
      </c>
      <c r="P1397" s="27" t="s">
        <v>112</v>
      </c>
      <c r="Q1397" s="27" t="s">
        <v>113</v>
      </c>
      <c r="R1397" s="33">
        <v>10177</v>
      </c>
      <c r="S1397" s="34">
        <v>42132</v>
      </c>
      <c r="T1397" s="34">
        <v>42134</v>
      </c>
      <c r="U1397" s="29">
        <v>-48.57</v>
      </c>
      <c r="V1397" s="26">
        <v>22</v>
      </c>
      <c r="W1397" s="29">
        <v>381.91</v>
      </c>
      <c r="X1397" s="26">
        <v>7364</v>
      </c>
      <c r="Y1397" s="35">
        <v>300.91000000000003</v>
      </c>
      <c r="Z1397" s="1" t="s">
        <v>3014</v>
      </c>
      <c r="AA1397" s="36">
        <v>33.620400000000004</v>
      </c>
      <c r="AB1397" s="54">
        <v>248.24150000000003</v>
      </c>
      <c r="AC1397" s="54">
        <v>6.0758409090909087</v>
      </c>
      <c r="AD1397" s="36">
        <v>384.46960000000001</v>
      </c>
    </row>
    <row r="1398" spans="1:30" s="37" customFormat="1" ht="15.75" customHeight="1" x14ac:dyDescent="0.2">
      <c r="A1398" s="26">
        <v>2063</v>
      </c>
      <c r="B1398" s="27" t="s">
        <v>2453</v>
      </c>
      <c r="C1398" s="27" t="s">
        <v>48</v>
      </c>
      <c r="D1398" s="28">
        <v>0.06</v>
      </c>
      <c r="E1398" s="29">
        <v>300.97000000000003</v>
      </c>
      <c r="F1398" s="29">
        <v>7.18</v>
      </c>
      <c r="G1398" s="30" t="s">
        <v>39</v>
      </c>
      <c r="H1398" s="27" t="s">
        <v>94</v>
      </c>
      <c r="I1398" s="27" t="s">
        <v>41</v>
      </c>
      <c r="J1398" s="27" t="s">
        <v>42</v>
      </c>
      <c r="K1398" s="27" t="s">
        <v>73</v>
      </c>
      <c r="L1398" s="31" t="s">
        <v>2209</v>
      </c>
      <c r="M1398" s="32">
        <v>0.48</v>
      </c>
      <c r="N1398" s="27" t="s">
        <v>33</v>
      </c>
      <c r="O1398" s="27" t="s">
        <v>34</v>
      </c>
      <c r="P1398" s="27" t="s">
        <v>242</v>
      </c>
      <c r="Q1398" s="27" t="s">
        <v>2454</v>
      </c>
      <c r="R1398" s="33">
        <v>23602</v>
      </c>
      <c r="S1398" s="34">
        <v>42132</v>
      </c>
      <c r="T1398" s="34">
        <v>42132</v>
      </c>
      <c r="U1398" s="29">
        <v>-729.98800000000006</v>
      </c>
      <c r="V1398" s="26">
        <v>1</v>
      </c>
      <c r="W1398" s="29">
        <v>291.39999999999998</v>
      </c>
      <c r="X1398" s="26">
        <v>87147</v>
      </c>
      <c r="Y1398" s="35">
        <v>243.89</v>
      </c>
      <c r="Z1398" s="1" t="s">
        <v>3011</v>
      </c>
      <c r="AA1398" s="36">
        <v>18.058199999999999</v>
      </c>
      <c r="AB1398" s="54">
        <v>151.52799999999999</v>
      </c>
      <c r="AC1398" s="54">
        <v>139.87199999999999</v>
      </c>
      <c r="AD1398" s="36">
        <v>996.14980000000003</v>
      </c>
    </row>
    <row r="1399" spans="1:30" s="37" customFormat="1" ht="15.75" customHeight="1" x14ac:dyDescent="0.2">
      <c r="A1399" s="26">
        <v>2992</v>
      </c>
      <c r="B1399" s="27" t="s">
        <v>2457</v>
      </c>
      <c r="C1399" s="27" t="s">
        <v>48</v>
      </c>
      <c r="D1399" s="28">
        <v>0</v>
      </c>
      <c r="E1399" s="29">
        <v>5.28</v>
      </c>
      <c r="F1399" s="29">
        <v>6.26</v>
      </c>
      <c r="G1399" s="30" t="s">
        <v>39</v>
      </c>
      <c r="H1399" s="27" t="s">
        <v>71</v>
      </c>
      <c r="I1399" s="27" t="s">
        <v>49</v>
      </c>
      <c r="J1399" s="27" t="s">
        <v>88</v>
      </c>
      <c r="K1399" s="27" t="s">
        <v>73</v>
      </c>
      <c r="L1399" s="31" t="s">
        <v>2458</v>
      </c>
      <c r="M1399" s="32">
        <v>0.4</v>
      </c>
      <c r="N1399" s="27" t="s">
        <v>33</v>
      </c>
      <c r="O1399" s="27" t="s">
        <v>53</v>
      </c>
      <c r="P1399" s="27" t="s">
        <v>357</v>
      </c>
      <c r="Q1399" s="27" t="s">
        <v>2459</v>
      </c>
      <c r="R1399" s="33">
        <v>53081</v>
      </c>
      <c r="S1399" s="34">
        <v>42132</v>
      </c>
      <c r="T1399" s="34">
        <v>42139</v>
      </c>
      <c r="U1399" s="29">
        <v>25.058</v>
      </c>
      <c r="V1399" s="26">
        <v>36</v>
      </c>
      <c r="W1399" s="29">
        <v>203.05</v>
      </c>
      <c r="X1399" s="26">
        <v>91466</v>
      </c>
      <c r="Y1399" s="35">
        <v>70.92</v>
      </c>
      <c r="Z1399" s="1" t="s">
        <v>3012</v>
      </c>
      <c r="AA1399" s="36">
        <v>0</v>
      </c>
      <c r="AB1399" s="54">
        <v>121.83</v>
      </c>
      <c r="AC1399" s="54">
        <v>2.2561111111111116</v>
      </c>
      <c r="AD1399" s="36">
        <v>171.73200000000003</v>
      </c>
    </row>
    <row r="1400" spans="1:30" s="37" customFormat="1" ht="15.75" customHeight="1" x14ac:dyDescent="0.2">
      <c r="A1400" s="26">
        <v>1080</v>
      </c>
      <c r="B1400" s="27" t="s">
        <v>2463</v>
      </c>
      <c r="C1400" s="27" t="s">
        <v>3094</v>
      </c>
      <c r="D1400" s="28">
        <v>0.08</v>
      </c>
      <c r="E1400" s="29">
        <v>13.9</v>
      </c>
      <c r="F1400" s="29">
        <v>7.59</v>
      </c>
      <c r="G1400" s="30" t="s">
        <v>39</v>
      </c>
      <c r="H1400" s="27" t="s">
        <v>94</v>
      </c>
      <c r="I1400" s="27" t="s">
        <v>49</v>
      </c>
      <c r="J1400" s="27" t="s">
        <v>568</v>
      </c>
      <c r="K1400" s="27" t="s">
        <v>43</v>
      </c>
      <c r="L1400" s="31" t="s">
        <v>2464</v>
      </c>
      <c r="M1400" s="32">
        <v>0.56000000000000005</v>
      </c>
      <c r="N1400" s="27" t="s">
        <v>33</v>
      </c>
      <c r="O1400" s="27" t="s">
        <v>53</v>
      </c>
      <c r="P1400" s="27" t="s">
        <v>103</v>
      </c>
      <c r="Q1400" s="27" t="s">
        <v>2465</v>
      </c>
      <c r="R1400" s="33">
        <v>60174</v>
      </c>
      <c r="S1400" s="34">
        <v>42132</v>
      </c>
      <c r="T1400" s="34">
        <v>42133</v>
      </c>
      <c r="U1400" s="29">
        <v>9.8620000000000001</v>
      </c>
      <c r="V1400" s="26">
        <v>14</v>
      </c>
      <c r="W1400" s="29">
        <v>196.41</v>
      </c>
      <c r="X1400" s="26">
        <v>88461</v>
      </c>
      <c r="Y1400" s="35">
        <v>5.28</v>
      </c>
      <c r="Z1400" s="1" t="s">
        <v>3012</v>
      </c>
      <c r="AA1400" s="36">
        <v>15.568000000000001</v>
      </c>
      <c r="AB1400" s="54">
        <v>86.420399999999987</v>
      </c>
      <c r="AC1400" s="54">
        <v>7.8564000000000007</v>
      </c>
      <c r="AD1400" s="36">
        <v>163.38999999999999</v>
      </c>
    </row>
    <row r="1401" spans="1:30" s="37" customFormat="1" ht="15.75" customHeight="1" x14ac:dyDescent="0.2">
      <c r="A1401" s="26">
        <v>2991</v>
      </c>
      <c r="B1401" s="27" t="s">
        <v>2455</v>
      </c>
      <c r="C1401" s="27" t="s">
        <v>48</v>
      </c>
      <c r="D1401" s="28">
        <v>0.05</v>
      </c>
      <c r="E1401" s="29">
        <v>70.97</v>
      </c>
      <c r="F1401" s="29">
        <v>3.5</v>
      </c>
      <c r="G1401" s="30" t="s">
        <v>39</v>
      </c>
      <c r="H1401" s="27" t="s">
        <v>71</v>
      </c>
      <c r="I1401" s="27" t="s">
        <v>49</v>
      </c>
      <c r="J1401" s="27" t="s">
        <v>95</v>
      </c>
      <c r="K1401" s="27" t="s">
        <v>73</v>
      </c>
      <c r="L1401" s="31" t="s">
        <v>2177</v>
      </c>
      <c r="M1401" s="32">
        <v>0.59</v>
      </c>
      <c r="N1401" s="27" t="s">
        <v>33</v>
      </c>
      <c r="O1401" s="27" t="s">
        <v>53</v>
      </c>
      <c r="P1401" s="27" t="s">
        <v>357</v>
      </c>
      <c r="Q1401" s="27" t="s">
        <v>2456</v>
      </c>
      <c r="R1401" s="33">
        <v>53402</v>
      </c>
      <c r="S1401" s="34">
        <v>42132</v>
      </c>
      <c r="T1401" s="34">
        <v>42137</v>
      </c>
      <c r="U1401" s="29">
        <v>18.218</v>
      </c>
      <c r="V1401" s="26">
        <v>2</v>
      </c>
      <c r="W1401" s="29">
        <v>141.59</v>
      </c>
      <c r="X1401" s="26">
        <v>91466</v>
      </c>
      <c r="Y1401" s="35">
        <v>29.31</v>
      </c>
      <c r="Z1401" s="1" t="s">
        <v>3012</v>
      </c>
      <c r="AA1401" s="36">
        <v>7.0970000000000004</v>
      </c>
      <c r="AB1401" s="54">
        <v>58.051900000000003</v>
      </c>
      <c r="AC1401" s="54">
        <v>41.76905</v>
      </c>
      <c r="AD1401" s="36">
        <v>112.77500000000001</v>
      </c>
    </row>
    <row r="1402" spans="1:30" s="37" customFormat="1" ht="15.75" customHeight="1" x14ac:dyDescent="0.2">
      <c r="A1402" s="26">
        <v>2187</v>
      </c>
      <c r="B1402" s="27" t="s">
        <v>2449</v>
      </c>
      <c r="C1402" s="27" t="s">
        <v>38</v>
      </c>
      <c r="D1402" s="28">
        <v>0.09</v>
      </c>
      <c r="E1402" s="29">
        <v>16.98</v>
      </c>
      <c r="F1402" s="29">
        <v>12.39</v>
      </c>
      <c r="G1402" s="30" t="s">
        <v>39</v>
      </c>
      <c r="H1402" s="27" t="s">
        <v>94</v>
      </c>
      <c r="I1402" s="27" t="s">
        <v>49</v>
      </c>
      <c r="J1402" s="27" t="s">
        <v>345</v>
      </c>
      <c r="K1402" s="27" t="s">
        <v>73</v>
      </c>
      <c r="L1402" s="31" t="s">
        <v>2450</v>
      </c>
      <c r="M1402" s="32">
        <v>0.35</v>
      </c>
      <c r="N1402" s="27" t="s">
        <v>33</v>
      </c>
      <c r="O1402" s="27" t="s">
        <v>53</v>
      </c>
      <c r="P1402" s="27" t="s">
        <v>80</v>
      </c>
      <c r="Q1402" s="27" t="s">
        <v>2451</v>
      </c>
      <c r="R1402" s="33">
        <v>64055</v>
      </c>
      <c r="S1402" s="34">
        <v>42132</v>
      </c>
      <c r="T1402" s="34">
        <v>42134</v>
      </c>
      <c r="U1402" s="29">
        <v>-48.57</v>
      </c>
      <c r="V1402" s="26">
        <v>5</v>
      </c>
      <c r="W1402" s="29">
        <v>86.8</v>
      </c>
      <c r="X1402" s="26">
        <v>89440</v>
      </c>
      <c r="Y1402" s="35">
        <v>83.05</v>
      </c>
      <c r="Z1402" s="1" t="s">
        <v>3012</v>
      </c>
      <c r="AA1402" s="36">
        <v>7.641</v>
      </c>
      <c r="AB1402" s="54">
        <v>56.42</v>
      </c>
      <c r="AC1402" s="54">
        <v>6.0759999999999996</v>
      </c>
      <c r="AD1402" s="36">
        <v>115.339</v>
      </c>
    </row>
    <row r="1403" spans="1:30" s="37" customFormat="1" ht="15.75" customHeight="1" x14ac:dyDescent="0.2">
      <c r="A1403" s="26">
        <v>453</v>
      </c>
      <c r="B1403" s="27" t="s">
        <v>2460</v>
      </c>
      <c r="C1403" s="27" t="s">
        <v>3094</v>
      </c>
      <c r="D1403" s="28">
        <v>0.03</v>
      </c>
      <c r="E1403" s="29">
        <v>29.34</v>
      </c>
      <c r="F1403" s="29">
        <v>7.87</v>
      </c>
      <c r="G1403" s="30" t="s">
        <v>39</v>
      </c>
      <c r="H1403" s="27" t="s">
        <v>94</v>
      </c>
      <c r="I1403" s="27" t="s">
        <v>29</v>
      </c>
      <c r="J1403" s="27" t="s">
        <v>126</v>
      </c>
      <c r="K1403" s="27" t="s">
        <v>73</v>
      </c>
      <c r="L1403" s="31" t="s">
        <v>1660</v>
      </c>
      <c r="M1403" s="32">
        <v>0.54</v>
      </c>
      <c r="N1403" s="27" t="s">
        <v>33</v>
      </c>
      <c r="O1403" s="27" t="s">
        <v>60</v>
      </c>
      <c r="P1403" s="27" t="s">
        <v>90</v>
      </c>
      <c r="Q1403" s="27" t="s">
        <v>2461</v>
      </c>
      <c r="R1403" s="33">
        <v>95032</v>
      </c>
      <c r="S1403" s="34">
        <v>42132</v>
      </c>
      <c r="T1403" s="34">
        <v>42134</v>
      </c>
      <c r="U1403" s="29">
        <v>-41.32</v>
      </c>
      <c r="V1403" s="26">
        <v>1</v>
      </c>
      <c r="W1403" s="29">
        <v>32.4</v>
      </c>
      <c r="X1403" s="26">
        <v>86011</v>
      </c>
      <c r="Y1403" s="35">
        <v>13.82</v>
      </c>
      <c r="Z1403" s="1" t="s">
        <v>3013</v>
      </c>
      <c r="AA1403" s="36">
        <v>0.88019999999999998</v>
      </c>
      <c r="AB1403" s="54">
        <v>14.903999999999998</v>
      </c>
      <c r="AC1403" s="54">
        <v>17.495999999999999</v>
      </c>
      <c r="AD1403" s="36">
        <v>64.969799999999992</v>
      </c>
    </row>
    <row r="1404" spans="1:30" s="37" customFormat="1" ht="15.75" customHeight="1" x14ac:dyDescent="0.2">
      <c r="A1404" s="26">
        <v>1650</v>
      </c>
      <c r="B1404" s="27" t="s">
        <v>2470</v>
      </c>
      <c r="C1404" s="27" t="s">
        <v>38</v>
      </c>
      <c r="D1404" s="28">
        <v>0.08</v>
      </c>
      <c r="E1404" s="29">
        <v>65.989999999999995</v>
      </c>
      <c r="F1404" s="29">
        <v>8.99</v>
      </c>
      <c r="G1404" s="30" t="s">
        <v>87</v>
      </c>
      <c r="H1404" s="27" t="s">
        <v>94</v>
      </c>
      <c r="I1404" s="27" t="s">
        <v>41</v>
      </c>
      <c r="J1404" s="27" t="s">
        <v>135</v>
      </c>
      <c r="K1404" s="27" t="s">
        <v>73</v>
      </c>
      <c r="L1404" s="31" t="s">
        <v>1612</v>
      </c>
      <c r="M1404" s="32">
        <v>0.55000000000000004</v>
      </c>
      <c r="N1404" s="27" t="s">
        <v>33</v>
      </c>
      <c r="O1404" s="27" t="s">
        <v>34</v>
      </c>
      <c r="P1404" s="27" t="s">
        <v>97</v>
      </c>
      <c r="Q1404" s="27" t="s">
        <v>2472</v>
      </c>
      <c r="R1404" s="33">
        <v>27203</v>
      </c>
      <c r="S1404" s="34">
        <v>42133</v>
      </c>
      <c r="T1404" s="34">
        <v>42135</v>
      </c>
      <c r="U1404" s="29">
        <v>-135.226</v>
      </c>
      <c r="V1404" s="26">
        <v>8</v>
      </c>
      <c r="W1404" s="29">
        <v>417.47</v>
      </c>
      <c r="X1404" s="26">
        <v>91042</v>
      </c>
      <c r="Y1404" s="35">
        <v>6.4300000000000006</v>
      </c>
      <c r="Z1404" s="1" t="s">
        <v>3011</v>
      </c>
      <c r="AA1404" s="36">
        <v>42.233599999999996</v>
      </c>
      <c r="AB1404" s="54">
        <v>187.86150000000001</v>
      </c>
      <c r="AC1404" s="54">
        <v>28.701062500000003</v>
      </c>
      <c r="AD1404" s="36">
        <v>501.47240000000005</v>
      </c>
    </row>
    <row r="1405" spans="1:30" s="37" customFormat="1" ht="15.75" customHeight="1" x14ac:dyDescent="0.2">
      <c r="A1405" s="26">
        <v>2882</v>
      </c>
      <c r="B1405" s="27" t="s">
        <v>671</v>
      </c>
      <c r="C1405" s="27" t="s">
        <v>26</v>
      </c>
      <c r="D1405" s="28">
        <v>0.05</v>
      </c>
      <c r="E1405" s="29">
        <v>6.48</v>
      </c>
      <c r="F1405" s="29">
        <v>8.73</v>
      </c>
      <c r="G1405" s="30" t="s">
        <v>39</v>
      </c>
      <c r="H1405" s="27" t="s">
        <v>40</v>
      </c>
      <c r="I1405" s="27" t="s">
        <v>49</v>
      </c>
      <c r="J1405" s="27" t="s">
        <v>88</v>
      </c>
      <c r="K1405" s="27" t="s">
        <v>73</v>
      </c>
      <c r="L1405" s="31" t="s">
        <v>158</v>
      </c>
      <c r="M1405" s="32">
        <v>0.37</v>
      </c>
      <c r="N1405" s="27" t="s">
        <v>33</v>
      </c>
      <c r="O1405" s="27" t="s">
        <v>34</v>
      </c>
      <c r="P1405" s="27" t="s">
        <v>97</v>
      </c>
      <c r="Q1405" s="27" t="s">
        <v>673</v>
      </c>
      <c r="R1405" s="33">
        <v>28206</v>
      </c>
      <c r="S1405" s="34">
        <v>42133</v>
      </c>
      <c r="T1405" s="34">
        <v>42133</v>
      </c>
      <c r="U1405" s="29">
        <v>-160.38470000000001</v>
      </c>
      <c r="V1405" s="26">
        <v>35</v>
      </c>
      <c r="W1405" s="29">
        <v>232.5</v>
      </c>
      <c r="X1405" s="26">
        <v>4839</v>
      </c>
      <c r="Y1405" s="35">
        <v>6.4300000000000006</v>
      </c>
      <c r="Z1405" s="1" t="s">
        <v>3011</v>
      </c>
      <c r="AA1405" s="36">
        <v>11.340000000000002</v>
      </c>
      <c r="AB1405" s="54">
        <v>146.47499999999999</v>
      </c>
      <c r="AC1405" s="54">
        <v>2.4578571428571432</v>
      </c>
      <c r="AD1405" s="36">
        <v>372.81470000000002</v>
      </c>
    </row>
    <row r="1406" spans="1:30" s="37" customFormat="1" ht="15.75" customHeight="1" x14ac:dyDescent="0.2">
      <c r="A1406" s="26">
        <v>1650</v>
      </c>
      <c r="B1406" s="27" t="s">
        <v>2470</v>
      </c>
      <c r="C1406" s="27" t="s">
        <v>38</v>
      </c>
      <c r="D1406" s="28">
        <v>0.05</v>
      </c>
      <c r="E1406" s="29">
        <v>6.48</v>
      </c>
      <c r="F1406" s="29">
        <v>2.74</v>
      </c>
      <c r="G1406" s="30" t="s">
        <v>39</v>
      </c>
      <c r="H1406" s="27" t="s">
        <v>94</v>
      </c>
      <c r="I1406" s="27" t="s">
        <v>41</v>
      </c>
      <c r="J1406" s="27" t="s">
        <v>42</v>
      </c>
      <c r="K1406" s="27" t="s">
        <v>43</v>
      </c>
      <c r="L1406" s="31" t="s">
        <v>2471</v>
      </c>
      <c r="M1406" s="32">
        <v>0.71</v>
      </c>
      <c r="N1406" s="27" t="s">
        <v>33</v>
      </c>
      <c r="O1406" s="27" t="s">
        <v>34</v>
      </c>
      <c r="P1406" s="27" t="s">
        <v>97</v>
      </c>
      <c r="Q1406" s="27" t="s">
        <v>2472</v>
      </c>
      <c r="R1406" s="33">
        <v>27203</v>
      </c>
      <c r="S1406" s="34">
        <v>42133</v>
      </c>
      <c r="T1406" s="34">
        <v>42133</v>
      </c>
      <c r="U1406" s="29">
        <v>15.096</v>
      </c>
      <c r="V1406" s="26">
        <v>15</v>
      </c>
      <c r="W1406" s="29">
        <v>94.27</v>
      </c>
      <c r="X1406" s="26">
        <v>91042</v>
      </c>
      <c r="Y1406" s="35">
        <v>5.9600000000000009</v>
      </c>
      <c r="Z1406" s="1" t="s">
        <v>3011</v>
      </c>
      <c r="AA1406" s="36">
        <v>4.8600000000000012</v>
      </c>
      <c r="AB1406" s="54">
        <v>27.338300000000004</v>
      </c>
      <c r="AC1406" s="54">
        <v>4.4621133333333329</v>
      </c>
      <c r="AD1406" s="36">
        <v>71.573999999999998</v>
      </c>
    </row>
    <row r="1407" spans="1:30" s="37" customFormat="1" ht="15.75" customHeight="1" x14ac:dyDescent="0.2">
      <c r="A1407" s="26">
        <v>1650</v>
      </c>
      <c r="B1407" s="27" t="s">
        <v>2470</v>
      </c>
      <c r="C1407" s="27" t="s">
        <v>38</v>
      </c>
      <c r="D1407" s="28">
        <v>0.09</v>
      </c>
      <c r="E1407" s="29">
        <v>12.53</v>
      </c>
      <c r="F1407" s="29">
        <v>0.5</v>
      </c>
      <c r="G1407" s="30" t="s">
        <v>39</v>
      </c>
      <c r="H1407" s="27" t="s">
        <v>94</v>
      </c>
      <c r="I1407" s="27" t="s">
        <v>49</v>
      </c>
      <c r="J1407" s="27" t="s">
        <v>152</v>
      </c>
      <c r="K1407" s="27" t="s">
        <v>73</v>
      </c>
      <c r="L1407" s="31" t="s">
        <v>2067</v>
      </c>
      <c r="M1407" s="32">
        <v>0.38</v>
      </c>
      <c r="N1407" s="27" t="s">
        <v>33</v>
      </c>
      <c r="O1407" s="27" t="s">
        <v>34</v>
      </c>
      <c r="P1407" s="27" t="s">
        <v>97</v>
      </c>
      <c r="Q1407" s="27" t="s">
        <v>2472</v>
      </c>
      <c r="R1407" s="33">
        <v>27203</v>
      </c>
      <c r="S1407" s="34">
        <v>42133</v>
      </c>
      <c r="T1407" s="34">
        <v>42134</v>
      </c>
      <c r="U1407" s="29">
        <v>14.9124</v>
      </c>
      <c r="V1407" s="26">
        <v>7</v>
      </c>
      <c r="W1407" s="29">
        <v>82.21</v>
      </c>
      <c r="X1407" s="26">
        <v>91042</v>
      </c>
      <c r="Y1407" s="35">
        <v>6.4300000000000006</v>
      </c>
      <c r="Z1407" s="1" t="s">
        <v>3011</v>
      </c>
      <c r="AA1407" s="36">
        <v>7.8938999999999995</v>
      </c>
      <c r="AB1407" s="54">
        <v>50.970199999999998</v>
      </c>
      <c r="AC1407" s="54">
        <v>4.4628285714285711</v>
      </c>
      <c r="AD1407" s="36">
        <v>58.903699999999994</v>
      </c>
    </row>
    <row r="1408" spans="1:30" s="37" customFormat="1" ht="15.75" customHeight="1" x14ac:dyDescent="0.2">
      <c r="A1408" s="26">
        <v>2883</v>
      </c>
      <c r="B1408" s="27" t="s">
        <v>2466</v>
      </c>
      <c r="C1408" s="27" t="s">
        <v>26</v>
      </c>
      <c r="D1408" s="28">
        <v>0.05</v>
      </c>
      <c r="E1408" s="29">
        <v>6.48</v>
      </c>
      <c r="F1408" s="29">
        <v>8.73</v>
      </c>
      <c r="G1408" s="30" t="s">
        <v>39</v>
      </c>
      <c r="H1408" s="27" t="s">
        <v>40</v>
      </c>
      <c r="I1408" s="27" t="s">
        <v>49</v>
      </c>
      <c r="J1408" s="27" t="s">
        <v>88</v>
      </c>
      <c r="K1408" s="27" t="s">
        <v>73</v>
      </c>
      <c r="L1408" s="31" t="s">
        <v>158</v>
      </c>
      <c r="M1408" s="32">
        <v>0.37</v>
      </c>
      <c r="N1408" s="27" t="s">
        <v>33</v>
      </c>
      <c r="O1408" s="27" t="s">
        <v>111</v>
      </c>
      <c r="P1408" s="27" t="s">
        <v>317</v>
      </c>
      <c r="Q1408" s="27" t="s">
        <v>1475</v>
      </c>
      <c r="R1408" s="33">
        <v>44070</v>
      </c>
      <c r="S1408" s="34">
        <v>42133</v>
      </c>
      <c r="T1408" s="34">
        <v>42133</v>
      </c>
      <c r="U1408" s="29">
        <v>-120.59</v>
      </c>
      <c r="V1408" s="26">
        <v>9</v>
      </c>
      <c r="W1408" s="29">
        <v>59.79</v>
      </c>
      <c r="X1408" s="26">
        <v>87632</v>
      </c>
      <c r="Y1408" s="35">
        <v>12.44</v>
      </c>
      <c r="Z1408" s="1" t="s">
        <v>3014</v>
      </c>
      <c r="AA1408" s="36">
        <v>2.9160000000000004</v>
      </c>
      <c r="AB1408" s="54">
        <v>37.667699999999996</v>
      </c>
      <c r="AC1408" s="54">
        <v>2.4580333333333333</v>
      </c>
      <c r="AD1408" s="36">
        <v>168.73400000000001</v>
      </c>
    </row>
    <row r="1409" spans="1:30" s="37" customFormat="1" ht="15.75" customHeight="1" x14ac:dyDescent="0.2">
      <c r="A1409" s="26">
        <v>62</v>
      </c>
      <c r="B1409" s="27" t="s">
        <v>2467</v>
      </c>
      <c r="C1409" s="27" t="s">
        <v>38</v>
      </c>
      <c r="D1409" s="28">
        <v>0.02</v>
      </c>
      <c r="E1409" s="29">
        <v>5.98</v>
      </c>
      <c r="F1409" s="29">
        <v>5.15</v>
      </c>
      <c r="G1409" s="30" t="s">
        <v>39</v>
      </c>
      <c r="H1409" s="27" t="s">
        <v>94</v>
      </c>
      <c r="I1409" s="27" t="s">
        <v>49</v>
      </c>
      <c r="J1409" s="27" t="s">
        <v>88</v>
      </c>
      <c r="K1409" s="27" t="s">
        <v>73</v>
      </c>
      <c r="L1409" s="31" t="s">
        <v>2468</v>
      </c>
      <c r="M1409" s="32">
        <v>0.36</v>
      </c>
      <c r="N1409" s="27" t="s">
        <v>33</v>
      </c>
      <c r="O1409" s="27" t="s">
        <v>53</v>
      </c>
      <c r="P1409" s="27" t="s">
        <v>187</v>
      </c>
      <c r="Q1409" s="27" t="s">
        <v>2469</v>
      </c>
      <c r="R1409" s="33">
        <v>78664</v>
      </c>
      <c r="S1409" s="34">
        <v>42133</v>
      </c>
      <c r="T1409" s="34">
        <v>42135</v>
      </c>
      <c r="U1409" s="29">
        <v>2.14</v>
      </c>
      <c r="V1409" s="26">
        <v>3</v>
      </c>
      <c r="W1409" s="29">
        <v>22.85</v>
      </c>
      <c r="X1409" s="26">
        <v>87407</v>
      </c>
      <c r="Y1409" s="35">
        <v>65.91</v>
      </c>
      <c r="Z1409" s="1" t="s">
        <v>3012</v>
      </c>
      <c r="AA1409" s="36">
        <v>0.35880000000000001</v>
      </c>
      <c r="AB1409" s="54">
        <v>14.624000000000001</v>
      </c>
      <c r="AC1409" s="54">
        <v>2.742</v>
      </c>
      <c r="AD1409" s="36">
        <v>15.2012</v>
      </c>
    </row>
    <row r="1410" spans="1:30" s="37" customFormat="1" ht="15.75" customHeight="1" x14ac:dyDescent="0.2">
      <c r="A1410" s="26">
        <v>1709</v>
      </c>
      <c r="B1410" s="27" t="s">
        <v>684</v>
      </c>
      <c r="C1410" s="27" t="s">
        <v>116</v>
      </c>
      <c r="D1410" s="28">
        <v>0.04</v>
      </c>
      <c r="E1410" s="29">
        <v>95.43</v>
      </c>
      <c r="F1410" s="29">
        <v>19.989999999999998</v>
      </c>
      <c r="G1410" s="30" t="s">
        <v>39</v>
      </c>
      <c r="H1410" s="27" t="s">
        <v>3095</v>
      </c>
      <c r="I1410" s="27" t="s">
        <v>49</v>
      </c>
      <c r="J1410" s="27" t="s">
        <v>78</v>
      </c>
      <c r="K1410" s="27" t="s">
        <v>73</v>
      </c>
      <c r="L1410" s="31" t="s">
        <v>1437</v>
      </c>
      <c r="M1410" s="32">
        <v>0.79</v>
      </c>
      <c r="N1410" s="27" t="s">
        <v>33</v>
      </c>
      <c r="O1410" s="27" t="s">
        <v>111</v>
      </c>
      <c r="P1410" s="27" t="s">
        <v>320</v>
      </c>
      <c r="Q1410" s="27" t="s">
        <v>686</v>
      </c>
      <c r="R1410" s="33">
        <v>19464</v>
      </c>
      <c r="S1410" s="34">
        <v>42134</v>
      </c>
      <c r="T1410" s="34">
        <v>42136</v>
      </c>
      <c r="U1410" s="29">
        <v>13.536</v>
      </c>
      <c r="V1410" s="26">
        <v>33</v>
      </c>
      <c r="W1410" s="29">
        <v>3251.76</v>
      </c>
      <c r="X1410" s="26">
        <v>88783</v>
      </c>
      <c r="Y1410" s="35">
        <v>99.99</v>
      </c>
      <c r="Z1410" s="1" t="s">
        <v>3014</v>
      </c>
      <c r="AA1410" s="36">
        <v>125.9676</v>
      </c>
      <c r="AB1410" s="54">
        <v>682.86959999999988</v>
      </c>
      <c r="AC1410" s="54">
        <v>77.845163636363651</v>
      </c>
      <c r="AD1410" s="36">
        <v>3092.2664000000004</v>
      </c>
    </row>
    <row r="1411" spans="1:30" s="37" customFormat="1" ht="15.75" customHeight="1" x14ac:dyDescent="0.2">
      <c r="A1411" s="26">
        <v>43</v>
      </c>
      <c r="B1411" s="27" t="s">
        <v>2473</v>
      </c>
      <c r="C1411" s="27" t="s">
        <v>38</v>
      </c>
      <c r="D1411" s="28">
        <v>0</v>
      </c>
      <c r="E1411" s="29">
        <v>99.99</v>
      </c>
      <c r="F1411" s="29">
        <v>19.989999999999998</v>
      </c>
      <c r="G1411" s="30" t="s">
        <v>39</v>
      </c>
      <c r="H1411" s="27" t="s">
        <v>40</v>
      </c>
      <c r="I1411" s="27" t="s">
        <v>41</v>
      </c>
      <c r="J1411" s="27" t="s">
        <v>57</v>
      </c>
      <c r="K1411" s="27" t="s">
        <v>73</v>
      </c>
      <c r="L1411" s="31" t="s">
        <v>1562</v>
      </c>
      <c r="M1411" s="32">
        <v>0.52</v>
      </c>
      <c r="N1411" s="27" t="s">
        <v>33</v>
      </c>
      <c r="O1411" s="27" t="s">
        <v>60</v>
      </c>
      <c r="P1411" s="27" t="s">
        <v>67</v>
      </c>
      <c r="Q1411" s="27" t="s">
        <v>842</v>
      </c>
      <c r="R1411" s="33">
        <v>98052</v>
      </c>
      <c r="S1411" s="34">
        <v>42134</v>
      </c>
      <c r="T1411" s="34">
        <v>42135</v>
      </c>
      <c r="U1411" s="29">
        <v>25.913820000000001</v>
      </c>
      <c r="V1411" s="26">
        <v>6</v>
      </c>
      <c r="W1411" s="29">
        <v>647.07000000000005</v>
      </c>
      <c r="X1411" s="26">
        <v>91454</v>
      </c>
      <c r="Y1411" s="35">
        <v>13.93</v>
      </c>
      <c r="Z1411" s="1" t="s">
        <v>3013</v>
      </c>
      <c r="AA1411" s="36">
        <v>0</v>
      </c>
      <c r="AB1411" s="54">
        <v>310.59360000000004</v>
      </c>
      <c r="AC1411" s="54">
        <v>56.079400000000007</v>
      </c>
      <c r="AD1411" s="36">
        <v>601.16618000000005</v>
      </c>
    </row>
    <row r="1412" spans="1:30" s="37" customFormat="1" ht="15.75" customHeight="1" x14ac:dyDescent="0.2">
      <c r="A1412" s="26">
        <v>3283</v>
      </c>
      <c r="B1412" s="27" t="s">
        <v>2244</v>
      </c>
      <c r="C1412" s="27" t="s">
        <v>38</v>
      </c>
      <c r="D1412" s="28">
        <v>0.03</v>
      </c>
      <c r="E1412" s="29">
        <v>17.48</v>
      </c>
      <c r="F1412" s="29">
        <v>1.99</v>
      </c>
      <c r="G1412" s="30" t="s">
        <v>39</v>
      </c>
      <c r="H1412" s="27" t="s">
        <v>94</v>
      </c>
      <c r="I1412" s="27" t="s">
        <v>41</v>
      </c>
      <c r="J1412" s="27" t="s">
        <v>42</v>
      </c>
      <c r="K1412" s="27" t="s">
        <v>43</v>
      </c>
      <c r="L1412" s="31" t="s">
        <v>122</v>
      </c>
      <c r="M1412" s="32">
        <v>0.45</v>
      </c>
      <c r="N1412" s="27" t="s">
        <v>33</v>
      </c>
      <c r="O1412" s="27" t="s">
        <v>34</v>
      </c>
      <c r="P1412" s="27" t="s">
        <v>123</v>
      </c>
      <c r="Q1412" s="27" t="s">
        <v>2245</v>
      </c>
      <c r="R1412" s="33">
        <v>33156</v>
      </c>
      <c r="S1412" s="34">
        <v>42134</v>
      </c>
      <c r="T1412" s="34">
        <v>42135</v>
      </c>
      <c r="U1412" s="29">
        <v>710.80740000000003</v>
      </c>
      <c r="V1412" s="26">
        <v>31</v>
      </c>
      <c r="W1412" s="29">
        <v>537.79999999999995</v>
      </c>
      <c r="X1412" s="26">
        <v>90753</v>
      </c>
      <c r="Y1412" s="35">
        <v>14.979999999999999</v>
      </c>
      <c r="Z1412" s="1" t="s">
        <v>3011</v>
      </c>
      <c r="AA1412" s="36">
        <v>16.256399999999999</v>
      </c>
      <c r="AB1412" s="54">
        <v>295.79000000000002</v>
      </c>
      <c r="AC1412" s="54">
        <v>7.806774193548387</v>
      </c>
      <c r="AD1412" s="36">
        <v>-191.25380000000007</v>
      </c>
    </row>
    <row r="1413" spans="1:30" s="37" customFormat="1" ht="15.75" customHeight="1" x14ac:dyDescent="0.2">
      <c r="A1413" s="26">
        <v>1778</v>
      </c>
      <c r="B1413" s="27" t="s">
        <v>2474</v>
      </c>
      <c r="C1413" s="27" t="s">
        <v>38</v>
      </c>
      <c r="D1413" s="28">
        <v>0.06</v>
      </c>
      <c r="E1413" s="29">
        <v>13.99</v>
      </c>
      <c r="F1413" s="29">
        <v>7.51</v>
      </c>
      <c r="G1413" s="30" t="s">
        <v>39</v>
      </c>
      <c r="H1413" s="27" t="s">
        <v>40</v>
      </c>
      <c r="I1413" s="27" t="s">
        <v>41</v>
      </c>
      <c r="J1413" s="27" t="s">
        <v>57</v>
      </c>
      <c r="K1413" s="27" t="s">
        <v>144</v>
      </c>
      <c r="L1413" s="31" t="s">
        <v>1076</v>
      </c>
      <c r="M1413" s="32">
        <v>0.39</v>
      </c>
      <c r="N1413" s="27" t="s">
        <v>33</v>
      </c>
      <c r="O1413" s="27" t="s">
        <v>53</v>
      </c>
      <c r="P1413" s="27" t="s">
        <v>54</v>
      </c>
      <c r="Q1413" s="27" t="s">
        <v>2475</v>
      </c>
      <c r="R1413" s="33">
        <v>47906</v>
      </c>
      <c r="S1413" s="34">
        <v>42134</v>
      </c>
      <c r="T1413" s="34">
        <v>42136</v>
      </c>
      <c r="U1413" s="29">
        <v>6.4832400000000003</v>
      </c>
      <c r="V1413" s="26">
        <v>21</v>
      </c>
      <c r="W1413" s="29">
        <v>287.99</v>
      </c>
      <c r="X1413" s="26">
        <v>89943</v>
      </c>
      <c r="Y1413" s="35">
        <v>17.45</v>
      </c>
      <c r="Z1413" s="1" t="s">
        <v>3012</v>
      </c>
      <c r="AA1413" s="36">
        <v>17.627400000000002</v>
      </c>
      <c r="AB1413" s="54">
        <v>175.6739</v>
      </c>
      <c r="AC1413" s="54">
        <v>5.3483857142857145</v>
      </c>
      <c r="AD1413" s="36">
        <v>256.36936000000003</v>
      </c>
    </row>
    <row r="1414" spans="1:30" s="37" customFormat="1" ht="15.75" customHeight="1" x14ac:dyDescent="0.2">
      <c r="A1414" s="26">
        <v>2820</v>
      </c>
      <c r="B1414" s="27" t="s">
        <v>495</v>
      </c>
      <c r="C1414" s="27" t="s">
        <v>48</v>
      </c>
      <c r="D1414" s="28">
        <v>0.08</v>
      </c>
      <c r="E1414" s="29">
        <v>6.48</v>
      </c>
      <c r="F1414" s="29">
        <v>2.74</v>
      </c>
      <c r="G1414" s="30" t="s">
        <v>39</v>
      </c>
      <c r="H1414" s="27" t="s">
        <v>71</v>
      </c>
      <c r="I1414" s="27" t="s">
        <v>41</v>
      </c>
      <c r="J1414" s="27" t="s">
        <v>42</v>
      </c>
      <c r="K1414" s="27" t="s">
        <v>43</v>
      </c>
      <c r="L1414" s="31" t="s">
        <v>2471</v>
      </c>
      <c r="M1414" s="32">
        <v>0.71</v>
      </c>
      <c r="N1414" s="27" t="s">
        <v>33</v>
      </c>
      <c r="O1414" s="27" t="s">
        <v>53</v>
      </c>
      <c r="P1414" s="27" t="s">
        <v>80</v>
      </c>
      <c r="Q1414" s="27" t="s">
        <v>497</v>
      </c>
      <c r="R1414" s="33">
        <v>63129</v>
      </c>
      <c r="S1414" s="34">
        <v>42134</v>
      </c>
      <c r="T1414" s="34">
        <v>42136</v>
      </c>
      <c r="U1414" s="29">
        <v>-82.64</v>
      </c>
      <c r="V1414" s="26">
        <v>18</v>
      </c>
      <c r="W1414" s="29">
        <v>113.68</v>
      </c>
      <c r="X1414" s="26">
        <v>87899</v>
      </c>
      <c r="Y1414" s="35">
        <v>7.55</v>
      </c>
      <c r="Z1414" s="1" t="s">
        <v>3012</v>
      </c>
      <c r="AA1414" s="36">
        <v>9.3312000000000008</v>
      </c>
      <c r="AB1414" s="54">
        <v>32.967200000000005</v>
      </c>
      <c r="AC1414" s="54">
        <v>4.4840444444444447</v>
      </c>
      <c r="AD1414" s="36">
        <v>184.24880000000002</v>
      </c>
    </row>
    <row r="1415" spans="1:30" s="37" customFormat="1" ht="15.75" customHeight="1" x14ac:dyDescent="0.2">
      <c r="A1415" s="26">
        <v>995</v>
      </c>
      <c r="B1415" s="27" t="s">
        <v>2476</v>
      </c>
      <c r="C1415" s="27" t="s">
        <v>48</v>
      </c>
      <c r="D1415" s="28">
        <v>0.09</v>
      </c>
      <c r="E1415" s="29">
        <v>7.64</v>
      </c>
      <c r="F1415" s="29">
        <v>5.83</v>
      </c>
      <c r="G1415" s="30" t="s">
        <v>39</v>
      </c>
      <c r="H1415" s="27" t="s">
        <v>3095</v>
      </c>
      <c r="I1415" s="27" t="s">
        <v>49</v>
      </c>
      <c r="J1415" s="27" t="s">
        <v>88</v>
      </c>
      <c r="K1415" s="27" t="s">
        <v>51</v>
      </c>
      <c r="L1415" s="31" t="s">
        <v>232</v>
      </c>
      <c r="M1415" s="32">
        <v>0.36</v>
      </c>
      <c r="N1415" s="27" t="s">
        <v>33</v>
      </c>
      <c r="O1415" s="27" t="s">
        <v>111</v>
      </c>
      <c r="P1415" s="27" t="s">
        <v>331</v>
      </c>
      <c r="Q1415" s="27" t="s">
        <v>2477</v>
      </c>
      <c r="R1415" s="33">
        <v>4070</v>
      </c>
      <c r="S1415" s="34">
        <v>42134</v>
      </c>
      <c r="T1415" s="34">
        <v>42139</v>
      </c>
      <c r="U1415" s="29">
        <v>4.032</v>
      </c>
      <c r="V1415" s="26">
        <v>9</v>
      </c>
      <c r="W1415" s="29">
        <v>72.83</v>
      </c>
      <c r="X1415" s="26">
        <v>89434</v>
      </c>
      <c r="Y1415" s="35">
        <v>6.4</v>
      </c>
      <c r="Z1415" s="1" t="s">
        <v>3014</v>
      </c>
      <c r="AA1415" s="36">
        <v>6.1883999999999997</v>
      </c>
      <c r="AB1415" s="54">
        <v>46.611199999999997</v>
      </c>
      <c r="AC1415" s="54">
        <v>2.9131999999999998</v>
      </c>
      <c r="AD1415" s="36">
        <v>56.779600000000002</v>
      </c>
    </row>
    <row r="1416" spans="1:30" s="37" customFormat="1" ht="15.75" customHeight="1" x14ac:dyDescent="0.2">
      <c r="A1416" s="26">
        <v>1778</v>
      </c>
      <c r="B1416" s="27" t="s">
        <v>2474</v>
      </c>
      <c r="C1416" s="27" t="s">
        <v>38</v>
      </c>
      <c r="D1416" s="28">
        <v>0.06</v>
      </c>
      <c r="E1416" s="29">
        <v>15.04</v>
      </c>
      <c r="F1416" s="29">
        <v>1.97</v>
      </c>
      <c r="G1416" s="30" t="s">
        <v>39</v>
      </c>
      <c r="H1416" s="27" t="s">
        <v>40</v>
      </c>
      <c r="I1416" s="27" t="s">
        <v>49</v>
      </c>
      <c r="J1416" s="27" t="s">
        <v>88</v>
      </c>
      <c r="K1416" s="27" t="s">
        <v>51</v>
      </c>
      <c r="L1416" s="31" t="s">
        <v>92</v>
      </c>
      <c r="M1416" s="32">
        <v>0.39</v>
      </c>
      <c r="N1416" s="27" t="s">
        <v>33</v>
      </c>
      <c r="O1416" s="27" t="s">
        <v>53</v>
      </c>
      <c r="P1416" s="27" t="s">
        <v>54</v>
      </c>
      <c r="Q1416" s="27" t="s">
        <v>2475</v>
      </c>
      <c r="R1416" s="33">
        <v>47906</v>
      </c>
      <c r="S1416" s="34">
        <v>42134</v>
      </c>
      <c r="T1416" s="34">
        <v>42134</v>
      </c>
      <c r="U1416" s="29">
        <v>2.3319999999999999</v>
      </c>
      <c r="V1416" s="26">
        <v>3</v>
      </c>
      <c r="W1416" s="29">
        <v>46.86</v>
      </c>
      <c r="X1416" s="26">
        <v>89943</v>
      </c>
      <c r="Y1416" s="35">
        <v>95.39</v>
      </c>
      <c r="Z1416" s="1" t="s">
        <v>3012</v>
      </c>
      <c r="AA1416" s="36">
        <v>2.7071999999999994</v>
      </c>
      <c r="AB1416" s="54">
        <v>28.584599999999998</v>
      </c>
      <c r="AC1416" s="54">
        <v>6.0918000000000001</v>
      </c>
      <c r="AD1416" s="36">
        <v>39.8508</v>
      </c>
    </row>
    <row r="1417" spans="1:30" s="37" customFormat="1" ht="15.75" customHeight="1" x14ac:dyDescent="0.2">
      <c r="A1417" s="26">
        <v>1595</v>
      </c>
      <c r="B1417" s="27" t="s">
        <v>2478</v>
      </c>
      <c r="C1417" s="27" t="s">
        <v>38</v>
      </c>
      <c r="D1417" s="28">
        <v>0.01</v>
      </c>
      <c r="E1417" s="29">
        <v>500.98</v>
      </c>
      <c r="F1417" s="29">
        <v>26</v>
      </c>
      <c r="G1417" s="30" t="s">
        <v>27</v>
      </c>
      <c r="H1417" s="27" t="s">
        <v>94</v>
      </c>
      <c r="I1417" s="27" t="s">
        <v>29</v>
      </c>
      <c r="J1417" s="27" t="s">
        <v>109</v>
      </c>
      <c r="K1417" s="27" t="s">
        <v>58</v>
      </c>
      <c r="L1417" s="31" t="s">
        <v>2296</v>
      </c>
      <c r="M1417" s="32">
        <v>0.6</v>
      </c>
      <c r="N1417" s="27" t="s">
        <v>33</v>
      </c>
      <c r="O1417" s="27" t="s">
        <v>111</v>
      </c>
      <c r="P1417" s="27" t="s">
        <v>903</v>
      </c>
      <c r="Q1417" s="27" t="s">
        <v>2479</v>
      </c>
      <c r="R1417" s="33">
        <v>25705</v>
      </c>
      <c r="S1417" s="34">
        <v>42135</v>
      </c>
      <c r="T1417" s="34">
        <v>42136</v>
      </c>
      <c r="U1417" s="29">
        <v>5078.5379999999996</v>
      </c>
      <c r="V1417" s="26">
        <v>14</v>
      </c>
      <c r="W1417" s="29">
        <v>7360.2</v>
      </c>
      <c r="X1417" s="26">
        <v>90796</v>
      </c>
      <c r="Y1417" s="35">
        <v>500.97</v>
      </c>
      <c r="Z1417" s="1" t="s">
        <v>3014</v>
      </c>
      <c r="AA1417" s="36">
        <v>70.137200000000007</v>
      </c>
      <c r="AB1417" s="54">
        <v>2944.08</v>
      </c>
      <c r="AC1417" s="54">
        <v>315.43714285714282</v>
      </c>
      <c r="AD1417" s="36">
        <v>2185.5248000000001</v>
      </c>
    </row>
    <row r="1418" spans="1:30" s="37" customFormat="1" ht="15.75" customHeight="1" x14ac:dyDescent="0.2">
      <c r="A1418" s="26">
        <v>2464</v>
      </c>
      <c r="B1418" s="27" t="s">
        <v>655</v>
      </c>
      <c r="C1418" s="27" t="s">
        <v>38</v>
      </c>
      <c r="D1418" s="28">
        <v>0.08</v>
      </c>
      <c r="E1418" s="29">
        <v>227.55</v>
      </c>
      <c r="F1418" s="29">
        <v>32.479999999999997</v>
      </c>
      <c r="G1418" s="30" t="s">
        <v>27</v>
      </c>
      <c r="H1418" s="27" t="s">
        <v>40</v>
      </c>
      <c r="I1418" s="27" t="s">
        <v>29</v>
      </c>
      <c r="J1418" s="27" t="s">
        <v>30</v>
      </c>
      <c r="K1418" s="27" t="s">
        <v>31</v>
      </c>
      <c r="L1418" s="31" t="s">
        <v>2483</v>
      </c>
      <c r="M1418" s="32">
        <v>0.68</v>
      </c>
      <c r="N1418" s="27" t="s">
        <v>33</v>
      </c>
      <c r="O1418" s="27" t="s">
        <v>34</v>
      </c>
      <c r="P1418" s="27" t="s">
        <v>168</v>
      </c>
      <c r="Q1418" s="27" t="s">
        <v>657</v>
      </c>
      <c r="R1418" s="33">
        <v>71111</v>
      </c>
      <c r="S1418" s="34">
        <v>42135</v>
      </c>
      <c r="T1418" s="34">
        <v>42135</v>
      </c>
      <c r="U1418" s="29">
        <v>-570.16959999999995</v>
      </c>
      <c r="V1418" s="26">
        <v>16</v>
      </c>
      <c r="W1418" s="29">
        <v>2849.64</v>
      </c>
      <c r="X1418" s="26">
        <v>88713</v>
      </c>
      <c r="Y1418" s="35">
        <v>9.69</v>
      </c>
      <c r="Z1418" s="1" t="s">
        <v>3011</v>
      </c>
      <c r="AA1418" s="36">
        <v>291.26400000000001</v>
      </c>
      <c r="AB1418" s="54">
        <v>911.88479999999981</v>
      </c>
      <c r="AC1418" s="54">
        <v>121.1097</v>
      </c>
      <c r="AD1418" s="36">
        <v>3096.0655999999999</v>
      </c>
    </row>
    <row r="1419" spans="1:30" s="37" customFormat="1" ht="15.75" customHeight="1" x14ac:dyDescent="0.2">
      <c r="A1419" s="26">
        <v>1693</v>
      </c>
      <c r="B1419" s="27" t="s">
        <v>738</v>
      </c>
      <c r="C1419" s="27" t="s">
        <v>48</v>
      </c>
      <c r="D1419" s="28">
        <v>0.01</v>
      </c>
      <c r="E1419" s="29">
        <v>15.67</v>
      </c>
      <c r="F1419" s="29">
        <v>1.39</v>
      </c>
      <c r="G1419" s="30" t="s">
        <v>87</v>
      </c>
      <c r="H1419" s="27" t="s">
        <v>40</v>
      </c>
      <c r="I1419" s="27" t="s">
        <v>49</v>
      </c>
      <c r="J1419" s="27" t="s">
        <v>345</v>
      </c>
      <c r="K1419" s="27" t="s">
        <v>73</v>
      </c>
      <c r="L1419" s="31" t="s">
        <v>2484</v>
      </c>
      <c r="M1419" s="32">
        <v>0.38</v>
      </c>
      <c r="N1419" s="27" t="s">
        <v>33</v>
      </c>
      <c r="O1419" s="27" t="s">
        <v>34</v>
      </c>
      <c r="P1419" s="27" t="s">
        <v>242</v>
      </c>
      <c r="Q1419" s="27" t="s">
        <v>740</v>
      </c>
      <c r="R1419" s="33">
        <v>20190</v>
      </c>
      <c r="S1419" s="34">
        <v>42135</v>
      </c>
      <c r="T1419" s="34">
        <v>42135</v>
      </c>
      <c r="U1419" s="29">
        <v>-273.98</v>
      </c>
      <c r="V1419" s="26">
        <v>11</v>
      </c>
      <c r="W1419" s="29">
        <v>188.09</v>
      </c>
      <c r="X1419" s="26">
        <v>90190</v>
      </c>
      <c r="Y1419" s="35">
        <v>3.19</v>
      </c>
      <c r="Z1419" s="1" t="s">
        <v>3011</v>
      </c>
      <c r="AA1419" s="36">
        <v>1.7237</v>
      </c>
      <c r="AB1419" s="54">
        <v>116.61580000000001</v>
      </c>
      <c r="AC1419" s="54">
        <v>6.4976545454545453</v>
      </c>
      <c r="AD1419" s="36">
        <v>458.95630000000006</v>
      </c>
    </row>
    <row r="1420" spans="1:30" s="37" customFormat="1" ht="15.75" customHeight="1" x14ac:dyDescent="0.2">
      <c r="A1420" s="26">
        <v>1595</v>
      </c>
      <c r="B1420" s="27" t="s">
        <v>2478</v>
      </c>
      <c r="C1420" s="27" t="s">
        <v>38</v>
      </c>
      <c r="D1420" s="28">
        <v>0.09</v>
      </c>
      <c r="E1420" s="29">
        <v>3.28</v>
      </c>
      <c r="F1420" s="29">
        <v>0.98</v>
      </c>
      <c r="G1420" s="30" t="s">
        <v>39</v>
      </c>
      <c r="H1420" s="27" t="s">
        <v>94</v>
      </c>
      <c r="I1420" s="27" t="s">
        <v>49</v>
      </c>
      <c r="J1420" s="27" t="s">
        <v>50</v>
      </c>
      <c r="K1420" s="27" t="s">
        <v>51</v>
      </c>
      <c r="L1420" s="31" t="s">
        <v>2480</v>
      </c>
      <c r="M1420" s="32">
        <v>0.59</v>
      </c>
      <c r="N1420" s="27" t="s">
        <v>33</v>
      </c>
      <c r="O1420" s="27" t="s">
        <v>111</v>
      </c>
      <c r="P1420" s="27" t="s">
        <v>903</v>
      </c>
      <c r="Q1420" s="27" t="s">
        <v>2479</v>
      </c>
      <c r="R1420" s="33">
        <v>25705</v>
      </c>
      <c r="S1420" s="34">
        <v>42135</v>
      </c>
      <c r="T1420" s="34">
        <v>42137</v>
      </c>
      <c r="U1420" s="29">
        <v>17.754000000000001</v>
      </c>
      <c r="V1420" s="26">
        <v>42</v>
      </c>
      <c r="W1420" s="29">
        <v>134.97</v>
      </c>
      <c r="X1420" s="26">
        <v>90796</v>
      </c>
      <c r="Y1420" s="35">
        <v>2.1300000000000003</v>
      </c>
      <c r="Z1420" s="1" t="s">
        <v>3014</v>
      </c>
      <c r="AA1420" s="36">
        <v>12.398399999999999</v>
      </c>
      <c r="AB1420" s="54">
        <v>55.337700000000005</v>
      </c>
      <c r="AC1420" s="54">
        <v>1.8960071428571428</v>
      </c>
      <c r="AD1420" s="36">
        <v>103.83759999999999</v>
      </c>
    </row>
    <row r="1421" spans="1:30" s="37" customFormat="1" ht="15.75" customHeight="1" x14ac:dyDescent="0.2">
      <c r="A1421" s="26">
        <v>1595</v>
      </c>
      <c r="B1421" s="27" t="s">
        <v>2478</v>
      </c>
      <c r="C1421" s="27" t="s">
        <v>38</v>
      </c>
      <c r="D1421" s="28">
        <v>0.08</v>
      </c>
      <c r="E1421" s="29">
        <v>9.77</v>
      </c>
      <c r="F1421" s="29">
        <v>6.02</v>
      </c>
      <c r="G1421" s="30" t="s">
        <v>39</v>
      </c>
      <c r="H1421" s="27" t="s">
        <v>94</v>
      </c>
      <c r="I1421" s="27" t="s">
        <v>29</v>
      </c>
      <c r="J1421" s="27" t="s">
        <v>126</v>
      </c>
      <c r="K1421" s="27" t="s">
        <v>144</v>
      </c>
      <c r="L1421" s="31" t="s">
        <v>2119</v>
      </c>
      <c r="M1421" s="32">
        <v>0.48</v>
      </c>
      <c r="N1421" s="27" t="s">
        <v>33</v>
      </c>
      <c r="O1421" s="27" t="s">
        <v>111</v>
      </c>
      <c r="P1421" s="27" t="s">
        <v>903</v>
      </c>
      <c r="Q1421" s="27" t="s">
        <v>2479</v>
      </c>
      <c r="R1421" s="33">
        <v>25705</v>
      </c>
      <c r="S1421" s="34">
        <v>42135</v>
      </c>
      <c r="T1421" s="34">
        <v>42136</v>
      </c>
      <c r="U1421" s="29">
        <v>23.276</v>
      </c>
      <c r="V1421" s="26">
        <v>9</v>
      </c>
      <c r="W1421" s="29">
        <v>89.06</v>
      </c>
      <c r="X1421" s="26">
        <v>90796</v>
      </c>
      <c r="Y1421" s="35">
        <v>9.6800000000000015</v>
      </c>
      <c r="Z1421" s="1" t="s">
        <v>3014</v>
      </c>
      <c r="AA1421" s="36">
        <v>7.0343999999999998</v>
      </c>
      <c r="AB1421" s="54">
        <v>46.311199999999999</v>
      </c>
      <c r="AC1421" s="54">
        <v>4.7498666666666667</v>
      </c>
      <c r="AD1421" s="36">
        <v>52.729600000000005</v>
      </c>
    </row>
    <row r="1422" spans="1:30" s="37" customFormat="1" ht="15.75" customHeight="1" x14ac:dyDescent="0.2">
      <c r="A1422" s="26">
        <v>1609</v>
      </c>
      <c r="B1422" s="27" t="s">
        <v>2481</v>
      </c>
      <c r="C1422" s="27" t="s">
        <v>38</v>
      </c>
      <c r="D1422" s="28">
        <v>0.03</v>
      </c>
      <c r="E1422" s="29">
        <v>9.7100000000000009</v>
      </c>
      <c r="F1422" s="29">
        <v>9.4499999999999993</v>
      </c>
      <c r="G1422" s="30" t="s">
        <v>39</v>
      </c>
      <c r="H1422" s="27" t="s">
        <v>40</v>
      </c>
      <c r="I1422" s="27" t="s">
        <v>49</v>
      </c>
      <c r="J1422" s="27" t="s">
        <v>78</v>
      </c>
      <c r="K1422" s="27" t="s">
        <v>73</v>
      </c>
      <c r="L1422" s="31" t="s">
        <v>1203</v>
      </c>
      <c r="M1422" s="32">
        <v>0.6</v>
      </c>
      <c r="N1422" s="27" t="s">
        <v>33</v>
      </c>
      <c r="O1422" s="27" t="s">
        <v>60</v>
      </c>
      <c r="P1422" s="27" t="s">
        <v>90</v>
      </c>
      <c r="Q1422" s="27" t="s">
        <v>2482</v>
      </c>
      <c r="R1422" s="33">
        <v>95823</v>
      </c>
      <c r="S1422" s="34">
        <v>42135</v>
      </c>
      <c r="T1422" s="34">
        <v>42135</v>
      </c>
      <c r="U1422" s="29">
        <v>-36.9</v>
      </c>
      <c r="V1422" s="26">
        <v>2</v>
      </c>
      <c r="W1422" s="29">
        <v>23.56</v>
      </c>
      <c r="X1422" s="26">
        <v>87824</v>
      </c>
      <c r="Y1422" s="35">
        <v>1.65</v>
      </c>
      <c r="Z1422" s="1" t="s">
        <v>3013</v>
      </c>
      <c r="AA1422" s="36">
        <v>0.58260000000000001</v>
      </c>
      <c r="AB1422" s="54">
        <v>9.4239999999999995</v>
      </c>
      <c r="AC1422" s="54">
        <v>7.0679999999999996</v>
      </c>
      <c r="AD1422" s="36">
        <v>50.427399999999999</v>
      </c>
    </row>
    <row r="1423" spans="1:30" s="37" customFormat="1" ht="15.75" customHeight="1" x14ac:dyDescent="0.2">
      <c r="A1423" s="26">
        <v>2935</v>
      </c>
      <c r="B1423" s="27" t="s">
        <v>2485</v>
      </c>
      <c r="C1423" s="27" t="s">
        <v>48</v>
      </c>
      <c r="D1423" s="28">
        <v>0.02</v>
      </c>
      <c r="E1423" s="29">
        <v>3.8</v>
      </c>
      <c r="F1423" s="29">
        <v>1.49</v>
      </c>
      <c r="G1423" s="30" t="s">
        <v>39</v>
      </c>
      <c r="H1423" s="27" t="s">
        <v>3095</v>
      </c>
      <c r="I1423" s="27" t="s">
        <v>49</v>
      </c>
      <c r="J1423" s="27" t="s">
        <v>72</v>
      </c>
      <c r="K1423" s="27" t="s">
        <v>73</v>
      </c>
      <c r="L1423" s="31" t="s">
        <v>1192</v>
      </c>
      <c r="M1423" s="32">
        <v>0.38</v>
      </c>
      <c r="N1423" s="27" t="s">
        <v>33</v>
      </c>
      <c r="O1423" s="27" t="s">
        <v>111</v>
      </c>
      <c r="P1423" s="27" t="s">
        <v>403</v>
      </c>
      <c r="Q1423" s="27" t="s">
        <v>788</v>
      </c>
      <c r="R1423" s="33">
        <v>2215</v>
      </c>
      <c r="S1423" s="34">
        <v>42135</v>
      </c>
      <c r="T1423" s="34">
        <v>42139</v>
      </c>
      <c r="U1423" s="29">
        <v>7.31</v>
      </c>
      <c r="V1423" s="26">
        <v>5</v>
      </c>
      <c r="W1423" s="29">
        <v>20.46</v>
      </c>
      <c r="X1423" s="26">
        <v>87617</v>
      </c>
      <c r="Y1423" s="35">
        <v>227.47</v>
      </c>
      <c r="Z1423" s="1" t="s">
        <v>3014</v>
      </c>
      <c r="AA1423" s="36">
        <v>0.38</v>
      </c>
      <c r="AB1423" s="54">
        <v>12.6852</v>
      </c>
      <c r="AC1423" s="54">
        <v>1.5549600000000001</v>
      </c>
      <c r="AD1423" s="36">
        <v>11.280000000000001</v>
      </c>
    </row>
    <row r="1424" spans="1:30" s="37" customFormat="1" ht="15.75" customHeight="1" x14ac:dyDescent="0.2">
      <c r="A1424" s="26">
        <v>1609</v>
      </c>
      <c r="B1424" s="27" t="s">
        <v>2481</v>
      </c>
      <c r="C1424" s="27" t="s">
        <v>38</v>
      </c>
      <c r="D1424" s="28">
        <v>0.03</v>
      </c>
      <c r="E1424" s="29">
        <v>2.16</v>
      </c>
      <c r="F1424" s="29">
        <v>6.05</v>
      </c>
      <c r="G1424" s="30" t="s">
        <v>39</v>
      </c>
      <c r="H1424" s="27" t="s">
        <v>40</v>
      </c>
      <c r="I1424" s="27" t="s">
        <v>49</v>
      </c>
      <c r="J1424" s="27" t="s">
        <v>72</v>
      </c>
      <c r="K1424" s="27" t="s">
        <v>73</v>
      </c>
      <c r="L1424" s="31" t="s">
        <v>896</v>
      </c>
      <c r="M1424" s="32">
        <v>0.37</v>
      </c>
      <c r="N1424" s="27" t="s">
        <v>33</v>
      </c>
      <c r="O1424" s="27" t="s">
        <v>60</v>
      </c>
      <c r="P1424" s="27" t="s">
        <v>90</v>
      </c>
      <c r="Q1424" s="27" t="s">
        <v>2482</v>
      </c>
      <c r="R1424" s="33">
        <v>95823</v>
      </c>
      <c r="S1424" s="34">
        <v>42135</v>
      </c>
      <c r="T1424" s="34">
        <v>42136</v>
      </c>
      <c r="U1424" s="29">
        <v>-90.585499999999996</v>
      </c>
      <c r="V1424" s="26">
        <v>7</v>
      </c>
      <c r="W1424" s="29">
        <v>17.309999999999999</v>
      </c>
      <c r="X1424" s="26">
        <v>87824</v>
      </c>
      <c r="Y1424" s="35">
        <v>15.66</v>
      </c>
      <c r="Z1424" s="1" t="s">
        <v>3013</v>
      </c>
      <c r="AA1424" s="36">
        <v>0.4536</v>
      </c>
      <c r="AB1424" s="54">
        <v>10.905299999999999</v>
      </c>
      <c r="AC1424" s="54">
        <v>0.9149571428571428</v>
      </c>
      <c r="AD1424" s="36">
        <v>101.39190000000001</v>
      </c>
    </row>
    <row r="1425" spans="1:30" s="37" customFormat="1" ht="15.75" customHeight="1" x14ac:dyDescent="0.2">
      <c r="A1425" s="26">
        <v>2464</v>
      </c>
      <c r="B1425" s="27" t="s">
        <v>655</v>
      </c>
      <c r="C1425" s="27" t="s">
        <v>38</v>
      </c>
      <c r="D1425" s="28">
        <v>0.09</v>
      </c>
      <c r="E1425" s="29">
        <v>1.74</v>
      </c>
      <c r="F1425" s="29">
        <v>4.08</v>
      </c>
      <c r="G1425" s="30" t="s">
        <v>87</v>
      </c>
      <c r="H1425" s="27" t="s">
        <v>40</v>
      </c>
      <c r="I1425" s="27" t="s">
        <v>29</v>
      </c>
      <c r="J1425" s="27" t="s">
        <v>126</v>
      </c>
      <c r="K1425" s="27" t="s">
        <v>43</v>
      </c>
      <c r="L1425" s="31" t="s">
        <v>770</v>
      </c>
      <c r="M1425" s="32">
        <v>0.53</v>
      </c>
      <c r="N1425" s="27" t="s">
        <v>33</v>
      </c>
      <c r="O1425" s="27" t="s">
        <v>34</v>
      </c>
      <c r="P1425" s="27" t="s">
        <v>168</v>
      </c>
      <c r="Q1425" s="27" t="s">
        <v>657</v>
      </c>
      <c r="R1425" s="33">
        <v>71111</v>
      </c>
      <c r="S1425" s="34">
        <v>42135</v>
      </c>
      <c r="T1425" s="34">
        <v>42137</v>
      </c>
      <c r="U1425" s="29">
        <v>608.26199999999994</v>
      </c>
      <c r="V1425" s="26">
        <v>4</v>
      </c>
      <c r="W1425" s="29">
        <v>10.41</v>
      </c>
      <c r="X1425" s="26">
        <v>88713</v>
      </c>
      <c r="Y1425" s="35">
        <v>3.78</v>
      </c>
      <c r="Z1425" s="1" t="s">
        <v>3011</v>
      </c>
      <c r="AA1425" s="36">
        <v>0.62639999999999996</v>
      </c>
      <c r="AB1425" s="54">
        <v>4.8926999999999996</v>
      </c>
      <c r="AC1425" s="54">
        <v>1.3793250000000001</v>
      </c>
      <c r="AD1425" s="36">
        <v>-602.55840000000001</v>
      </c>
    </row>
    <row r="1426" spans="1:30" s="37" customFormat="1" ht="15.75" customHeight="1" x14ac:dyDescent="0.2">
      <c r="A1426" s="26">
        <v>1671</v>
      </c>
      <c r="B1426" s="27" t="s">
        <v>1066</v>
      </c>
      <c r="C1426" s="27" t="s">
        <v>26</v>
      </c>
      <c r="D1426" s="28">
        <v>0.03</v>
      </c>
      <c r="E1426" s="29">
        <v>223.98</v>
      </c>
      <c r="F1426" s="29">
        <v>15.01</v>
      </c>
      <c r="G1426" s="30" t="s">
        <v>39</v>
      </c>
      <c r="H1426" s="27" t="s">
        <v>3095</v>
      </c>
      <c r="I1426" s="27" t="s">
        <v>49</v>
      </c>
      <c r="J1426" s="27" t="s">
        <v>72</v>
      </c>
      <c r="K1426" s="27" t="s">
        <v>73</v>
      </c>
      <c r="L1426" s="31" t="s">
        <v>2486</v>
      </c>
      <c r="M1426" s="32">
        <v>0.38</v>
      </c>
      <c r="N1426" s="27" t="s">
        <v>33</v>
      </c>
      <c r="O1426" s="27" t="s">
        <v>34</v>
      </c>
      <c r="P1426" s="27" t="s">
        <v>242</v>
      </c>
      <c r="Q1426" s="27" t="s">
        <v>1067</v>
      </c>
      <c r="R1426" s="33">
        <v>22015</v>
      </c>
      <c r="S1426" s="34">
        <v>42136</v>
      </c>
      <c r="T1426" s="34">
        <v>42137</v>
      </c>
      <c r="U1426" s="29">
        <v>0.69599999999999995</v>
      </c>
      <c r="V1426" s="26">
        <v>21</v>
      </c>
      <c r="W1426" s="29">
        <v>4881.84</v>
      </c>
      <c r="X1426" s="26">
        <v>86725</v>
      </c>
      <c r="Y1426" s="35">
        <v>223.95</v>
      </c>
      <c r="Z1426" s="1" t="s">
        <v>3011</v>
      </c>
      <c r="AA1426" s="36">
        <v>141.10739999999998</v>
      </c>
      <c r="AB1426" s="54">
        <v>3026.7408</v>
      </c>
      <c r="AC1426" s="54">
        <v>88.338057142857153</v>
      </c>
      <c r="AD1426" s="36">
        <v>4725.0266000000001</v>
      </c>
    </row>
    <row r="1427" spans="1:30" s="37" customFormat="1" ht="15.75" customHeight="1" x14ac:dyDescent="0.2">
      <c r="A1427" s="26">
        <v>14</v>
      </c>
      <c r="B1427" s="27" t="s">
        <v>2487</v>
      </c>
      <c r="C1427" s="27" t="s">
        <v>116</v>
      </c>
      <c r="D1427" s="28">
        <v>0.09</v>
      </c>
      <c r="E1427" s="29">
        <v>78.69</v>
      </c>
      <c r="F1427" s="29">
        <v>19.989999999999998</v>
      </c>
      <c r="G1427" s="30" t="s">
        <v>39</v>
      </c>
      <c r="H1427" s="27" t="s">
        <v>3095</v>
      </c>
      <c r="I1427" s="27" t="s">
        <v>29</v>
      </c>
      <c r="J1427" s="27" t="s">
        <v>126</v>
      </c>
      <c r="K1427" s="27" t="s">
        <v>73</v>
      </c>
      <c r="L1427" s="31" t="s">
        <v>1213</v>
      </c>
      <c r="M1427" s="32">
        <v>0.43</v>
      </c>
      <c r="N1427" s="27" t="s">
        <v>33</v>
      </c>
      <c r="O1427" s="27" t="s">
        <v>53</v>
      </c>
      <c r="P1427" s="27" t="s">
        <v>84</v>
      </c>
      <c r="Q1427" s="27" t="s">
        <v>85</v>
      </c>
      <c r="R1427" s="33">
        <v>55372</v>
      </c>
      <c r="S1427" s="34">
        <v>42136</v>
      </c>
      <c r="T1427" s="34">
        <v>42138</v>
      </c>
      <c r="U1427" s="29">
        <v>803.47050000000002</v>
      </c>
      <c r="V1427" s="26">
        <v>16</v>
      </c>
      <c r="W1427" s="29">
        <v>1164.45</v>
      </c>
      <c r="X1427" s="26">
        <v>86838</v>
      </c>
      <c r="Y1427" s="35">
        <v>78.599999999999994</v>
      </c>
      <c r="Z1427" s="1" t="s">
        <v>3012</v>
      </c>
      <c r="AA1427" s="36">
        <v>113.31359999999999</v>
      </c>
      <c r="AB1427" s="54">
        <v>663.73650000000009</v>
      </c>
      <c r="AC1427" s="54">
        <v>31.294593750000001</v>
      </c>
      <c r="AD1427" s="36">
        <v>227.67590000000007</v>
      </c>
    </row>
    <row r="1428" spans="1:30" s="37" customFormat="1" ht="15.75" customHeight="1" x14ac:dyDescent="0.2">
      <c r="A1428" s="26">
        <v>1267</v>
      </c>
      <c r="B1428" s="27" t="s">
        <v>1075</v>
      </c>
      <c r="C1428" s="27" t="s">
        <v>3094</v>
      </c>
      <c r="D1428" s="28">
        <v>0.04</v>
      </c>
      <c r="E1428" s="29">
        <v>5.98</v>
      </c>
      <c r="F1428" s="29">
        <v>4.38</v>
      </c>
      <c r="G1428" s="30" t="s">
        <v>39</v>
      </c>
      <c r="H1428" s="27" t="s">
        <v>94</v>
      </c>
      <c r="I1428" s="27" t="s">
        <v>41</v>
      </c>
      <c r="J1428" s="27" t="s">
        <v>42</v>
      </c>
      <c r="K1428" s="27" t="s">
        <v>43</v>
      </c>
      <c r="L1428" s="31" t="s">
        <v>2491</v>
      </c>
      <c r="M1428" s="32">
        <v>0.75</v>
      </c>
      <c r="N1428" s="27" t="s">
        <v>33</v>
      </c>
      <c r="O1428" s="27" t="s">
        <v>34</v>
      </c>
      <c r="P1428" s="27" t="s">
        <v>123</v>
      </c>
      <c r="Q1428" s="27" t="s">
        <v>1077</v>
      </c>
      <c r="R1428" s="33">
        <v>33433</v>
      </c>
      <c r="S1428" s="34">
        <v>42136</v>
      </c>
      <c r="T1428" s="34">
        <v>42138</v>
      </c>
      <c r="U1428" s="29">
        <v>-1522.3040000000001</v>
      </c>
      <c r="V1428" s="26">
        <v>11</v>
      </c>
      <c r="W1428" s="29">
        <v>69.75</v>
      </c>
      <c r="X1428" s="26">
        <v>89515</v>
      </c>
      <c r="Y1428" s="35">
        <v>3.1999999999999997</v>
      </c>
      <c r="Z1428" s="1" t="s">
        <v>3011</v>
      </c>
      <c r="AA1428" s="36">
        <v>2.6312000000000002</v>
      </c>
      <c r="AB1428" s="54">
        <v>17.4375</v>
      </c>
      <c r="AC1428" s="54">
        <v>4.7556818181818183</v>
      </c>
      <c r="AD1428" s="36">
        <v>1585.0427999999999</v>
      </c>
    </row>
    <row r="1429" spans="1:30" s="37" customFormat="1" ht="15.75" customHeight="1" x14ac:dyDescent="0.2">
      <c r="A1429" s="26">
        <v>14</v>
      </c>
      <c r="B1429" s="27" t="s">
        <v>2487</v>
      </c>
      <c r="C1429" s="27" t="s">
        <v>116</v>
      </c>
      <c r="D1429" s="28">
        <v>0.08</v>
      </c>
      <c r="E1429" s="29">
        <v>3.28</v>
      </c>
      <c r="F1429" s="29">
        <v>2.31</v>
      </c>
      <c r="G1429" s="30" t="s">
        <v>39</v>
      </c>
      <c r="H1429" s="27" t="s">
        <v>3095</v>
      </c>
      <c r="I1429" s="27" t="s">
        <v>49</v>
      </c>
      <c r="J1429" s="27" t="s">
        <v>50</v>
      </c>
      <c r="K1429" s="27" t="s">
        <v>51</v>
      </c>
      <c r="L1429" s="31" t="s">
        <v>2488</v>
      </c>
      <c r="M1429" s="32">
        <v>0.56000000000000005</v>
      </c>
      <c r="N1429" s="27" t="s">
        <v>33</v>
      </c>
      <c r="O1429" s="27" t="s">
        <v>53</v>
      </c>
      <c r="P1429" s="27" t="s">
        <v>84</v>
      </c>
      <c r="Q1429" s="27" t="s">
        <v>85</v>
      </c>
      <c r="R1429" s="33">
        <v>55372</v>
      </c>
      <c r="S1429" s="34">
        <v>42136</v>
      </c>
      <c r="T1429" s="34">
        <v>42137</v>
      </c>
      <c r="U1429" s="29">
        <v>-24.03</v>
      </c>
      <c r="V1429" s="26">
        <v>7</v>
      </c>
      <c r="W1429" s="29">
        <v>22.23</v>
      </c>
      <c r="X1429" s="26">
        <v>86838</v>
      </c>
      <c r="Y1429" s="35">
        <v>3.23</v>
      </c>
      <c r="Z1429" s="1" t="s">
        <v>3012</v>
      </c>
      <c r="AA1429" s="36">
        <v>1.8367999999999998</v>
      </c>
      <c r="AB1429" s="54">
        <v>9.7811999999999983</v>
      </c>
      <c r="AC1429" s="54">
        <v>1.7784000000000002</v>
      </c>
      <c r="AD1429" s="36">
        <v>42.113200000000006</v>
      </c>
    </row>
    <row r="1430" spans="1:30" s="37" customFormat="1" ht="15.75" customHeight="1" x14ac:dyDescent="0.2">
      <c r="A1430" s="26">
        <v>14</v>
      </c>
      <c r="B1430" s="27" t="s">
        <v>2487</v>
      </c>
      <c r="C1430" s="27" t="s">
        <v>116</v>
      </c>
      <c r="D1430" s="28">
        <v>0.05</v>
      </c>
      <c r="E1430" s="29">
        <v>3.58</v>
      </c>
      <c r="F1430" s="29">
        <v>1.63</v>
      </c>
      <c r="G1430" s="30" t="s">
        <v>39</v>
      </c>
      <c r="H1430" s="27" t="s">
        <v>3095</v>
      </c>
      <c r="I1430" s="27" t="s">
        <v>49</v>
      </c>
      <c r="J1430" s="27" t="s">
        <v>176</v>
      </c>
      <c r="K1430" s="27" t="s">
        <v>51</v>
      </c>
      <c r="L1430" s="31" t="s">
        <v>2221</v>
      </c>
      <c r="M1430" s="32">
        <v>0.36</v>
      </c>
      <c r="N1430" s="27" t="s">
        <v>33</v>
      </c>
      <c r="O1430" s="27" t="s">
        <v>53</v>
      </c>
      <c r="P1430" s="27" t="s">
        <v>84</v>
      </c>
      <c r="Q1430" s="27" t="s">
        <v>85</v>
      </c>
      <c r="R1430" s="33">
        <v>55372</v>
      </c>
      <c r="S1430" s="34">
        <v>42136</v>
      </c>
      <c r="T1430" s="34">
        <v>42137</v>
      </c>
      <c r="U1430" s="29">
        <v>-0.71</v>
      </c>
      <c r="V1430" s="26">
        <v>4</v>
      </c>
      <c r="W1430" s="29">
        <v>14.26</v>
      </c>
      <c r="X1430" s="26">
        <v>86838</v>
      </c>
      <c r="Y1430" s="35">
        <v>3.5300000000000002</v>
      </c>
      <c r="Z1430" s="1" t="s">
        <v>3012</v>
      </c>
      <c r="AA1430" s="36">
        <v>0.71600000000000008</v>
      </c>
      <c r="AB1430" s="54">
        <v>9.1264000000000003</v>
      </c>
      <c r="AC1430" s="54">
        <v>1.2833999999999999</v>
      </c>
      <c r="AD1430" s="36">
        <v>12.623999999999999</v>
      </c>
    </row>
    <row r="1431" spans="1:30" s="37" customFormat="1" ht="15.75" customHeight="1" x14ac:dyDescent="0.2">
      <c r="A1431" s="26">
        <v>14</v>
      </c>
      <c r="B1431" s="27" t="s">
        <v>2487</v>
      </c>
      <c r="C1431" s="27" t="s">
        <v>116</v>
      </c>
      <c r="D1431" s="28">
        <v>0.05</v>
      </c>
      <c r="E1431" s="29">
        <v>3.28</v>
      </c>
      <c r="F1431" s="29">
        <v>4.2</v>
      </c>
      <c r="G1431" s="30" t="s">
        <v>39</v>
      </c>
      <c r="H1431" s="27" t="s">
        <v>3095</v>
      </c>
      <c r="I1431" s="27" t="s">
        <v>49</v>
      </c>
      <c r="J1431" s="27" t="s">
        <v>50</v>
      </c>
      <c r="K1431" s="27" t="s">
        <v>51</v>
      </c>
      <c r="L1431" s="31" t="s">
        <v>2489</v>
      </c>
      <c r="M1431" s="32">
        <v>0.56000000000000005</v>
      </c>
      <c r="N1431" s="27" t="s">
        <v>33</v>
      </c>
      <c r="O1431" s="27" t="s">
        <v>53</v>
      </c>
      <c r="P1431" s="27" t="s">
        <v>84</v>
      </c>
      <c r="Q1431" s="27" t="s">
        <v>85</v>
      </c>
      <c r="R1431" s="33">
        <v>55372</v>
      </c>
      <c r="S1431" s="34">
        <v>42136</v>
      </c>
      <c r="T1431" s="34">
        <v>42137</v>
      </c>
      <c r="U1431" s="29">
        <v>-37.03</v>
      </c>
      <c r="V1431" s="26">
        <v>4</v>
      </c>
      <c r="W1431" s="29">
        <v>13.99</v>
      </c>
      <c r="X1431" s="26">
        <v>86838</v>
      </c>
      <c r="Y1431" s="35">
        <v>9.27</v>
      </c>
      <c r="Z1431" s="1" t="s">
        <v>3012</v>
      </c>
      <c r="AA1431" s="36">
        <v>0.65600000000000003</v>
      </c>
      <c r="AB1431" s="54">
        <v>6.1555999999999997</v>
      </c>
      <c r="AC1431" s="54">
        <v>1.9586000000000001</v>
      </c>
      <c r="AD1431" s="36">
        <v>46.164000000000001</v>
      </c>
    </row>
    <row r="1432" spans="1:30" s="37" customFormat="1" ht="15.75" customHeight="1" x14ac:dyDescent="0.2">
      <c r="A1432" s="26">
        <v>1826</v>
      </c>
      <c r="B1432" s="27" t="s">
        <v>2204</v>
      </c>
      <c r="C1432" s="27" t="s">
        <v>116</v>
      </c>
      <c r="D1432" s="28">
        <v>0</v>
      </c>
      <c r="E1432" s="29">
        <v>9.27</v>
      </c>
      <c r="F1432" s="29">
        <v>4.3899999999999997</v>
      </c>
      <c r="G1432" s="30" t="s">
        <v>39</v>
      </c>
      <c r="H1432" s="27" t="s">
        <v>94</v>
      </c>
      <c r="I1432" s="27" t="s">
        <v>49</v>
      </c>
      <c r="J1432" s="27" t="s">
        <v>88</v>
      </c>
      <c r="K1432" s="27" t="s">
        <v>51</v>
      </c>
      <c r="L1432" s="31" t="s">
        <v>2490</v>
      </c>
      <c r="M1432" s="32">
        <v>0.38</v>
      </c>
      <c r="N1432" s="27" t="s">
        <v>33</v>
      </c>
      <c r="O1432" s="27" t="s">
        <v>53</v>
      </c>
      <c r="P1432" s="27" t="s">
        <v>213</v>
      </c>
      <c r="Q1432" s="27" t="s">
        <v>2206</v>
      </c>
      <c r="R1432" s="33">
        <v>52722</v>
      </c>
      <c r="S1432" s="34">
        <v>42136</v>
      </c>
      <c r="T1432" s="34">
        <v>42138</v>
      </c>
      <c r="U1432" s="29">
        <v>-7.61</v>
      </c>
      <c r="V1432" s="26">
        <v>1</v>
      </c>
      <c r="W1432" s="29">
        <v>10.65</v>
      </c>
      <c r="X1432" s="26">
        <v>86959</v>
      </c>
      <c r="Y1432" s="35">
        <v>5.94</v>
      </c>
      <c r="Z1432" s="1" t="s">
        <v>3012</v>
      </c>
      <c r="AA1432" s="36">
        <v>0</v>
      </c>
      <c r="AB1432" s="54">
        <v>6.6029999999999998</v>
      </c>
      <c r="AC1432" s="54">
        <v>4.0470000000000006</v>
      </c>
      <c r="AD1432" s="36">
        <v>13.870000000000001</v>
      </c>
    </row>
    <row r="1433" spans="1:30" s="37" customFormat="1" ht="15.75" customHeight="1" x14ac:dyDescent="0.2">
      <c r="A1433" s="26">
        <v>3257</v>
      </c>
      <c r="B1433" s="27" t="s">
        <v>2498</v>
      </c>
      <c r="C1433" s="27" t="s">
        <v>116</v>
      </c>
      <c r="D1433" s="28">
        <v>0</v>
      </c>
      <c r="E1433" s="29">
        <v>25.38</v>
      </c>
      <c r="F1433" s="29">
        <v>8.99</v>
      </c>
      <c r="G1433" s="30" t="s">
        <v>39</v>
      </c>
      <c r="H1433" s="27" t="s">
        <v>40</v>
      </c>
      <c r="I1433" s="27" t="s">
        <v>29</v>
      </c>
      <c r="J1433" s="27" t="s">
        <v>126</v>
      </c>
      <c r="K1433" s="27" t="s">
        <v>43</v>
      </c>
      <c r="L1433" s="31" t="s">
        <v>2385</v>
      </c>
      <c r="M1433" s="32">
        <v>0.5</v>
      </c>
      <c r="N1433" s="27" t="s">
        <v>33</v>
      </c>
      <c r="O1433" s="27" t="s">
        <v>60</v>
      </c>
      <c r="P1433" s="27" t="s">
        <v>67</v>
      </c>
      <c r="Q1433" s="27" t="s">
        <v>2499</v>
      </c>
      <c r="R1433" s="33">
        <v>98632</v>
      </c>
      <c r="S1433" s="34">
        <v>42137</v>
      </c>
      <c r="T1433" s="34">
        <v>42139</v>
      </c>
      <c r="U1433" s="29">
        <v>470.33800000000002</v>
      </c>
      <c r="V1433" s="26">
        <v>26</v>
      </c>
      <c r="W1433" s="29">
        <v>700.41</v>
      </c>
      <c r="X1433" s="26">
        <v>88826</v>
      </c>
      <c r="Y1433" s="35">
        <v>2.54</v>
      </c>
      <c r="Z1433" s="1" t="s">
        <v>3013</v>
      </c>
      <c r="AA1433" s="36">
        <v>0</v>
      </c>
      <c r="AB1433" s="54">
        <v>350.20499999999998</v>
      </c>
      <c r="AC1433" s="54">
        <v>13.469423076923077</v>
      </c>
      <c r="AD1433" s="36">
        <v>221.08199999999994</v>
      </c>
    </row>
    <row r="1434" spans="1:30" s="37" customFormat="1" ht="15.75" customHeight="1" x14ac:dyDescent="0.2">
      <c r="A1434" s="26">
        <v>580</v>
      </c>
      <c r="B1434" s="27" t="s">
        <v>2496</v>
      </c>
      <c r="C1434" s="27" t="s">
        <v>116</v>
      </c>
      <c r="D1434" s="28">
        <v>0.01</v>
      </c>
      <c r="E1434" s="29">
        <v>55.99</v>
      </c>
      <c r="F1434" s="29">
        <v>5</v>
      </c>
      <c r="G1434" s="30" t="s">
        <v>39</v>
      </c>
      <c r="H1434" s="27" t="s">
        <v>94</v>
      </c>
      <c r="I1434" s="27" t="s">
        <v>41</v>
      </c>
      <c r="J1434" s="27" t="s">
        <v>135</v>
      </c>
      <c r="K1434" s="27" t="s">
        <v>43</v>
      </c>
      <c r="L1434" s="31" t="s">
        <v>1931</v>
      </c>
      <c r="M1434" s="32">
        <v>0.8</v>
      </c>
      <c r="N1434" s="27" t="s">
        <v>33</v>
      </c>
      <c r="O1434" s="27" t="s">
        <v>111</v>
      </c>
      <c r="P1434" s="27" t="s">
        <v>331</v>
      </c>
      <c r="Q1434" s="27" t="s">
        <v>1204</v>
      </c>
      <c r="R1434" s="33">
        <v>4210</v>
      </c>
      <c r="S1434" s="34">
        <v>42137</v>
      </c>
      <c r="T1434" s="34">
        <v>42138</v>
      </c>
      <c r="U1434" s="29">
        <v>-57.540999999999997</v>
      </c>
      <c r="V1434" s="26">
        <v>12</v>
      </c>
      <c r="W1434" s="29">
        <v>578.24</v>
      </c>
      <c r="X1434" s="26">
        <v>88644</v>
      </c>
      <c r="Y1434" s="35">
        <v>162.9</v>
      </c>
      <c r="Z1434" s="1" t="s">
        <v>3014</v>
      </c>
      <c r="AA1434" s="36">
        <v>6.7188000000000008</v>
      </c>
      <c r="AB1434" s="54">
        <v>115.64799999999998</v>
      </c>
      <c r="AC1434" s="54">
        <v>38.549333333333337</v>
      </c>
      <c r="AD1434" s="36">
        <v>624.06219999999996</v>
      </c>
    </row>
    <row r="1435" spans="1:30" s="37" customFormat="1" ht="15.75" customHeight="1" x14ac:dyDescent="0.2">
      <c r="A1435" s="26">
        <v>578</v>
      </c>
      <c r="B1435" s="27" t="s">
        <v>2492</v>
      </c>
      <c r="C1435" s="27" t="s">
        <v>116</v>
      </c>
      <c r="D1435" s="28">
        <v>0.03</v>
      </c>
      <c r="E1435" s="29">
        <v>162.93</v>
      </c>
      <c r="F1435" s="29">
        <v>19.989999999999998</v>
      </c>
      <c r="G1435" s="30" t="s">
        <v>39</v>
      </c>
      <c r="H1435" s="27" t="s">
        <v>94</v>
      </c>
      <c r="I1435" s="27" t="s">
        <v>49</v>
      </c>
      <c r="J1435" s="27" t="s">
        <v>345</v>
      </c>
      <c r="K1435" s="27" t="s">
        <v>73</v>
      </c>
      <c r="L1435" s="31" t="s">
        <v>2493</v>
      </c>
      <c r="M1435" s="32">
        <v>0.39</v>
      </c>
      <c r="N1435" s="27" t="s">
        <v>33</v>
      </c>
      <c r="O1435" s="27" t="s">
        <v>111</v>
      </c>
      <c r="P1435" s="27" t="s">
        <v>248</v>
      </c>
      <c r="Q1435" s="27" t="s">
        <v>2494</v>
      </c>
      <c r="R1435" s="33">
        <v>6770</v>
      </c>
      <c r="S1435" s="34">
        <v>42137</v>
      </c>
      <c r="T1435" s="34">
        <v>42138</v>
      </c>
      <c r="U1435" s="29">
        <v>293.14</v>
      </c>
      <c r="V1435" s="26">
        <v>3</v>
      </c>
      <c r="W1435" s="29">
        <v>515.88</v>
      </c>
      <c r="X1435" s="26">
        <v>88644</v>
      </c>
      <c r="Y1435" s="35">
        <v>11.57</v>
      </c>
      <c r="Z1435" s="1" t="s">
        <v>3014</v>
      </c>
      <c r="AA1435" s="36">
        <v>14.6637</v>
      </c>
      <c r="AB1435" s="54">
        <v>314.68680000000001</v>
      </c>
      <c r="AC1435" s="54">
        <v>67.064400000000006</v>
      </c>
      <c r="AD1435" s="36">
        <v>188.08629999999999</v>
      </c>
    </row>
    <row r="1436" spans="1:30" s="37" customFormat="1" ht="15.75" customHeight="1" x14ac:dyDescent="0.2">
      <c r="A1436" s="26">
        <v>1085</v>
      </c>
      <c r="B1436" s="27" t="s">
        <v>231</v>
      </c>
      <c r="C1436" s="27" t="s">
        <v>3094</v>
      </c>
      <c r="D1436" s="28">
        <v>0.06</v>
      </c>
      <c r="E1436" s="29">
        <v>30.42</v>
      </c>
      <c r="F1436" s="29">
        <v>8.65</v>
      </c>
      <c r="G1436" s="30" t="s">
        <v>39</v>
      </c>
      <c r="H1436" s="27" t="s">
        <v>94</v>
      </c>
      <c r="I1436" s="27" t="s">
        <v>41</v>
      </c>
      <c r="J1436" s="27" t="s">
        <v>42</v>
      </c>
      <c r="K1436" s="27" t="s">
        <v>73</v>
      </c>
      <c r="L1436" s="31" t="s">
        <v>384</v>
      </c>
      <c r="M1436" s="32">
        <v>0.74</v>
      </c>
      <c r="N1436" s="27" t="s">
        <v>33</v>
      </c>
      <c r="O1436" s="27" t="s">
        <v>111</v>
      </c>
      <c r="P1436" s="27" t="s">
        <v>112</v>
      </c>
      <c r="Q1436" s="27" t="s">
        <v>233</v>
      </c>
      <c r="R1436" s="33">
        <v>11729</v>
      </c>
      <c r="S1436" s="34">
        <v>42137</v>
      </c>
      <c r="T1436" s="34">
        <v>42139</v>
      </c>
      <c r="U1436" s="29">
        <v>-159.25</v>
      </c>
      <c r="V1436" s="26">
        <v>10</v>
      </c>
      <c r="W1436" s="29">
        <v>309.05</v>
      </c>
      <c r="X1436" s="26">
        <v>86124</v>
      </c>
      <c r="Y1436" s="35">
        <v>55.980000000000004</v>
      </c>
      <c r="Z1436" s="1" t="s">
        <v>3014</v>
      </c>
      <c r="AA1436" s="36">
        <v>18.251999999999999</v>
      </c>
      <c r="AB1436" s="54">
        <v>80.353000000000009</v>
      </c>
      <c r="AC1436" s="54">
        <v>22.869700000000002</v>
      </c>
      <c r="AD1436" s="36">
        <v>441.39800000000002</v>
      </c>
    </row>
    <row r="1437" spans="1:30" s="37" customFormat="1" ht="15.75" customHeight="1" x14ac:dyDescent="0.2">
      <c r="A1437" s="26">
        <v>1085</v>
      </c>
      <c r="B1437" s="27" t="s">
        <v>231</v>
      </c>
      <c r="C1437" s="27" t="s">
        <v>3094</v>
      </c>
      <c r="D1437" s="28">
        <v>0.02</v>
      </c>
      <c r="E1437" s="29">
        <v>37.94</v>
      </c>
      <c r="F1437" s="29">
        <v>5.08</v>
      </c>
      <c r="G1437" s="30" t="s">
        <v>39</v>
      </c>
      <c r="H1437" s="27" t="s">
        <v>94</v>
      </c>
      <c r="I1437" s="27" t="s">
        <v>49</v>
      </c>
      <c r="J1437" s="27" t="s">
        <v>88</v>
      </c>
      <c r="K1437" s="27" t="s">
        <v>51</v>
      </c>
      <c r="L1437" s="31" t="s">
        <v>1113</v>
      </c>
      <c r="M1437" s="32">
        <v>0.38</v>
      </c>
      <c r="N1437" s="27" t="s">
        <v>33</v>
      </c>
      <c r="O1437" s="27" t="s">
        <v>111</v>
      </c>
      <c r="P1437" s="27" t="s">
        <v>112</v>
      </c>
      <c r="Q1437" s="27" t="s">
        <v>233</v>
      </c>
      <c r="R1437" s="33">
        <v>11729</v>
      </c>
      <c r="S1437" s="34">
        <v>42137</v>
      </c>
      <c r="T1437" s="34">
        <v>42138</v>
      </c>
      <c r="U1437" s="29">
        <v>206.517</v>
      </c>
      <c r="V1437" s="26">
        <v>8</v>
      </c>
      <c r="W1437" s="29">
        <v>299.3</v>
      </c>
      <c r="X1437" s="26">
        <v>86124</v>
      </c>
      <c r="Y1437" s="35">
        <v>13.84</v>
      </c>
      <c r="Z1437" s="1" t="s">
        <v>3014</v>
      </c>
      <c r="AA1437" s="36">
        <v>6.0703999999999994</v>
      </c>
      <c r="AB1437" s="54">
        <v>185.566</v>
      </c>
      <c r="AC1437" s="54">
        <v>14.216750000000001</v>
      </c>
      <c r="AD1437" s="36">
        <v>81.632599999999996</v>
      </c>
    </row>
    <row r="1438" spans="1:30" s="37" customFormat="1" ht="15.75" customHeight="1" x14ac:dyDescent="0.2">
      <c r="A1438" s="26">
        <v>585</v>
      </c>
      <c r="B1438" s="27" t="s">
        <v>2497</v>
      </c>
      <c r="C1438" s="27" t="s">
        <v>116</v>
      </c>
      <c r="D1438" s="28">
        <v>0.06</v>
      </c>
      <c r="E1438" s="29">
        <v>13.9</v>
      </c>
      <c r="F1438" s="29">
        <v>7.59</v>
      </c>
      <c r="G1438" s="30" t="s">
        <v>39</v>
      </c>
      <c r="H1438" s="27" t="s">
        <v>94</v>
      </c>
      <c r="I1438" s="27" t="s">
        <v>49</v>
      </c>
      <c r="J1438" s="27" t="s">
        <v>568</v>
      </c>
      <c r="K1438" s="27" t="s">
        <v>43</v>
      </c>
      <c r="L1438" s="31" t="s">
        <v>2464</v>
      </c>
      <c r="M1438" s="32">
        <v>0.56000000000000005</v>
      </c>
      <c r="N1438" s="27" t="s">
        <v>33</v>
      </c>
      <c r="O1438" s="27" t="s">
        <v>111</v>
      </c>
      <c r="P1438" s="27" t="s">
        <v>1356</v>
      </c>
      <c r="Q1438" s="27" t="s">
        <v>453</v>
      </c>
      <c r="R1438" s="33">
        <v>3301</v>
      </c>
      <c r="S1438" s="34">
        <v>42137</v>
      </c>
      <c r="T1438" s="34">
        <v>42138</v>
      </c>
      <c r="U1438" s="29">
        <v>-67.59</v>
      </c>
      <c r="V1438" s="26">
        <v>12</v>
      </c>
      <c r="W1438" s="29">
        <v>170.45</v>
      </c>
      <c r="X1438" s="26">
        <v>88644</v>
      </c>
      <c r="Y1438" s="35">
        <v>25.38</v>
      </c>
      <c r="Z1438" s="1" t="s">
        <v>3014</v>
      </c>
      <c r="AA1438" s="36">
        <v>10.007999999999999</v>
      </c>
      <c r="AB1438" s="54">
        <v>74.99799999999999</v>
      </c>
      <c r="AC1438" s="54">
        <v>7.9543333333333335</v>
      </c>
      <c r="AD1438" s="36">
        <v>220.44200000000001</v>
      </c>
    </row>
    <row r="1439" spans="1:30" s="37" customFormat="1" ht="15.75" customHeight="1" x14ac:dyDescent="0.2">
      <c r="A1439" s="26">
        <v>1389</v>
      </c>
      <c r="B1439" s="27" t="s">
        <v>769</v>
      </c>
      <c r="C1439" s="27" t="s">
        <v>38</v>
      </c>
      <c r="D1439" s="28">
        <v>0.08</v>
      </c>
      <c r="E1439" s="29">
        <v>2.62</v>
      </c>
      <c r="F1439" s="29">
        <v>0.8</v>
      </c>
      <c r="G1439" s="30" t="s">
        <v>87</v>
      </c>
      <c r="H1439" s="27" t="s">
        <v>3095</v>
      </c>
      <c r="I1439" s="27" t="s">
        <v>49</v>
      </c>
      <c r="J1439" s="27" t="s">
        <v>176</v>
      </c>
      <c r="K1439" s="27" t="s">
        <v>51</v>
      </c>
      <c r="L1439" s="31" t="s">
        <v>2124</v>
      </c>
      <c r="M1439" s="32">
        <v>0.39</v>
      </c>
      <c r="N1439" s="27" t="s">
        <v>33</v>
      </c>
      <c r="O1439" s="27" t="s">
        <v>60</v>
      </c>
      <c r="P1439" s="27" t="s">
        <v>90</v>
      </c>
      <c r="Q1439" s="27" t="s">
        <v>771</v>
      </c>
      <c r="R1439" s="33">
        <v>94025</v>
      </c>
      <c r="S1439" s="34">
        <v>42137</v>
      </c>
      <c r="T1439" s="34">
        <v>42139</v>
      </c>
      <c r="U1439" s="29">
        <v>21.769500000000001</v>
      </c>
      <c r="V1439" s="26">
        <v>12</v>
      </c>
      <c r="W1439" s="29">
        <v>31.55</v>
      </c>
      <c r="X1439" s="26">
        <v>88728</v>
      </c>
      <c r="Y1439" s="35">
        <v>30.360000000000003</v>
      </c>
      <c r="Z1439" s="1" t="s">
        <v>3013</v>
      </c>
      <c r="AA1439" s="36">
        <v>2.5152000000000001</v>
      </c>
      <c r="AB1439" s="54">
        <v>19.2455</v>
      </c>
      <c r="AC1439" s="54">
        <v>1.0253750000000001</v>
      </c>
      <c r="AD1439" s="36">
        <v>6.4652999999999992</v>
      </c>
    </row>
    <row r="1440" spans="1:30" s="37" customFormat="1" ht="15.75" customHeight="1" x14ac:dyDescent="0.2">
      <c r="A1440" s="26">
        <v>579</v>
      </c>
      <c r="B1440" s="27" t="s">
        <v>2495</v>
      </c>
      <c r="C1440" s="27" t="s">
        <v>116</v>
      </c>
      <c r="D1440" s="28">
        <v>0.01</v>
      </c>
      <c r="E1440" s="29">
        <v>11.58</v>
      </c>
      <c r="F1440" s="29">
        <v>5.72</v>
      </c>
      <c r="G1440" s="30" t="s">
        <v>39</v>
      </c>
      <c r="H1440" s="27" t="s">
        <v>94</v>
      </c>
      <c r="I1440" s="27" t="s">
        <v>49</v>
      </c>
      <c r="J1440" s="27" t="s">
        <v>345</v>
      </c>
      <c r="K1440" s="27" t="s">
        <v>73</v>
      </c>
      <c r="L1440" s="31" t="s">
        <v>624</v>
      </c>
      <c r="M1440" s="32">
        <v>0.35</v>
      </c>
      <c r="N1440" s="27" t="s">
        <v>33</v>
      </c>
      <c r="O1440" s="27" t="s">
        <v>111</v>
      </c>
      <c r="P1440" s="27" t="s">
        <v>248</v>
      </c>
      <c r="Q1440" s="27" t="s">
        <v>1748</v>
      </c>
      <c r="R1440" s="33">
        <v>6478</v>
      </c>
      <c r="S1440" s="34">
        <v>42137</v>
      </c>
      <c r="T1440" s="34">
        <v>42139</v>
      </c>
      <c r="U1440" s="29">
        <v>-6.61</v>
      </c>
      <c r="V1440" s="26">
        <v>2</v>
      </c>
      <c r="W1440" s="29">
        <v>25.06</v>
      </c>
      <c r="X1440" s="26">
        <v>88644</v>
      </c>
      <c r="Y1440" s="35">
        <v>37.919999999999995</v>
      </c>
      <c r="Z1440" s="1" t="s">
        <v>3014</v>
      </c>
      <c r="AA1440" s="36">
        <v>0.2316</v>
      </c>
      <c r="AB1440" s="54">
        <v>16.289000000000001</v>
      </c>
      <c r="AC1440" s="54">
        <v>4.3854999999999995</v>
      </c>
      <c r="AD1440" s="36">
        <v>25.718399999999999</v>
      </c>
    </row>
    <row r="1441" spans="1:30" s="37" customFormat="1" ht="15.75" customHeight="1" x14ac:dyDescent="0.2">
      <c r="A1441" s="26">
        <v>497</v>
      </c>
      <c r="B1441" s="27" t="s">
        <v>2500</v>
      </c>
      <c r="C1441" s="27" t="s">
        <v>26</v>
      </c>
      <c r="D1441" s="28">
        <v>7.0000000000000007E-2</v>
      </c>
      <c r="E1441" s="29">
        <v>152.47999999999999</v>
      </c>
      <c r="F1441" s="29">
        <v>6.5</v>
      </c>
      <c r="G1441" s="30" t="s">
        <v>39</v>
      </c>
      <c r="H1441" s="27" t="s">
        <v>3095</v>
      </c>
      <c r="I1441" s="27" t="s">
        <v>41</v>
      </c>
      <c r="J1441" s="27" t="s">
        <v>42</v>
      </c>
      <c r="K1441" s="27" t="s">
        <v>73</v>
      </c>
      <c r="L1441" s="31" t="s">
        <v>1793</v>
      </c>
      <c r="M1441" s="32">
        <v>0.74</v>
      </c>
      <c r="N1441" s="27" t="s">
        <v>33</v>
      </c>
      <c r="O1441" s="27" t="s">
        <v>34</v>
      </c>
      <c r="P1441" s="27" t="s">
        <v>400</v>
      </c>
      <c r="Q1441" s="27" t="s">
        <v>552</v>
      </c>
      <c r="R1441" s="33">
        <v>37130</v>
      </c>
      <c r="S1441" s="34">
        <v>42138</v>
      </c>
      <c r="T1441" s="34">
        <v>42140</v>
      </c>
      <c r="U1441" s="29">
        <v>171.83879999999999</v>
      </c>
      <c r="V1441" s="26">
        <v>35</v>
      </c>
      <c r="W1441" s="29">
        <v>5062.49</v>
      </c>
      <c r="X1441" s="26">
        <v>90706</v>
      </c>
      <c r="Y1441" s="35">
        <v>95.97999999999999</v>
      </c>
      <c r="Z1441" s="1" t="s">
        <v>3011</v>
      </c>
      <c r="AA1441" s="36">
        <v>373.57600000000002</v>
      </c>
      <c r="AB1441" s="54">
        <v>1316.2474</v>
      </c>
      <c r="AC1441" s="54">
        <v>107.03550285714284</v>
      </c>
      <c r="AD1441" s="36">
        <v>4510.5751999999993</v>
      </c>
    </row>
    <row r="1442" spans="1:30" s="37" customFormat="1" ht="15.75" customHeight="1" x14ac:dyDescent="0.2">
      <c r="A1442" s="26">
        <v>156</v>
      </c>
      <c r="B1442" s="27" t="s">
        <v>772</v>
      </c>
      <c r="C1442" s="27" t="s">
        <v>26</v>
      </c>
      <c r="D1442" s="28">
        <v>0.01</v>
      </c>
      <c r="E1442" s="29">
        <v>95.99</v>
      </c>
      <c r="F1442" s="29">
        <v>4.9000000000000004</v>
      </c>
      <c r="G1442" s="30" t="s">
        <v>39</v>
      </c>
      <c r="H1442" s="27" t="s">
        <v>94</v>
      </c>
      <c r="I1442" s="27" t="s">
        <v>41</v>
      </c>
      <c r="J1442" s="27" t="s">
        <v>135</v>
      </c>
      <c r="K1442" s="27" t="s">
        <v>73</v>
      </c>
      <c r="L1442" s="31" t="s">
        <v>768</v>
      </c>
      <c r="M1442" s="32">
        <v>0.56000000000000005</v>
      </c>
      <c r="N1442" s="27" t="s">
        <v>33</v>
      </c>
      <c r="O1442" s="27" t="s">
        <v>60</v>
      </c>
      <c r="P1442" s="27" t="s">
        <v>61</v>
      </c>
      <c r="Q1442" s="27" t="s">
        <v>62</v>
      </c>
      <c r="R1442" s="33">
        <v>80525</v>
      </c>
      <c r="S1442" s="34">
        <v>42138</v>
      </c>
      <c r="T1442" s="34">
        <v>42139</v>
      </c>
      <c r="U1442" s="29">
        <v>713.88</v>
      </c>
      <c r="V1442" s="26">
        <v>13</v>
      </c>
      <c r="W1442" s="29">
        <v>1050.08</v>
      </c>
      <c r="X1442" s="26">
        <v>87671</v>
      </c>
      <c r="Y1442" s="35">
        <v>152.41</v>
      </c>
      <c r="Z1442" s="1" t="s">
        <v>3013</v>
      </c>
      <c r="AA1442" s="36">
        <v>12.4787</v>
      </c>
      <c r="AB1442" s="54">
        <v>462.03519999999992</v>
      </c>
      <c r="AC1442" s="54">
        <v>45.234215384615389</v>
      </c>
      <c r="AD1442" s="36">
        <v>318.82129999999995</v>
      </c>
    </row>
    <row r="1443" spans="1:30" s="37" customFormat="1" ht="15.75" customHeight="1" x14ac:dyDescent="0.2">
      <c r="A1443" s="26">
        <v>1069</v>
      </c>
      <c r="B1443" s="27" t="s">
        <v>2511</v>
      </c>
      <c r="C1443" s="27" t="s">
        <v>116</v>
      </c>
      <c r="D1443" s="28">
        <v>0.02</v>
      </c>
      <c r="E1443" s="29">
        <v>15.94</v>
      </c>
      <c r="F1443" s="29">
        <v>5.45</v>
      </c>
      <c r="G1443" s="30" t="s">
        <v>39</v>
      </c>
      <c r="H1443" s="27" t="s">
        <v>71</v>
      </c>
      <c r="I1443" s="27" t="s">
        <v>49</v>
      </c>
      <c r="J1443" s="27" t="s">
        <v>50</v>
      </c>
      <c r="K1443" s="27" t="s">
        <v>43</v>
      </c>
      <c r="L1443" s="31" t="s">
        <v>2512</v>
      </c>
      <c r="M1443" s="32">
        <v>0.55000000000000004</v>
      </c>
      <c r="N1443" s="27" t="s">
        <v>33</v>
      </c>
      <c r="O1443" s="27" t="s">
        <v>53</v>
      </c>
      <c r="P1443" s="27" t="s">
        <v>103</v>
      </c>
      <c r="Q1443" s="27" t="s">
        <v>2513</v>
      </c>
      <c r="R1443" s="33">
        <v>62901</v>
      </c>
      <c r="S1443" s="34">
        <v>42138</v>
      </c>
      <c r="T1443" s="34">
        <v>42139</v>
      </c>
      <c r="U1443" s="29">
        <v>139.61199999999999</v>
      </c>
      <c r="V1443" s="26">
        <v>41</v>
      </c>
      <c r="W1443" s="29">
        <v>664.34</v>
      </c>
      <c r="X1443" s="26">
        <v>87110</v>
      </c>
      <c r="Y1443" s="35">
        <v>5.28</v>
      </c>
      <c r="Z1443" s="1" t="s">
        <v>3012</v>
      </c>
      <c r="AA1443" s="36">
        <v>13.070799999999998</v>
      </c>
      <c r="AB1443" s="54">
        <v>298.95299999999997</v>
      </c>
      <c r="AC1443" s="54">
        <v>8.9118780487804887</v>
      </c>
      <c r="AD1443" s="36">
        <v>506.20720000000006</v>
      </c>
    </row>
    <row r="1444" spans="1:30" s="37" customFormat="1" ht="15.75" customHeight="1" x14ac:dyDescent="0.2">
      <c r="A1444" s="26">
        <v>540</v>
      </c>
      <c r="B1444" s="27" t="s">
        <v>2508</v>
      </c>
      <c r="C1444" s="27" t="s">
        <v>116</v>
      </c>
      <c r="D1444" s="28">
        <v>0.08</v>
      </c>
      <c r="E1444" s="29">
        <v>20.99</v>
      </c>
      <c r="F1444" s="29">
        <v>1.25</v>
      </c>
      <c r="G1444" s="30" t="s">
        <v>39</v>
      </c>
      <c r="H1444" s="27" t="s">
        <v>3095</v>
      </c>
      <c r="I1444" s="27" t="s">
        <v>41</v>
      </c>
      <c r="J1444" s="27" t="s">
        <v>135</v>
      </c>
      <c r="K1444" s="27" t="s">
        <v>43</v>
      </c>
      <c r="L1444" s="31" t="s">
        <v>2509</v>
      </c>
      <c r="M1444" s="32">
        <v>0.83</v>
      </c>
      <c r="N1444" s="27" t="s">
        <v>33</v>
      </c>
      <c r="O1444" s="27" t="s">
        <v>53</v>
      </c>
      <c r="P1444" s="27" t="s">
        <v>103</v>
      </c>
      <c r="Q1444" s="27" t="s">
        <v>2510</v>
      </c>
      <c r="R1444" s="33">
        <v>60061</v>
      </c>
      <c r="S1444" s="34">
        <v>42138</v>
      </c>
      <c r="T1444" s="34">
        <v>42140</v>
      </c>
      <c r="U1444" s="29">
        <v>15.3714</v>
      </c>
      <c r="V1444" s="26">
        <v>28</v>
      </c>
      <c r="W1444" s="29">
        <v>469.69</v>
      </c>
      <c r="X1444" s="26">
        <v>91174</v>
      </c>
      <c r="Y1444" s="35">
        <v>4.8099999999999996</v>
      </c>
      <c r="Z1444" s="1" t="s">
        <v>3012</v>
      </c>
      <c r="AA1444" s="36">
        <v>47.017599999999995</v>
      </c>
      <c r="AB1444" s="54">
        <v>79.847300000000018</v>
      </c>
      <c r="AC1444" s="54">
        <v>13.922953571428572</v>
      </c>
      <c r="AD1444" s="36">
        <v>406.05099999999999</v>
      </c>
    </row>
    <row r="1445" spans="1:30" s="37" customFormat="1" ht="15.75" customHeight="1" x14ac:dyDescent="0.2">
      <c r="A1445" s="26">
        <v>539</v>
      </c>
      <c r="B1445" s="27" t="s">
        <v>2505</v>
      </c>
      <c r="C1445" s="27" t="s">
        <v>116</v>
      </c>
      <c r="D1445" s="28">
        <v>0.05</v>
      </c>
      <c r="E1445" s="29">
        <v>59.78</v>
      </c>
      <c r="F1445" s="29">
        <v>10.29</v>
      </c>
      <c r="G1445" s="30" t="s">
        <v>39</v>
      </c>
      <c r="H1445" s="27" t="s">
        <v>3095</v>
      </c>
      <c r="I1445" s="27" t="s">
        <v>49</v>
      </c>
      <c r="J1445" s="27" t="s">
        <v>72</v>
      </c>
      <c r="K1445" s="27" t="s">
        <v>73</v>
      </c>
      <c r="L1445" s="31" t="s">
        <v>2506</v>
      </c>
      <c r="M1445" s="32">
        <v>0.39</v>
      </c>
      <c r="N1445" s="27" t="s">
        <v>33</v>
      </c>
      <c r="O1445" s="27" t="s">
        <v>53</v>
      </c>
      <c r="P1445" s="27" t="s">
        <v>103</v>
      </c>
      <c r="Q1445" s="27" t="s">
        <v>2507</v>
      </c>
      <c r="R1445" s="33">
        <v>61801</v>
      </c>
      <c r="S1445" s="34">
        <v>42138</v>
      </c>
      <c r="T1445" s="34">
        <v>42139</v>
      </c>
      <c r="U1445" s="29">
        <v>159.52969999999999</v>
      </c>
      <c r="V1445" s="26">
        <v>7</v>
      </c>
      <c r="W1445" s="29">
        <v>414.49</v>
      </c>
      <c r="X1445" s="26">
        <v>91174</v>
      </c>
      <c r="Y1445" s="35">
        <v>6.6099999999999994</v>
      </c>
      <c r="Z1445" s="1" t="s">
        <v>3012</v>
      </c>
      <c r="AA1445" s="36">
        <v>20.923000000000002</v>
      </c>
      <c r="AB1445" s="54">
        <v>252.8389</v>
      </c>
      <c r="AC1445" s="54">
        <v>23.093014285714286</v>
      </c>
      <c r="AD1445" s="36">
        <v>223.74730000000002</v>
      </c>
    </row>
    <row r="1446" spans="1:30" s="37" customFormat="1" ht="15.75" customHeight="1" x14ac:dyDescent="0.2">
      <c r="A1446" s="26">
        <v>353</v>
      </c>
      <c r="B1446" s="27" t="s">
        <v>2502</v>
      </c>
      <c r="C1446" s="27" t="s">
        <v>48</v>
      </c>
      <c r="D1446" s="28">
        <v>7.0000000000000007E-2</v>
      </c>
      <c r="E1446" s="29">
        <v>6.68</v>
      </c>
      <c r="F1446" s="29">
        <v>6.92</v>
      </c>
      <c r="G1446" s="30" t="s">
        <v>39</v>
      </c>
      <c r="H1446" s="27" t="s">
        <v>71</v>
      </c>
      <c r="I1446" s="27" t="s">
        <v>49</v>
      </c>
      <c r="J1446" s="27" t="s">
        <v>88</v>
      </c>
      <c r="K1446" s="27" t="s">
        <v>73</v>
      </c>
      <c r="L1446" s="31" t="s">
        <v>2504</v>
      </c>
      <c r="M1446" s="32">
        <v>0.37</v>
      </c>
      <c r="N1446" s="27" t="s">
        <v>33</v>
      </c>
      <c r="O1446" s="27" t="s">
        <v>60</v>
      </c>
      <c r="P1446" s="27" t="s">
        <v>588</v>
      </c>
      <c r="Q1446" s="27" t="s">
        <v>2503</v>
      </c>
      <c r="R1446" s="33">
        <v>85301</v>
      </c>
      <c r="S1446" s="34">
        <v>42138</v>
      </c>
      <c r="T1446" s="34">
        <v>42145</v>
      </c>
      <c r="U1446" s="29">
        <v>-141.12</v>
      </c>
      <c r="V1446" s="26">
        <v>16</v>
      </c>
      <c r="W1446" s="29">
        <v>104.84</v>
      </c>
      <c r="X1446" s="26">
        <v>89647</v>
      </c>
      <c r="Y1446" s="35">
        <v>59.730000000000004</v>
      </c>
      <c r="Z1446" s="1" t="s">
        <v>3013</v>
      </c>
      <c r="AA1446" s="36">
        <v>7.4816000000000003</v>
      </c>
      <c r="AB1446" s="54">
        <v>66.049199999999999</v>
      </c>
      <c r="AC1446" s="54">
        <v>2.4244249999999998</v>
      </c>
      <c r="AD1446" s="36">
        <v>231.55840000000001</v>
      </c>
    </row>
    <row r="1447" spans="1:30" s="37" customFormat="1" ht="15.75" customHeight="1" x14ac:dyDescent="0.2">
      <c r="A1447" s="26">
        <v>910</v>
      </c>
      <c r="B1447" s="27" t="s">
        <v>2501</v>
      </c>
      <c r="C1447" s="27" t="s">
        <v>26</v>
      </c>
      <c r="D1447" s="28">
        <v>0</v>
      </c>
      <c r="E1447" s="29">
        <v>5.28</v>
      </c>
      <c r="F1447" s="29">
        <v>5.61</v>
      </c>
      <c r="G1447" s="30" t="s">
        <v>39</v>
      </c>
      <c r="H1447" s="27" t="s">
        <v>94</v>
      </c>
      <c r="I1447" s="27" t="s">
        <v>49</v>
      </c>
      <c r="J1447" s="27" t="s">
        <v>88</v>
      </c>
      <c r="K1447" s="27" t="s">
        <v>73</v>
      </c>
      <c r="L1447" s="31" t="s">
        <v>2275</v>
      </c>
      <c r="M1447" s="32">
        <v>0.4</v>
      </c>
      <c r="N1447" s="27" t="s">
        <v>33</v>
      </c>
      <c r="O1447" s="27" t="s">
        <v>34</v>
      </c>
      <c r="P1447" s="27" t="s">
        <v>45</v>
      </c>
      <c r="Q1447" s="27" t="s">
        <v>1315</v>
      </c>
      <c r="R1447" s="33">
        <v>71854</v>
      </c>
      <c r="S1447" s="34">
        <v>42138</v>
      </c>
      <c r="T1447" s="34">
        <v>42138</v>
      </c>
      <c r="U1447" s="29">
        <v>-149.21199999999999</v>
      </c>
      <c r="V1447" s="26">
        <v>15</v>
      </c>
      <c r="W1447" s="29">
        <v>85.26</v>
      </c>
      <c r="X1447" s="26">
        <v>90187</v>
      </c>
      <c r="Y1447" s="35">
        <v>20.91</v>
      </c>
      <c r="Z1447" s="1" t="s">
        <v>3011</v>
      </c>
      <c r="AA1447" s="36">
        <v>0</v>
      </c>
      <c r="AB1447" s="54">
        <v>51.155999999999999</v>
      </c>
      <c r="AC1447" s="54">
        <v>2.2736000000000001</v>
      </c>
      <c r="AD1447" s="36">
        <v>228.86199999999997</v>
      </c>
    </row>
    <row r="1448" spans="1:30" s="37" customFormat="1" ht="15.75" customHeight="1" x14ac:dyDescent="0.2">
      <c r="A1448" s="26">
        <v>353</v>
      </c>
      <c r="B1448" s="27" t="s">
        <v>2502</v>
      </c>
      <c r="C1448" s="27" t="s">
        <v>48</v>
      </c>
      <c r="D1448" s="28">
        <v>0.08</v>
      </c>
      <c r="E1448" s="29">
        <v>4.8899999999999997</v>
      </c>
      <c r="F1448" s="29">
        <v>4.93</v>
      </c>
      <c r="G1448" s="30" t="s">
        <v>87</v>
      </c>
      <c r="H1448" s="27" t="s">
        <v>71</v>
      </c>
      <c r="I1448" s="27" t="s">
        <v>41</v>
      </c>
      <c r="J1448" s="27" t="s">
        <v>42</v>
      </c>
      <c r="K1448" s="27" t="s">
        <v>43</v>
      </c>
      <c r="L1448" s="31" t="s">
        <v>1023</v>
      </c>
      <c r="M1448" s="32">
        <v>0.66</v>
      </c>
      <c r="N1448" s="27" t="s">
        <v>33</v>
      </c>
      <c r="O1448" s="27" t="s">
        <v>60</v>
      </c>
      <c r="P1448" s="27" t="s">
        <v>588</v>
      </c>
      <c r="Q1448" s="27" t="s">
        <v>2503</v>
      </c>
      <c r="R1448" s="33">
        <v>85301</v>
      </c>
      <c r="S1448" s="34">
        <v>42138</v>
      </c>
      <c r="T1448" s="34">
        <v>42138</v>
      </c>
      <c r="U1448" s="29">
        <v>-165.45</v>
      </c>
      <c r="V1448" s="26">
        <v>17</v>
      </c>
      <c r="W1448" s="29">
        <v>84.76</v>
      </c>
      <c r="X1448" s="26">
        <v>89647</v>
      </c>
      <c r="Y1448" s="35">
        <v>15.92</v>
      </c>
      <c r="Z1448" s="1" t="s">
        <v>3013</v>
      </c>
      <c r="AA1448" s="36">
        <v>6.6503999999999994</v>
      </c>
      <c r="AB1448" s="54">
        <v>28.8184</v>
      </c>
      <c r="AC1448" s="54">
        <v>3.2906823529411771</v>
      </c>
      <c r="AD1448" s="36">
        <v>238.62959999999998</v>
      </c>
    </row>
    <row r="1449" spans="1:30" s="37" customFormat="1" ht="15.75" customHeight="1" x14ac:dyDescent="0.2">
      <c r="A1449" s="26">
        <v>21</v>
      </c>
      <c r="B1449" s="27" t="s">
        <v>2520</v>
      </c>
      <c r="C1449" s="27" t="s">
        <v>38</v>
      </c>
      <c r="D1449" s="28">
        <v>0.05</v>
      </c>
      <c r="E1449" s="29">
        <v>26.48</v>
      </c>
      <c r="F1449" s="29">
        <v>6.93</v>
      </c>
      <c r="G1449" s="30" t="s">
        <v>39</v>
      </c>
      <c r="H1449" s="27" t="s">
        <v>3095</v>
      </c>
      <c r="I1449" s="27" t="s">
        <v>29</v>
      </c>
      <c r="J1449" s="27" t="s">
        <v>126</v>
      </c>
      <c r="K1449" s="27" t="s">
        <v>73</v>
      </c>
      <c r="L1449" s="31" t="s">
        <v>2518</v>
      </c>
      <c r="M1449" s="32">
        <v>0.49</v>
      </c>
      <c r="N1449" s="27" t="s">
        <v>33</v>
      </c>
      <c r="O1449" s="27" t="s">
        <v>111</v>
      </c>
      <c r="P1449" s="27" t="s">
        <v>112</v>
      </c>
      <c r="Q1449" s="27" t="s">
        <v>113</v>
      </c>
      <c r="R1449" s="33">
        <v>10012</v>
      </c>
      <c r="S1449" s="34">
        <v>42139</v>
      </c>
      <c r="T1449" s="34">
        <v>42140</v>
      </c>
      <c r="U1449" s="29">
        <v>384.38</v>
      </c>
      <c r="V1449" s="26">
        <v>70</v>
      </c>
      <c r="W1449" s="29">
        <v>1876.69</v>
      </c>
      <c r="X1449" s="26">
        <v>41793</v>
      </c>
      <c r="Y1449" s="35">
        <v>39.04</v>
      </c>
      <c r="Z1449" s="1" t="s">
        <v>3014</v>
      </c>
      <c r="AA1449" s="36">
        <v>92.68</v>
      </c>
      <c r="AB1449" s="54">
        <v>957.11189999999999</v>
      </c>
      <c r="AC1449" s="54">
        <v>13.13683</v>
      </c>
      <c r="AD1449" s="36">
        <v>1392.7</v>
      </c>
    </row>
    <row r="1450" spans="1:30" s="37" customFormat="1" ht="15.75" customHeight="1" x14ac:dyDescent="0.2">
      <c r="A1450" s="26">
        <v>3041</v>
      </c>
      <c r="B1450" s="27" t="s">
        <v>2525</v>
      </c>
      <c r="C1450" s="27" t="s">
        <v>3094</v>
      </c>
      <c r="D1450" s="28">
        <v>0.08</v>
      </c>
      <c r="E1450" s="29">
        <v>73.98</v>
      </c>
      <c r="F1450" s="29">
        <v>4</v>
      </c>
      <c r="G1450" s="30" t="s">
        <v>39</v>
      </c>
      <c r="H1450" s="27" t="s">
        <v>94</v>
      </c>
      <c r="I1450" s="27" t="s">
        <v>41</v>
      </c>
      <c r="J1450" s="27" t="s">
        <v>42</v>
      </c>
      <c r="K1450" s="27" t="s">
        <v>73</v>
      </c>
      <c r="L1450" s="31" t="s">
        <v>733</v>
      </c>
      <c r="M1450" s="32">
        <v>0.77</v>
      </c>
      <c r="N1450" s="27" t="s">
        <v>33</v>
      </c>
      <c r="O1450" s="27" t="s">
        <v>53</v>
      </c>
      <c r="P1450" s="27" t="s">
        <v>537</v>
      </c>
      <c r="Q1450" s="27" t="s">
        <v>2065</v>
      </c>
      <c r="R1450" s="33">
        <v>67846</v>
      </c>
      <c r="S1450" s="34">
        <v>42139</v>
      </c>
      <c r="T1450" s="34">
        <v>42142</v>
      </c>
      <c r="U1450" s="29">
        <v>97.16</v>
      </c>
      <c r="V1450" s="26">
        <v>17</v>
      </c>
      <c r="W1450" s="29">
        <v>1181.67</v>
      </c>
      <c r="X1450" s="26">
        <v>86102</v>
      </c>
      <c r="Y1450" s="35">
        <v>37.6</v>
      </c>
      <c r="Z1450" s="1" t="s">
        <v>3012</v>
      </c>
      <c r="AA1450" s="36">
        <v>100.61280000000001</v>
      </c>
      <c r="AB1450" s="54">
        <v>271.78410000000002</v>
      </c>
      <c r="AC1450" s="54">
        <v>53.522700000000007</v>
      </c>
      <c r="AD1450" s="36">
        <v>979.89720000000011</v>
      </c>
    </row>
    <row r="1451" spans="1:30" s="37" customFormat="1" ht="15.75" customHeight="1" x14ac:dyDescent="0.2">
      <c r="A1451" s="26">
        <v>266</v>
      </c>
      <c r="B1451" s="27" t="s">
        <v>2522</v>
      </c>
      <c r="C1451" s="27" t="s">
        <v>116</v>
      </c>
      <c r="D1451" s="28">
        <v>0.01</v>
      </c>
      <c r="E1451" s="29">
        <v>20.34</v>
      </c>
      <c r="F1451" s="29">
        <v>35</v>
      </c>
      <c r="G1451" s="30" t="s">
        <v>39</v>
      </c>
      <c r="H1451" s="27" t="s">
        <v>94</v>
      </c>
      <c r="I1451" s="27" t="s">
        <v>49</v>
      </c>
      <c r="J1451" s="27" t="s">
        <v>78</v>
      </c>
      <c r="K1451" s="27" t="s">
        <v>65</v>
      </c>
      <c r="L1451" s="31" t="s">
        <v>260</v>
      </c>
      <c r="M1451" s="32">
        <v>0.84</v>
      </c>
      <c r="N1451" s="27" t="s">
        <v>33</v>
      </c>
      <c r="O1451" s="27" t="s">
        <v>53</v>
      </c>
      <c r="P1451" s="27" t="s">
        <v>187</v>
      </c>
      <c r="Q1451" s="27" t="s">
        <v>2524</v>
      </c>
      <c r="R1451" s="33">
        <v>78207</v>
      </c>
      <c r="S1451" s="34">
        <v>42139</v>
      </c>
      <c r="T1451" s="34">
        <v>42140</v>
      </c>
      <c r="U1451" s="29">
        <v>229.63800000000001</v>
      </c>
      <c r="V1451" s="26">
        <v>33</v>
      </c>
      <c r="W1451" s="29">
        <v>747.28</v>
      </c>
      <c r="X1451" s="26">
        <v>90594</v>
      </c>
      <c r="Y1451" s="35">
        <v>26.43</v>
      </c>
      <c r="Z1451" s="1" t="s">
        <v>3012</v>
      </c>
      <c r="AA1451" s="36">
        <v>6.7122000000000002</v>
      </c>
      <c r="AB1451" s="54">
        <v>119.56480000000002</v>
      </c>
      <c r="AC1451" s="54">
        <v>19.021672727272726</v>
      </c>
      <c r="AD1451" s="36">
        <v>475.92979999999994</v>
      </c>
    </row>
    <row r="1452" spans="1:30" s="37" customFormat="1" ht="15.75" customHeight="1" x14ac:dyDescent="0.2">
      <c r="A1452" s="26">
        <v>1023</v>
      </c>
      <c r="B1452" s="27" t="s">
        <v>2514</v>
      </c>
      <c r="C1452" s="27" t="s">
        <v>26</v>
      </c>
      <c r="D1452" s="28">
        <v>0.1</v>
      </c>
      <c r="E1452" s="29">
        <v>37.700000000000003</v>
      </c>
      <c r="F1452" s="29">
        <v>2.99</v>
      </c>
      <c r="G1452" s="30" t="s">
        <v>39</v>
      </c>
      <c r="H1452" s="27" t="s">
        <v>3095</v>
      </c>
      <c r="I1452" s="27" t="s">
        <v>49</v>
      </c>
      <c r="J1452" s="27" t="s">
        <v>72</v>
      </c>
      <c r="K1452" s="27" t="s">
        <v>73</v>
      </c>
      <c r="L1452" s="31" t="s">
        <v>2516</v>
      </c>
      <c r="M1452" s="32">
        <v>0.35</v>
      </c>
      <c r="N1452" s="27" t="s">
        <v>33</v>
      </c>
      <c r="O1452" s="27" t="s">
        <v>111</v>
      </c>
      <c r="P1452" s="27" t="s">
        <v>320</v>
      </c>
      <c r="Q1452" s="27" t="s">
        <v>2515</v>
      </c>
      <c r="R1452" s="33">
        <v>15221</v>
      </c>
      <c r="S1452" s="34">
        <v>42139</v>
      </c>
      <c r="T1452" s="34">
        <v>42140</v>
      </c>
      <c r="U1452" s="29">
        <v>455.12400000000002</v>
      </c>
      <c r="V1452" s="26">
        <v>18</v>
      </c>
      <c r="W1452" s="29">
        <v>659.6</v>
      </c>
      <c r="X1452" s="26">
        <v>88633</v>
      </c>
      <c r="Y1452" s="35">
        <v>26.43</v>
      </c>
      <c r="Z1452" s="1" t="s">
        <v>3014</v>
      </c>
      <c r="AA1452" s="36">
        <v>67.860000000000014</v>
      </c>
      <c r="AB1452" s="54">
        <v>428.74</v>
      </c>
      <c r="AC1452" s="54">
        <v>12.825555555555555</v>
      </c>
      <c r="AD1452" s="36">
        <v>133.62599999999998</v>
      </c>
    </row>
    <row r="1453" spans="1:30" s="37" customFormat="1" ht="15.75" customHeight="1" x14ac:dyDescent="0.2">
      <c r="A1453" s="26">
        <v>1023</v>
      </c>
      <c r="B1453" s="27" t="s">
        <v>2514</v>
      </c>
      <c r="C1453" s="27" t="s">
        <v>26</v>
      </c>
      <c r="D1453" s="28">
        <v>0.02</v>
      </c>
      <c r="E1453" s="29">
        <v>39.06</v>
      </c>
      <c r="F1453" s="29">
        <v>10.55</v>
      </c>
      <c r="G1453" s="30" t="s">
        <v>39</v>
      </c>
      <c r="H1453" s="27" t="s">
        <v>3095</v>
      </c>
      <c r="I1453" s="27" t="s">
        <v>49</v>
      </c>
      <c r="J1453" s="27" t="s">
        <v>72</v>
      </c>
      <c r="K1453" s="27" t="s">
        <v>73</v>
      </c>
      <c r="L1453" s="31" t="s">
        <v>255</v>
      </c>
      <c r="M1453" s="32">
        <v>0.37</v>
      </c>
      <c r="N1453" s="27" t="s">
        <v>33</v>
      </c>
      <c r="O1453" s="27" t="s">
        <v>111</v>
      </c>
      <c r="P1453" s="27" t="s">
        <v>320</v>
      </c>
      <c r="Q1453" s="27" t="s">
        <v>2515</v>
      </c>
      <c r="R1453" s="33">
        <v>15221</v>
      </c>
      <c r="S1453" s="34">
        <v>42139</v>
      </c>
      <c r="T1453" s="34">
        <v>42139</v>
      </c>
      <c r="U1453" s="29">
        <v>442.0899</v>
      </c>
      <c r="V1453" s="26">
        <v>16</v>
      </c>
      <c r="W1453" s="29">
        <v>640.71</v>
      </c>
      <c r="X1453" s="26">
        <v>88633</v>
      </c>
      <c r="Y1453" s="35">
        <v>30.97</v>
      </c>
      <c r="Z1453" s="1" t="s">
        <v>3014</v>
      </c>
      <c r="AA1453" s="36">
        <v>12.499200000000002</v>
      </c>
      <c r="AB1453" s="54">
        <v>403.64730000000003</v>
      </c>
      <c r="AC1453" s="54">
        <v>14.81641875</v>
      </c>
      <c r="AD1453" s="36">
        <v>175.57090000000005</v>
      </c>
    </row>
    <row r="1454" spans="1:30" s="37" customFormat="1" ht="15.75" customHeight="1" x14ac:dyDescent="0.2">
      <c r="A1454" s="26">
        <v>1989</v>
      </c>
      <c r="B1454" s="27" t="s">
        <v>693</v>
      </c>
      <c r="C1454" s="27" t="s">
        <v>38</v>
      </c>
      <c r="D1454" s="28">
        <v>0.01</v>
      </c>
      <c r="E1454" s="29">
        <v>40.99</v>
      </c>
      <c r="F1454" s="29">
        <v>19.989999999999998</v>
      </c>
      <c r="G1454" s="30" t="s">
        <v>39</v>
      </c>
      <c r="H1454" s="27" t="s">
        <v>94</v>
      </c>
      <c r="I1454" s="27" t="s">
        <v>49</v>
      </c>
      <c r="J1454" s="27" t="s">
        <v>88</v>
      </c>
      <c r="K1454" s="27" t="s">
        <v>73</v>
      </c>
      <c r="L1454" s="31" t="s">
        <v>1234</v>
      </c>
      <c r="M1454" s="32">
        <v>0.36</v>
      </c>
      <c r="N1454" s="27" t="s">
        <v>33</v>
      </c>
      <c r="O1454" s="27" t="s">
        <v>60</v>
      </c>
      <c r="P1454" s="27" t="s">
        <v>146</v>
      </c>
      <c r="Q1454" s="27" t="s">
        <v>695</v>
      </c>
      <c r="R1454" s="33">
        <v>84117</v>
      </c>
      <c r="S1454" s="34">
        <v>42139</v>
      </c>
      <c r="T1454" s="34">
        <v>42142</v>
      </c>
      <c r="U1454" s="29">
        <v>177.79</v>
      </c>
      <c r="V1454" s="26">
        <v>11</v>
      </c>
      <c r="W1454" s="29">
        <v>480.75</v>
      </c>
      <c r="X1454" s="26">
        <v>90001</v>
      </c>
      <c r="Y1454" s="35">
        <v>40.980000000000004</v>
      </c>
      <c r="Z1454" s="1" t="s">
        <v>3013</v>
      </c>
      <c r="AA1454" s="36">
        <v>4.5089000000000006</v>
      </c>
      <c r="AB1454" s="54">
        <v>307.68</v>
      </c>
      <c r="AC1454" s="54">
        <v>15.733636363636363</v>
      </c>
      <c r="AD1454" s="36">
        <v>278.46109999999999</v>
      </c>
    </row>
    <row r="1455" spans="1:30" s="37" customFormat="1" ht="15.75" customHeight="1" x14ac:dyDescent="0.2">
      <c r="A1455" s="26">
        <v>18</v>
      </c>
      <c r="B1455" s="27" t="s">
        <v>2517</v>
      </c>
      <c r="C1455" s="27" t="s">
        <v>38</v>
      </c>
      <c r="D1455" s="28">
        <v>0.05</v>
      </c>
      <c r="E1455" s="29">
        <v>26.48</v>
      </c>
      <c r="F1455" s="29">
        <v>6.93</v>
      </c>
      <c r="G1455" s="30" t="s">
        <v>39</v>
      </c>
      <c r="H1455" s="27" t="s">
        <v>3095</v>
      </c>
      <c r="I1455" s="27" t="s">
        <v>29</v>
      </c>
      <c r="J1455" s="27" t="s">
        <v>126</v>
      </c>
      <c r="K1455" s="27" t="s">
        <v>73</v>
      </c>
      <c r="L1455" s="31" t="s">
        <v>2518</v>
      </c>
      <c r="M1455" s="32">
        <v>0.49</v>
      </c>
      <c r="N1455" s="27" t="s">
        <v>33</v>
      </c>
      <c r="O1455" s="27" t="s">
        <v>60</v>
      </c>
      <c r="P1455" s="27" t="s">
        <v>277</v>
      </c>
      <c r="Q1455" s="27" t="s">
        <v>2519</v>
      </c>
      <c r="R1455" s="33">
        <v>59601</v>
      </c>
      <c r="S1455" s="34">
        <v>42139</v>
      </c>
      <c r="T1455" s="34">
        <v>42140</v>
      </c>
      <c r="U1455" s="29">
        <v>314.48129999999998</v>
      </c>
      <c r="V1455" s="26">
        <v>17</v>
      </c>
      <c r="W1455" s="29">
        <v>455.77</v>
      </c>
      <c r="X1455" s="26">
        <v>90031</v>
      </c>
      <c r="Y1455" s="35">
        <v>6.4</v>
      </c>
      <c r="Z1455" s="1" t="s">
        <v>3013</v>
      </c>
      <c r="AA1455" s="36">
        <v>22.508000000000003</v>
      </c>
      <c r="AB1455" s="54">
        <v>232.4427</v>
      </c>
      <c r="AC1455" s="54">
        <v>13.136899999999999</v>
      </c>
      <c r="AD1455" s="36">
        <v>111.85070000000002</v>
      </c>
    </row>
    <row r="1456" spans="1:30" s="37" customFormat="1" ht="15.75" customHeight="1" x14ac:dyDescent="0.2">
      <c r="A1456" s="26">
        <v>1989</v>
      </c>
      <c r="B1456" s="27" t="s">
        <v>693</v>
      </c>
      <c r="C1456" s="27" t="s">
        <v>38</v>
      </c>
      <c r="D1456" s="28">
        <v>0.01</v>
      </c>
      <c r="E1456" s="29">
        <v>30.98</v>
      </c>
      <c r="F1456" s="29">
        <v>6.5</v>
      </c>
      <c r="G1456" s="30" t="s">
        <v>39</v>
      </c>
      <c r="H1456" s="27" t="s">
        <v>94</v>
      </c>
      <c r="I1456" s="27" t="s">
        <v>41</v>
      </c>
      <c r="J1456" s="27" t="s">
        <v>42</v>
      </c>
      <c r="K1456" s="27" t="s">
        <v>73</v>
      </c>
      <c r="L1456" s="31" t="s">
        <v>2521</v>
      </c>
      <c r="M1456" s="32">
        <v>0.64</v>
      </c>
      <c r="N1456" s="27" t="s">
        <v>33</v>
      </c>
      <c r="O1456" s="27" t="s">
        <v>60</v>
      </c>
      <c r="P1456" s="27" t="s">
        <v>146</v>
      </c>
      <c r="Q1456" s="27" t="s">
        <v>695</v>
      </c>
      <c r="R1456" s="33">
        <v>84117</v>
      </c>
      <c r="S1456" s="34">
        <v>42139</v>
      </c>
      <c r="T1456" s="34">
        <v>42140</v>
      </c>
      <c r="U1456" s="29">
        <v>46.29</v>
      </c>
      <c r="V1456" s="26">
        <v>11</v>
      </c>
      <c r="W1456" s="29">
        <v>363.37</v>
      </c>
      <c r="X1456" s="26">
        <v>90001</v>
      </c>
      <c r="Y1456" s="35">
        <v>20.329999999999998</v>
      </c>
      <c r="Z1456" s="1" t="s">
        <v>3013</v>
      </c>
      <c r="AA1456" s="36">
        <v>3.4078000000000004</v>
      </c>
      <c r="AB1456" s="54">
        <v>130.81319999999999</v>
      </c>
      <c r="AC1456" s="54">
        <v>21.14152727272727</v>
      </c>
      <c r="AD1456" s="36">
        <v>307.17219999999998</v>
      </c>
    </row>
    <row r="1457" spans="1:30" s="37" customFormat="1" ht="15.75" customHeight="1" x14ac:dyDescent="0.2">
      <c r="A1457" s="26">
        <v>494</v>
      </c>
      <c r="B1457" s="27" t="s">
        <v>1074</v>
      </c>
      <c r="C1457" s="27" t="s">
        <v>116</v>
      </c>
      <c r="D1457" s="28">
        <v>0.06</v>
      </c>
      <c r="E1457" s="29">
        <v>8.32</v>
      </c>
      <c r="F1457" s="29">
        <v>2.38</v>
      </c>
      <c r="G1457" s="30" t="s">
        <v>39</v>
      </c>
      <c r="H1457" s="27" t="s">
        <v>40</v>
      </c>
      <c r="I1457" s="27" t="s">
        <v>41</v>
      </c>
      <c r="J1457" s="27" t="s">
        <v>42</v>
      </c>
      <c r="K1457" s="27" t="s">
        <v>43</v>
      </c>
      <c r="L1457" s="31" t="s">
        <v>1425</v>
      </c>
      <c r="M1457" s="32">
        <v>0.74</v>
      </c>
      <c r="N1457" s="27" t="s">
        <v>33</v>
      </c>
      <c r="O1457" s="27" t="s">
        <v>60</v>
      </c>
      <c r="P1457" s="27" t="s">
        <v>67</v>
      </c>
      <c r="Q1457" s="27" t="s">
        <v>142</v>
      </c>
      <c r="R1457" s="33">
        <v>98115</v>
      </c>
      <c r="S1457" s="34">
        <v>42139</v>
      </c>
      <c r="T1457" s="34">
        <v>42141</v>
      </c>
      <c r="U1457" s="29">
        <v>-36.630000000000003</v>
      </c>
      <c r="V1457" s="26">
        <v>12</v>
      </c>
      <c r="W1457" s="29">
        <v>101.26</v>
      </c>
      <c r="X1457" s="26">
        <v>88905</v>
      </c>
      <c r="Y1457" s="35">
        <v>2.86</v>
      </c>
      <c r="Z1457" s="1" t="s">
        <v>3013</v>
      </c>
      <c r="AA1457" s="36">
        <v>5.9903999999999993</v>
      </c>
      <c r="AB1457" s="54">
        <v>26.327600000000004</v>
      </c>
      <c r="AC1457" s="54">
        <v>6.2443666666666671</v>
      </c>
      <c r="AD1457" s="36">
        <v>129.5196</v>
      </c>
    </row>
    <row r="1458" spans="1:30" s="37" customFormat="1" ht="15.75" customHeight="1" x14ac:dyDescent="0.2">
      <c r="A1458" s="26">
        <v>266</v>
      </c>
      <c r="B1458" s="27" t="s">
        <v>2522</v>
      </c>
      <c r="C1458" s="27" t="s">
        <v>116</v>
      </c>
      <c r="D1458" s="28">
        <v>0.08</v>
      </c>
      <c r="E1458" s="29">
        <v>6.48</v>
      </c>
      <c r="F1458" s="29">
        <v>7.03</v>
      </c>
      <c r="G1458" s="30" t="s">
        <v>39</v>
      </c>
      <c r="H1458" s="27" t="s">
        <v>94</v>
      </c>
      <c r="I1458" s="27" t="s">
        <v>49</v>
      </c>
      <c r="J1458" s="27" t="s">
        <v>88</v>
      </c>
      <c r="K1458" s="27" t="s">
        <v>73</v>
      </c>
      <c r="L1458" s="31" t="s">
        <v>2523</v>
      </c>
      <c r="M1458" s="32">
        <v>0.37</v>
      </c>
      <c r="N1458" s="27" t="s">
        <v>33</v>
      </c>
      <c r="O1458" s="27" t="s">
        <v>53</v>
      </c>
      <c r="P1458" s="27" t="s">
        <v>187</v>
      </c>
      <c r="Q1458" s="27" t="s">
        <v>2524</v>
      </c>
      <c r="R1458" s="33">
        <v>78207</v>
      </c>
      <c r="S1458" s="34">
        <v>42139</v>
      </c>
      <c r="T1458" s="34">
        <v>42140</v>
      </c>
      <c r="U1458" s="29">
        <v>8.9320000000000004</v>
      </c>
      <c r="V1458" s="26">
        <v>10</v>
      </c>
      <c r="W1458" s="29">
        <v>67.86</v>
      </c>
      <c r="X1458" s="26">
        <v>90594</v>
      </c>
      <c r="Y1458" s="35">
        <v>8.26</v>
      </c>
      <c r="Z1458" s="1" t="s">
        <v>3012</v>
      </c>
      <c r="AA1458" s="36">
        <v>5.1840000000000011</v>
      </c>
      <c r="AB1458" s="54">
        <v>42.751800000000003</v>
      </c>
      <c r="AC1458" s="54">
        <v>2.5108199999999998</v>
      </c>
      <c r="AD1458" s="36">
        <v>46.713999999999999</v>
      </c>
    </row>
    <row r="1459" spans="1:30" s="37" customFormat="1" ht="15.75" customHeight="1" x14ac:dyDescent="0.2">
      <c r="A1459" s="26">
        <v>491</v>
      </c>
      <c r="B1459" s="27" t="s">
        <v>1073</v>
      </c>
      <c r="C1459" s="27" t="s">
        <v>116</v>
      </c>
      <c r="D1459" s="28">
        <v>0.08</v>
      </c>
      <c r="E1459" s="29">
        <v>2.94</v>
      </c>
      <c r="F1459" s="29">
        <v>0.96</v>
      </c>
      <c r="G1459" s="30" t="s">
        <v>39</v>
      </c>
      <c r="H1459" s="27" t="s">
        <v>40</v>
      </c>
      <c r="I1459" s="27" t="s">
        <v>49</v>
      </c>
      <c r="J1459" s="27" t="s">
        <v>50</v>
      </c>
      <c r="K1459" s="27" t="s">
        <v>51</v>
      </c>
      <c r="L1459" s="31" t="s">
        <v>829</v>
      </c>
      <c r="M1459" s="32">
        <v>0.57999999999999996</v>
      </c>
      <c r="N1459" s="27" t="s">
        <v>33</v>
      </c>
      <c r="O1459" s="27" t="s">
        <v>111</v>
      </c>
      <c r="P1459" s="27" t="s">
        <v>112</v>
      </c>
      <c r="Q1459" s="27" t="s">
        <v>113</v>
      </c>
      <c r="R1459" s="33">
        <v>10154</v>
      </c>
      <c r="S1459" s="34">
        <v>42139</v>
      </c>
      <c r="T1459" s="34">
        <v>42141</v>
      </c>
      <c r="U1459" s="29">
        <v>-2.12</v>
      </c>
      <c r="V1459" s="26">
        <v>23</v>
      </c>
      <c r="W1459" s="29">
        <v>66.7</v>
      </c>
      <c r="X1459" s="26">
        <v>8353</v>
      </c>
      <c r="Y1459" s="35">
        <v>2.86</v>
      </c>
      <c r="Z1459" s="1" t="s">
        <v>3014</v>
      </c>
      <c r="AA1459" s="36">
        <v>5.4096000000000002</v>
      </c>
      <c r="AB1459" s="54">
        <v>28.014000000000003</v>
      </c>
      <c r="AC1459" s="54">
        <v>1.6819999999999999</v>
      </c>
      <c r="AD1459" s="36">
        <v>62.450400000000002</v>
      </c>
    </row>
    <row r="1460" spans="1:30" s="37" customFormat="1" ht="15.75" customHeight="1" x14ac:dyDescent="0.2">
      <c r="A1460" s="26">
        <v>3041</v>
      </c>
      <c r="B1460" s="27" t="s">
        <v>2525</v>
      </c>
      <c r="C1460" s="27" t="s">
        <v>3094</v>
      </c>
      <c r="D1460" s="28">
        <v>0.02</v>
      </c>
      <c r="E1460" s="29">
        <v>3.68</v>
      </c>
      <c r="F1460" s="29">
        <v>1.32</v>
      </c>
      <c r="G1460" s="30" t="s">
        <v>39</v>
      </c>
      <c r="H1460" s="27" t="s">
        <v>94</v>
      </c>
      <c r="I1460" s="27" t="s">
        <v>49</v>
      </c>
      <c r="J1460" s="27" t="s">
        <v>568</v>
      </c>
      <c r="K1460" s="27" t="s">
        <v>51</v>
      </c>
      <c r="L1460" s="31" t="s">
        <v>2526</v>
      </c>
      <c r="M1460" s="32">
        <v>0.83</v>
      </c>
      <c r="N1460" s="27" t="s">
        <v>33</v>
      </c>
      <c r="O1460" s="27" t="s">
        <v>53</v>
      </c>
      <c r="P1460" s="27" t="s">
        <v>537</v>
      </c>
      <c r="Q1460" s="27" t="s">
        <v>2065</v>
      </c>
      <c r="R1460" s="33">
        <v>67846</v>
      </c>
      <c r="S1460" s="34">
        <v>42139</v>
      </c>
      <c r="T1460" s="34">
        <v>42141</v>
      </c>
      <c r="U1460" s="29">
        <v>-20.65</v>
      </c>
      <c r="V1460" s="26">
        <v>8</v>
      </c>
      <c r="W1460" s="29">
        <v>29.93</v>
      </c>
      <c r="X1460" s="26">
        <v>86102</v>
      </c>
      <c r="Y1460" s="35">
        <v>73.900000000000006</v>
      </c>
      <c r="Z1460" s="1" t="s">
        <v>3012</v>
      </c>
      <c r="AA1460" s="36">
        <v>0.58879999999999999</v>
      </c>
      <c r="AB1460" s="54">
        <v>5.0881000000000007</v>
      </c>
      <c r="AC1460" s="54">
        <v>3.1052374999999999</v>
      </c>
      <c r="AD1460" s="36">
        <v>48.671199999999999</v>
      </c>
    </row>
    <row r="1461" spans="1:30" s="37" customFormat="1" ht="15.75" customHeight="1" x14ac:dyDescent="0.2">
      <c r="A1461" s="26">
        <v>494</v>
      </c>
      <c r="B1461" s="27" t="s">
        <v>1074</v>
      </c>
      <c r="C1461" s="27" t="s">
        <v>116</v>
      </c>
      <c r="D1461" s="28">
        <v>0.08</v>
      </c>
      <c r="E1461" s="29">
        <v>2.94</v>
      </c>
      <c r="F1461" s="29">
        <v>0.96</v>
      </c>
      <c r="G1461" s="30" t="s">
        <v>39</v>
      </c>
      <c r="H1461" s="27" t="s">
        <v>40</v>
      </c>
      <c r="I1461" s="27" t="s">
        <v>49</v>
      </c>
      <c r="J1461" s="27" t="s">
        <v>50</v>
      </c>
      <c r="K1461" s="27" t="s">
        <v>51</v>
      </c>
      <c r="L1461" s="31" t="s">
        <v>829</v>
      </c>
      <c r="M1461" s="32">
        <v>0.57999999999999996</v>
      </c>
      <c r="N1461" s="27" t="s">
        <v>33</v>
      </c>
      <c r="O1461" s="27" t="s">
        <v>60</v>
      </c>
      <c r="P1461" s="27" t="s">
        <v>67</v>
      </c>
      <c r="Q1461" s="27" t="s">
        <v>142</v>
      </c>
      <c r="R1461" s="33">
        <v>98115</v>
      </c>
      <c r="S1461" s="34">
        <v>42139</v>
      </c>
      <c r="T1461" s="34">
        <v>42141</v>
      </c>
      <c r="U1461" s="29">
        <v>-2.12</v>
      </c>
      <c r="V1461" s="26">
        <v>6</v>
      </c>
      <c r="W1461" s="29">
        <v>17.399999999999999</v>
      </c>
      <c r="X1461" s="26">
        <v>88905</v>
      </c>
      <c r="Y1461" s="35">
        <v>3.66</v>
      </c>
      <c r="Z1461" s="1" t="s">
        <v>3013</v>
      </c>
      <c r="AA1461" s="36">
        <v>1.4112</v>
      </c>
      <c r="AB1461" s="54">
        <v>7.3079999999999998</v>
      </c>
      <c r="AC1461" s="54">
        <v>1.6819999999999999</v>
      </c>
      <c r="AD1461" s="36">
        <v>17.148799999999998</v>
      </c>
    </row>
    <row r="1462" spans="1:30" s="37" customFormat="1" ht="15.75" customHeight="1" x14ac:dyDescent="0.2">
      <c r="A1462" s="26">
        <v>1390</v>
      </c>
      <c r="B1462" s="27" t="s">
        <v>2531</v>
      </c>
      <c r="C1462" s="27" t="s">
        <v>26</v>
      </c>
      <c r="D1462" s="28">
        <v>0.03</v>
      </c>
      <c r="E1462" s="29">
        <v>110.99</v>
      </c>
      <c r="F1462" s="29">
        <v>2.5</v>
      </c>
      <c r="G1462" s="30" t="s">
        <v>39</v>
      </c>
      <c r="H1462" s="27" t="s">
        <v>94</v>
      </c>
      <c r="I1462" s="27" t="s">
        <v>41</v>
      </c>
      <c r="J1462" s="27" t="s">
        <v>135</v>
      </c>
      <c r="K1462" s="27" t="s">
        <v>73</v>
      </c>
      <c r="L1462" s="31" t="s">
        <v>136</v>
      </c>
      <c r="M1462" s="32">
        <v>0.56999999999999995</v>
      </c>
      <c r="N1462" s="27" t="s">
        <v>33</v>
      </c>
      <c r="O1462" s="27" t="s">
        <v>60</v>
      </c>
      <c r="P1462" s="27" t="s">
        <v>90</v>
      </c>
      <c r="Q1462" s="27" t="s">
        <v>2533</v>
      </c>
      <c r="R1462" s="33">
        <v>95207</v>
      </c>
      <c r="S1462" s="34">
        <v>42140</v>
      </c>
      <c r="T1462" s="34">
        <v>42142</v>
      </c>
      <c r="U1462" s="29">
        <v>2495.3987999999999</v>
      </c>
      <c r="V1462" s="26">
        <v>38</v>
      </c>
      <c r="W1462" s="29">
        <v>3616.52</v>
      </c>
      <c r="X1462" s="26">
        <v>88731</v>
      </c>
      <c r="Y1462" s="35">
        <v>18.93</v>
      </c>
      <c r="Z1462" s="1" t="s">
        <v>3013</v>
      </c>
      <c r="AA1462" s="36">
        <v>126.5286</v>
      </c>
      <c r="AB1462" s="54">
        <v>1555.1036000000001</v>
      </c>
      <c r="AC1462" s="54">
        <v>54.247799999999991</v>
      </c>
      <c r="AD1462" s="36">
        <v>992.09259999999995</v>
      </c>
    </row>
    <row r="1463" spans="1:30" s="37" customFormat="1" ht="15.75" customHeight="1" x14ac:dyDescent="0.2">
      <c r="A1463" s="26">
        <v>688</v>
      </c>
      <c r="B1463" s="27" t="s">
        <v>1521</v>
      </c>
      <c r="C1463" s="27" t="s">
        <v>26</v>
      </c>
      <c r="D1463" s="28">
        <v>7.0000000000000007E-2</v>
      </c>
      <c r="E1463" s="29">
        <v>279.48</v>
      </c>
      <c r="F1463" s="29">
        <v>35</v>
      </c>
      <c r="G1463" s="30" t="s">
        <v>39</v>
      </c>
      <c r="H1463" s="27" t="s">
        <v>3095</v>
      </c>
      <c r="I1463" s="27" t="s">
        <v>49</v>
      </c>
      <c r="J1463" s="27" t="s">
        <v>78</v>
      </c>
      <c r="K1463" s="27" t="s">
        <v>65</v>
      </c>
      <c r="L1463" s="31" t="s">
        <v>225</v>
      </c>
      <c r="M1463" s="32">
        <v>0.8</v>
      </c>
      <c r="N1463" s="27" t="s">
        <v>33</v>
      </c>
      <c r="O1463" s="27" t="s">
        <v>53</v>
      </c>
      <c r="P1463" s="27" t="s">
        <v>80</v>
      </c>
      <c r="Q1463" s="27" t="s">
        <v>1523</v>
      </c>
      <c r="R1463" s="33">
        <v>63116</v>
      </c>
      <c r="S1463" s="34">
        <v>42140</v>
      </c>
      <c r="T1463" s="34">
        <v>42140</v>
      </c>
      <c r="U1463" s="29">
        <v>-207.28</v>
      </c>
      <c r="V1463" s="26">
        <v>10</v>
      </c>
      <c r="W1463" s="29">
        <v>2716.09</v>
      </c>
      <c r="X1463" s="26">
        <v>88503</v>
      </c>
      <c r="Y1463" s="35">
        <v>10.89</v>
      </c>
      <c r="Z1463" s="1" t="s">
        <v>3012</v>
      </c>
      <c r="AA1463" s="36">
        <v>195.63600000000005</v>
      </c>
      <c r="AB1463" s="54">
        <v>543.21799999999996</v>
      </c>
      <c r="AC1463" s="54">
        <v>217.28720000000004</v>
      </c>
      <c r="AD1463" s="36">
        <v>2692.7339999999999</v>
      </c>
    </row>
    <row r="1464" spans="1:30" s="37" customFormat="1" ht="15.75" customHeight="1" x14ac:dyDescent="0.2">
      <c r="A1464" s="26">
        <v>1723</v>
      </c>
      <c r="B1464" s="27" t="s">
        <v>888</v>
      </c>
      <c r="C1464" s="27" t="s">
        <v>38</v>
      </c>
      <c r="D1464" s="28">
        <v>0.04</v>
      </c>
      <c r="E1464" s="29">
        <v>12.44</v>
      </c>
      <c r="F1464" s="29">
        <v>6.27</v>
      </c>
      <c r="G1464" s="30" t="s">
        <v>39</v>
      </c>
      <c r="H1464" s="27" t="s">
        <v>94</v>
      </c>
      <c r="I1464" s="27" t="s">
        <v>49</v>
      </c>
      <c r="J1464" s="27" t="s">
        <v>78</v>
      </c>
      <c r="K1464" s="27" t="s">
        <v>144</v>
      </c>
      <c r="L1464" s="31" t="s">
        <v>2535</v>
      </c>
      <c r="M1464" s="32">
        <v>0.56999999999999995</v>
      </c>
      <c r="N1464" s="27" t="s">
        <v>33</v>
      </c>
      <c r="O1464" s="27" t="s">
        <v>60</v>
      </c>
      <c r="P1464" s="27" t="s">
        <v>90</v>
      </c>
      <c r="Q1464" s="27" t="s">
        <v>890</v>
      </c>
      <c r="R1464" s="33">
        <v>92037</v>
      </c>
      <c r="S1464" s="34">
        <v>42140</v>
      </c>
      <c r="T1464" s="34">
        <v>42141</v>
      </c>
      <c r="U1464" s="29">
        <v>-59.06</v>
      </c>
      <c r="V1464" s="26">
        <v>146</v>
      </c>
      <c r="W1464" s="29">
        <v>1834.61</v>
      </c>
      <c r="X1464" s="26">
        <v>32710</v>
      </c>
      <c r="Y1464" s="35">
        <v>279.41000000000003</v>
      </c>
      <c r="Z1464" s="1" t="s">
        <v>3013</v>
      </c>
      <c r="AA1464" s="36">
        <v>72.649599999999992</v>
      </c>
      <c r="AB1464" s="54">
        <v>788.8823000000001</v>
      </c>
      <c r="AC1464" s="54">
        <v>7.1625184931506842</v>
      </c>
      <c r="AD1464" s="36">
        <v>1814.7503999999999</v>
      </c>
    </row>
    <row r="1465" spans="1:30" s="37" customFormat="1" ht="15.75" customHeight="1" x14ac:dyDescent="0.2">
      <c r="A1465" s="26">
        <v>2071</v>
      </c>
      <c r="B1465" s="27" t="s">
        <v>917</v>
      </c>
      <c r="C1465" s="27" t="s">
        <v>48</v>
      </c>
      <c r="D1465" s="28">
        <v>0.08</v>
      </c>
      <c r="E1465" s="29">
        <v>65.989999999999995</v>
      </c>
      <c r="F1465" s="29">
        <v>5.92</v>
      </c>
      <c r="G1465" s="30" t="s">
        <v>87</v>
      </c>
      <c r="H1465" s="27" t="s">
        <v>94</v>
      </c>
      <c r="I1465" s="27" t="s">
        <v>41</v>
      </c>
      <c r="J1465" s="27" t="s">
        <v>135</v>
      </c>
      <c r="K1465" s="27" t="s">
        <v>73</v>
      </c>
      <c r="L1465" s="31" t="s">
        <v>1056</v>
      </c>
      <c r="M1465" s="32">
        <v>0.57999999999999996</v>
      </c>
      <c r="N1465" s="27" t="s">
        <v>33</v>
      </c>
      <c r="O1465" s="27" t="s">
        <v>53</v>
      </c>
      <c r="P1465" s="27" t="s">
        <v>289</v>
      </c>
      <c r="Q1465" s="27" t="s">
        <v>919</v>
      </c>
      <c r="R1465" s="33">
        <v>48336</v>
      </c>
      <c r="S1465" s="34">
        <v>42140</v>
      </c>
      <c r="T1465" s="34">
        <v>42147</v>
      </c>
      <c r="U1465" s="29">
        <v>183.84299999999999</v>
      </c>
      <c r="V1465" s="26">
        <v>20</v>
      </c>
      <c r="W1465" s="29">
        <v>1063.81</v>
      </c>
      <c r="X1465" s="26">
        <v>88558</v>
      </c>
      <c r="Y1465" s="35">
        <v>14.42</v>
      </c>
      <c r="Z1465" s="1" t="s">
        <v>3012</v>
      </c>
      <c r="AA1465" s="36">
        <v>105.58399999999999</v>
      </c>
      <c r="AB1465" s="54">
        <v>446.80020000000002</v>
      </c>
      <c r="AC1465" s="54">
        <v>30.850489999999997</v>
      </c>
      <c r="AD1465" s="36">
        <v>768.46299999999997</v>
      </c>
    </row>
    <row r="1466" spans="1:30" s="37" customFormat="1" ht="15.75" customHeight="1" x14ac:dyDescent="0.2">
      <c r="A1466" s="26">
        <v>1721</v>
      </c>
      <c r="B1466" s="27" t="s">
        <v>2534</v>
      </c>
      <c r="C1466" s="27" t="s">
        <v>38</v>
      </c>
      <c r="D1466" s="28">
        <v>0.04</v>
      </c>
      <c r="E1466" s="29">
        <v>12.44</v>
      </c>
      <c r="F1466" s="29">
        <v>6.27</v>
      </c>
      <c r="G1466" s="30" t="s">
        <v>39</v>
      </c>
      <c r="H1466" s="27" t="s">
        <v>94</v>
      </c>
      <c r="I1466" s="27" t="s">
        <v>49</v>
      </c>
      <c r="J1466" s="27" t="s">
        <v>78</v>
      </c>
      <c r="K1466" s="27" t="s">
        <v>144</v>
      </c>
      <c r="L1466" s="31" t="s">
        <v>2535</v>
      </c>
      <c r="M1466" s="32">
        <v>0.56999999999999995</v>
      </c>
      <c r="N1466" s="27" t="s">
        <v>33</v>
      </c>
      <c r="O1466" s="27" t="s">
        <v>34</v>
      </c>
      <c r="P1466" s="27" t="s">
        <v>45</v>
      </c>
      <c r="Q1466" s="27" t="s">
        <v>2536</v>
      </c>
      <c r="R1466" s="33">
        <v>72401</v>
      </c>
      <c r="S1466" s="34">
        <v>42140</v>
      </c>
      <c r="T1466" s="34">
        <v>42141</v>
      </c>
      <c r="U1466" s="29">
        <v>-258.56599999999997</v>
      </c>
      <c r="V1466" s="26">
        <v>37</v>
      </c>
      <c r="W1466" s="29">
        <v>464.94</v>
      </c>
      <c r="X1466" s="26">
        <v>90787</v>
      </c>
      <c r="Y1466" s="35">
        <v>8.07</v>
      </c>
      <c r="Z1466" s="1" t="s">
        <v>3011</v>
      </c>
      <c r="AA1466" s="36">
        <v>18.411200000000001</v>
      </c>
      <c r="AB1466" s="54">
        <v>199.92420000000001</v>
      </c>
      <c r="AC1466" s="54">
        <v>7.1625891891891893</v>
      </c>
      <c r="AD1466" s="36">
        <v>698.82479999999998</v>
      </c>
    </row>
    <row r="1467" spans="1:30" s="37" customFormat="1" ht="15.75" customHeight="1" x14ac:dyDescent="0.2">
      <c r="A1467" s="26">
        <v>1984</v>
      </c>
      <c r="B1467" s="27" t="s">
        <v>2541</v>
      </c>
      <c r="C1467" s="27" t="s">
        <v>3094</v>
      </c>
      <c r="D1467" s="28">
        <v>0.1</v>
      </c>
      <c r="E1467" s="29">
        <v>7.37</v>
      </c>
      <c r="F1467" s="29">
        <v>5.53</v>
      </c>
      <c r="G1467" s="30" t="s">
        <v>39</v>
      </c>
      <c r="H1467" s="27" t="s">
        <v>40</v>
      </c>
      <c r="I1467" s="27" t="s">
        <v>41</v>
      </c>
      <c r="J1467" s="27" t="s">
        <v>42</v>
      </c>
      <c r="K1467" s="27" t="s">
        <v>43</v>
      </c>
      <c r="L1467" s="31" t="s">
        <v>549</v>
      </c>
      <c r="M1467" s="32">
        <v>0.69</v>
      </c>
      <c r="N1467" s="27" t="s">
        <v>33</v>
      </c>
      <c r="O1467" s="27" t="s">
        <v>34</v>
      </c>
      <c r="P1467" s="27" t="s">
        <v>271</v>
      </c>
      <c r="Q1467" s="27" t="s">
        <v>272</v>
      </c>
      <c r="R1467" s="33">
        <v>29915</v>
      </c>
      <c r="S1467" s="34">
        <v>42140</v>
      </c>
      <c r="T1467" s="34">
        <v>42140</v>
      </c>
      <c r="U1467" s="29">
        <v>290.202</v>
      </c>
      <c r="V1467" s="26">
        <v>38</v>
      </c>
      <c r="W1467" s="29">
        <v>269.33</v>
      </c>
      <c r="X1467" s="26">
        <v>91258</v>
      </c>
      <c r="Y1467" s="35">
        <v>110.96</v>
      </c>
      <c r="Z1467" s="1" t="s">
        <v>3011</v>
      </c>
      <c r="AA1467" s="36">
        <v>28.006000000000004</v>
      </c>
      <c r="AB1467" s="54">
        <v>83.492300000000014</v>
      </c>
      <c r="AC1467" s="54">
        <v>4.8904657894736836</v>
      </c>
      <c r="AD1467" s="36">
        <v>-54.408000000000015</v>
      </c>
    </row>
    <row r="1468" spans="1:30" s="37" customFormat="1" ht="15.75" customHeight="1" x14ac:dyDescent="0.2">
      <c r="A1468" s="26">
        <v>3354</v>
      </c>
      <c r="B1468" s="27" t="s">
        <v>1893</v>
      </c>
      <c r="C1468" s="27" t="s">
        <v>38</v>
      </c>
      <c r="D1468" s="28">
        <v>0.03</v>
      </c>
      <c r="E1468" s="29">
        <v>28.53</v>
      </c>
      <c r="F1468" s="29">
        <v>1.49</v>
      </c>
      <c r="G1468" s="30" t="s">
        <v>39</v>
      </c>
      <c r="H1468" s="27" t="s">
        <v>94</v>
      </c>
      <c r="I1468" s="27" t="s">
        <v>49</v>
      </c>
      <c r="J1468" s="27" t="s">
        <v>72</v>
      </c>
      <c r="K1468" s="27" t="s">
        <v>73</v>
      </c>
      <c r="L1468" s="31" t="s">
        <v>1832</v>
      </c>
      <c r="M1468" s="32">
        <v>0.38</v>
      </c>
      <c r="N1468" s="27" t="s">
        <v>33</v>
      </c>
      <c r="O1468" s="27" t="s">
        <v>60</v>
      </c>
      <c r="P1468" s="27" t="s">
        <v>90</v>
      </c>
      <c r="Q1468" s="27" t="s">
        <v>1895</v>
      </c>
      <c r="R1468" s="33">
        <v>92231</v>
      </c>
      <c r="S1468" s="34">
        <v>42140</v>
      </c>
      <c r="T1468" s="34">
        <v>42141</v>
      </c>
      <c r="U1468" s="29">
        <v>137.67570000000001</v>
      </c>
      <c r="V1468" s="26">
        <v>7</v>
      </c>
      <c r="W1468" s="29">
        <v>199.53</v>
      </c>
      <c r="X1468" s="26">
        <v>88589</v>
      </c>
      <c r="Y1468" s="35">
        <v>12.4</v>
      </c>
      <c r="Z1468" s="1" t="s">
        <v>3013</v>
      </c>
      <c r="AA1468" s="36">
        <v>5.9912999999999998</v>
      </c>
      <c r="AB1468" s="54">
        <v>123.7086</v>
      </c>
      <c r="AC1468" s="54">
        <v>10.831628571428572</v>
      </c>
      <c r="AD1468" s="36">
        <v>54.37299999999999</v>
      </c>
    </row>
    <row r="1469" spans="1:30" s="37" customFormat="1" ht="15.75" customHeight="1" x14ac:dyDescent="0.2">
      <c r="A1469" s="26">
        <v>2070</v>
      </c>
      <c r="B1469" s="27" t="s">
        <v>2539</v>
      </c>
      <c r="C1469" s="27" t="s">
        <v>48</v>
      </c>
      <c r="D1469" s="28">
        <v>7.0000000000000007E-2</v>
      </c>
      <c r="E1469" s="29">
        <v>35.99</v>
      </c>
      <c r="F1469" s="29">
        <v>5.99</v>
      </c>
      <c r="G1469" s="30" t="s">
        <v>39</v>
      </c>
      <c r="H1469" s="27" t="s">
        <v>94</v>
      </c>
      <c r="I1469" s="27" t="s">
        <v>41</v>
      </c>
      <c r="J1469" s="27" t="s">
        <v>135</v>
      </c>
      <c r="K1469" s="27" t="s">
        <v>51</v>
      </c>
      <c r="L1469" s="31" t="s">
        <v>1372</v>
      </c>
      <c r="M1469" s="32">
        <v>0.38</v>
      </c>
      <c r="N1469" s="27" t="s">
        <v>33</v>
      </c>
      <c r="O1469" s="27" t="s">
        <v>53</v>
      </c>
      <c r="P1469" s="27" t="s">
        <v>289</v>
      </c>
      <c r="Q1469" s="27" t="s">
        <v>2540</v>
      </c>
      <c r="R1469" s="33">
        <v>48021</v>
      </c>
      <c r="S1469" s="34">
        <v>42140</v>
      </c>
      <c r="T1469" s="34">
        <v>42144</v>
      </c>
      <c r="U1469" s="29">
        <v>17.8398</v>
      </c>
      <c r="V1469" s="26">
        <v>5</v>
      </c>
      <c r="W1469" s="29">
        <v>153.61000000000001</v>
      </c>
      <c r="X1469" s="26">
        <v>88558</v>
      </c>
      <c r="Y1469" s="35">
        <v>12.4</v>
      </c>
      <c r="Z1469" s="1" t="s">
        <v>3012</v>
      </c>
      <c r="AA1469" s="36">
        <v>12.596500000000002</v>
      </c>
      <c r="AB1469" s="54">
        <v>95.238200000000006</v>
      </c>
      <c r="AC1469" s="54">
        <v>11.67436</v>
      </c>
      <c r="AD1469" s="36">
        <v>117.18370000000002</v>
      </c>
    </row>
    <row r="1470" spans="1:30" s="37" customFormat="1" ht="15.75" customHeight="1" x14ac:dyDescent="0.2">
      <c r="A1470" s="26">
        <v>1390</v>
      </c>
      <c r="B1470" s="27" t="s">
        <v>2531</v>
      </c>
      <c r="C1470" s="27" t="s">
        <v>26</v>
      </c>
      <c r="D1470" s="28">
        <v>0.1</v>
      </c>
      <c r="E1470" s="29">
        <v>8.17</v>
      </c>
      <c r="F1470" s="29">
        <v>1.69</v>
      </c>
      <c r="G1470" s="30" t="s">
        <v>39</v>
      </c>
      <c r="H1470" s="27" t="s">
        <v>94</v>
      </c>
      <c r="I1470" s="27" t="s">
        <v>49</v>
      </c>
      <c r="J1470" s="27" t="s">
        <v>88</v>
      </c>
      <c r="K1470" s="27" t="s">
        <v>51</v>
      </c>
      <c r="L1470" s="31" t="s">
        <v>2532</v>
      </c>
      <c r="M1470" s="32">
        <v>0.38</v>
      </c>
      <c r="N1470" s="27" t="s">
        <v>33</v>
      </c>
      <c r="O1470" s="27" t="s">
        <v>60</v>
      </c>
      <c r="P1470" s="27" t="s">
        <v>90</v>
      </c>
      <c r="Q1470" s="27" t="s">
        <v>2533</v>
      </c>
      <c r="R1470" s="33">
        <v>95207</v>
      </c>
      <c r="S1470" s="34">
        <v>42140</v>
      </c>
      <c r="T1470" s="34">
        <v>42140</v>
      </c>
      <c r="U1470" s="29">
        <v>100.2984</v>
      </c>
      <c r="V1470" s="26">
        <v>19</v>
      </c>
      <c r="W1470" s="29">
        <v>145.36000000000001</v>
      </c>
      <c r="X1470" s="26">
        <v>88731</v>
      </c>
      <c r="Y1470" s="35">
        <v>5.3100000000000005</v>
      </c>
      <c r="Z1470" s="1" t="s">
        <v>3013</v>
      </c>
      <c r="AA1470" s="36">
        <v>15.523000000000001</v>
      </c>
      <c r="AB1470" s="54">
        <v>90.123200000000011</v>
      </c>
      <c r="AC1470" s="54">
        <v>2.9072000000000005</v>
      </c>
      <c r="AD1470" s="36">
        <v>27.848600000000019</v>
      </c>
    </row>
    <row r="1471" spans="1:30" s="37" customFormat="1" ht="15.75" customHeight="1" x14ac:dyDescent="0.2">
      <c r="A1471" s="26">
        <v>136</v>
      </c>
      <c r="B1471" s="27" t="s">
        <v>2527</v>
      </c>
      <c r="C1471" s="27" t="s">
        <v>26</v>
      </c>
      <c r="D1471" s="28">
        <v>0.04</v>
      </c>
      <c r="E1471" s="29">
        <v>18.97</v>
      </c>
      <c r="F1471" s="29">
        <v>9.5399999999999991</v>
      </c>
      <c r="G1471" s="30" t="s">
        <v>39</v>
      </c>
      <c r="H1471" s="27" t="s">
        <v>3095</v>
      </c>
      <c r="I1471" s="27" t="s">
        <v>49</v>
      </c>
      <c r="J1471" s="27" t="s">
        <v>88</v>
      </c>
      <c r="K1471" s="27" t="s">
        <v>73</v>
      </c>
      <c r="L1471" s="31" t="s">
        <v>479</v>
      </c>
      <c r="M1471" s="32">
        <v>0.37</v>
      </c>
      <c r="N1471" s="27" t="s">
        <v>33</v>
      </c>
      <c r="O1471" s="27" t="s">
        <v>60</v>
      </c>
      <c r="P1471" s="27" t="s">
        <v>90</v>
      </c>
      <c r="Q1471" s="27" t="s">
        <v>2528</v>
      </c>
      <c r="R1471" s="33">
        <v>94952</v>
      </c>
      <c r="S1471" s="34">
        <v>42140</v>
      </c>
      <c r="T1471" s="34">
        <v>42141</v>
      </c>
      <c r="U1471" s="29">
        <v>3.04</v>
      </c>
      <c r="V1471" s="26">
        <v>5</v>
      </c>
      <c r="W1471" s="29">
        <v>101.74</v>
      </c>
      <c r="X1471" s="26">
        <v>88534</v>
      </c>
      <c r="Y1471" s="35">
        <v>28.5</v>
      </c>
      <c r="Z1471" s="1" t="s">
        <v>3013</v>
      </c>
      <c r="AA1471" s="36">
        <v>3.7939999999999996</v>
      </c>
      <c r="AB1471" s="54">
        <v>64.096199999999996</v>
      </c>
      <c r="AC1471" s="54">
        <v>7.5287599999999992</v>
      </c>
      <c r="AD1471" s="36">
        <v>85.366</v>
      </c>
    </row>
    <row r="1472" spans="1:30" s="37" customFormat="1" ht="15.75" customHeight="1" x14ac:dyDescent="0.2">
      <c r="A1472" s="26">
        <v>1042</v>
      </c>
      <c r="B1472" s="27" t="s">
        <v>2529</v>
      </c>
      <c r="C1472" s="27" t="s">
        <v>26</v>
      </c>
      <c r="D1472" s="28">
        <v>0</v>
      </c>
      <c r="E1472" s="29">
        <v>14.42</v>
      </c>
      <c r="F1472" s="29">
        <v>6.75</v>
      </c>
      <c r="G1472" s="30" t="s">
        <v>87</v>
      </c>
      <c r="H1472" s="27" t="s">
        <v>3095</v>
      </c>
      <c r="I1472" s="27" t="s">
        <v>49</v>
      </c>
      <c r="J1472" s="27" t="s">
        <v>95</v>
      </c>
      <c r="K1472" s="27" t="s">
        <v>144</v>
      </c>
      <c r="L1472" s="31" t="s">
        <v>409</v>
      </c>
      <c r="M1472" s="32">
        <v>0.52</v>
      </c>
      <c r="N1472" s="27" t="s">
        <v>33</v>
      </c>
      <c r="O1472" s="27" t="s">
        <v>60</v>
      </c>
      <c r="P1472" s="27" t="s">
        <v>90</v>
      </c>
      <c r="Q1472" s="27" t="s">
        <v>2530</v>
      </c>
      <c r="R1472" s="33">
        <v>95991</v>
      </c>
      <c r="S1472" s="34">
        <v>42140</v>
      </c>
      <c r="T1472" s="34">
        <v>42141</v>
      </c>
      <c r="U1472" s="29">
        <v>9.33</v>
      </c>
      <c r="V1472" s="26">
        <v>6</v>
      </c>
      <c r="W1472" s="29">
        <v>98.96</v>
      </c>
      <c r="X1472" s="26">
        <v>87847</v>
      </c>
      <c r="Y1472" s="35">
        <v>5.91</v>
      </c>
      <c r="Z1472" s="1" t="s">
        <v>3013</v>
      </c>
      <c r="AA1472" s="36">
        <v>0</v>
      </c>
      <c r="AB1472" s="54">
        <v>47.500799999999998</v>
      </c>
      <c r="AC1472" s="54">
        <v>8.5765333333333338</v>
      </c>
      <c r="AD1472" s="36">
        <v>82.88</v>
      </c>
    </row>
    <row r="1473" spans="1:30" s="37" customFormat="1" ht="15.75" customHeight="1" x14ac:dyDescent="0.2">
      <c r="A1473" s="26">
        <v>136</v>
      </c>
      <c r="B1473" s="27" t="s">
        <v>2527</v>
      </c>
      <c r="C1473" s="27" t="s">
        <v>26</v>
      </c>
      <c r="D1473" s="28">
        <v>0.09</v>
      </c>
      <c r="E1473" s="29">
        <v>10.98</v>
      </c>
      <c r="F1473" s="29">
        <v>3.37</v>
      </c>
      <c r="G1473" s="30" t="s">
        <v>39</v>
      </c>
      <c r="H1473" s="27" t="s">
        <v>3095</v>
      </c>
      <c r="I1473" s="27" t="s">
        <v>49</v>
      </c>
      <c r="J1473" s="27" t="s">
        <v>568</v>
      </c>
      <c r="K1473" s="27" t="s">
        <v>43</v>
      </c>
      <c r="L1473" s="31" t="s">
        <v>2129</v>
      </c>
      <c r="M1473" s="32">
        <v>0.56999999999999995</v>
      </c>
      <c r="N1473" s="27" t="s">
        <v>33</v>
      </c>
      <c r="O1473" s="27" t="s">
        <v>60</v>
      </c>
      <c r="P1473" s="27" t="s">
        <v>90</v>
      </c>
      <c r="Q1473" s="27" t="s">
        <v>2528</v>
      </c>
      <c r="R1473" s="33">
        <v>94952</v>
      </c>
      <c r="S1473" s="34">
        <v>42140</v>
      </c>
      <c r="T1473" s="34">
        <v>42141</v>
      </c>
      <c r="U1473" s="29">
        <v>2.706</v>
      </c>
      <c r="V1473" s="26">
        <v>8</v>
      </c>
      <c r="W1473" s="29">
        <v>84.52</v>
      </c>
      <c r="X1473" s="26">
        <v>88534</v>
      </c>
      <c r="Y1473" s="35">
        <v>35.92</v>
      </c>
      <c r="Z1473" s="1" t="s">
        <v>3013</v>
      </c>
      <c r="AA1473" s="36">
        <v>7.9055999999999997</v>
      </c>
      <c r="AB1473" s="54">
        <v>36.343600000000002</v>
      </c>
      <c r="AC1473" s="54">
        <v>6.0220499999999992</v>
      </c>
      <c r="AD1473" s="36">
        <v>70.538399999999996</v>
      </c>
    </row>
    <row r="1474" spans="1:30" s="37" customFormat="1" ht="15.75" customHeight="1" x14ac:dyDescent="0.2">
      <c r="A1474" s="26">
        <v>2610</v>
      </c>
      <c r="B1474" s="27" t="s">
        <v>2537</v>
      </c>
      <c r="C1474" s="27" t="s">
        <v>38</v>
      </c>
      <c r="D1474" s="28">
        <v>0.09</v>
      </c>
      <c r="E1474" s="29">
        <v>5.4</v>
      </c>
      <c r="F1474" s="29">
        <v>7.78</v>
      </c>
      <c r="G1474" s="30" t="s">
        <v>39</v>
      </c>
      <c r="H1474" s="27" t="s">
        <v>94</v>
      </c>
      <c r="I1474" s="27" t="s">
        <v>49</v>
      </c>
      <c r="J1474" s="27" t="s">
        <v>72</v>
      </c>
      <c r="K1474" s="27" t="s">
        <v>73</v>
      </c>
      <c r="L1474" s="31" t="s">
        <v>1484</v>
      </c>
      <c r="M1474" s="32">
        <v>0.37</v>
      </c>
      <c r="N1474" s="27" t="s">
        <v>33</v>
      </c>
      <c r="O1474" s="27" t="s">
        <v>60</v>
      </c>
      <c r="P1474" s="27" t="s">
        <v>90</v>
      </c>
      <c r="Q1474" s="27" t="s">
        <v>2295</v>
      </c>
      <c r="R1474" s="33">
        <v>95616</v>
      </c>
      <c r="S1474" s="34">
        <v>42140</v>
      </c>
      <c r="T1474" s="34">
        <v>42141</v>
      </c>
      <c r="U1474" s="29">
        <v>-136.25200000000001</v>
      </c>
      <c r="V1474" s="26">
        <v>9</v>
      </c>
      <c r="W1474" s="29">
        <v>49.24</v>
      </c>
      <c r="X1474" s="26">
        <v>86118</v>
      </c>
      <c r="Y1474" s="35">
        <v>65.91</v>
      </c>
      <c r="Z1474" s="1" t="s">
        <v>3013</v>
      </c>
      <c r="AA1474" s="36">
        <v>4.3739999999999997</v>
      </c>
      <c r="AB1474" s="54">
        <v>31.0212</v>
      </c>
      <c r="AC1474" s="54">
        <v>2.024311111111111</v>
      </c>
      <c r="AD1474" s="36">
        <v>173.33800000000002</v>
      </c>
    </row>
    <row r="1475" spans="1:30" s="37" customFormat="1" ht="15.75" customHeight="1" x14ac:dyDescent="0.2">
      <c r="A1475" s="26">
        <v>3354</v>
      </c>
      <c r="B1475" s="27" t="s">
        <v>1893</v>
      </c>
      <c r="C1475" s="27" t="s">
        <v>38</v>
      </c>
      <c r="D1475" s="28">
        <v>7.0000000000000007E-2</v>
      </c>
      <c r="E1475" s="29">
        <v>5.98</v>
      </c>
      <c r="F1475" s="29">
        <v>7.15</v>
      </c>
      <c r="G1475" s="30" t="s">
        <v>39</v>
      </c>
      <c r="H1475" s="27" t="s">
        <v>94</v>
      </c>
      <c r="I1475" s="27" t="s">
        <v>49</v>
      </c>
      <c r="J1475" s="27" t="s">
        <v>88</v>
      </c>
      <c r="K1475" s="27" t="s">
        <v>73</v>
      </c>
      <c r="L1475" s="31" t="s">
        <v>2538</v>
      </c>
      <c r="M1475" s="32">
        <v>0.36</v>
      </c>
      <c r="N1475" s="27" t="s">
        <v>33</v>
      </c>
      <c r="O1475" s="27" t="s">
        <v>60</v>
      </c>
      <c r="P1475" s="27" t="s">
        <v>90</v>
      </c>
      <c r="Q1475" s="27" t="s">
        <v>1895</v>
      </c>
      <c r="R1475" s="33">
        <v>92231</v>
      </c>
      <c r="S1475" s="34">
        <v>42140</v>
      </c>
      <c r="T1475" s="34">
        <v>42142</v>
      </c>
      <c r="U1475" s="29">
        <v>-62</v>
      </c>
      <c r="V1475" s="26">
        <v>6</v>
      </c>
      <c r="W1475" s="29">
        <v>37.049999999999997</v>
      </c>
      <c r="X1475" s="26">
        <v>88589</v>
      </c>
      <c r="Y1475" s="35">
        <v>7.2700000000000005</v>
      </c>
      <c r="Z1475" s="1" t="s">
        <v>3013</v>
      </c>
      <c r="AA1475" s="36">
        <v>2.5116000000000005</v>
      </c>
      <c r="AB1475" s="54">
        <v>23.712</v>
      </c>
      <c r="AC1475" s="54">
        <v>2.2229999999999999</v>
      </c>
      <c r="AD1475" s="36">
        <v>89.38839999999999</v>
      </c>
    </row>
    <row r="1476" spans="1:30" s="37" customFormat="1" ht="15.75" customHeight="1" x14ac:dyDescent="0.2">
      <c r="A1476" s="26">
        <v>1906</v>
      </c>
      <c r="B1476" s="27" t="s">
        <v>2547</v>
      </c>
      <c r="C1476" s="27" t="s">
        <v>48</v>
      </c>
      <c r="D1476" s="28">
        <v>7.0000000000000007E-2</v>
      </c>
      <c r="E1476" s="29">
        <v>172.99</v>
      </c>
      <c r="F1476" s="29">
        <v>19.989999999999998</v>
      </c>
      <c r="G1476" s="30" t="s">
        <v>39</v>
      </c>
      <c r="H1476" s="27" t="s">
        <v>94</v>
      </c>
      <c r="I1476" s="27" t="s">
        <v>49</v>
      </c>
      <c r="J1476" s="27" t="s">
        <v>72</v>
      </c>
      <c r="K1476" s="27" t="s">
        <v>73</v>
      </c>
      <c r="L1476" s="31" t="s">
        <v>2548</v>
      </c>
      <c r="M1476" s="32">
        <v>0.39</v>
      </c>
      <c r="N1476" s="27" t="s">
        <v>33</v>
      </c>
      <c r="O1476" s="27" t="s">
        <v>111</v>
      </c>
      <c r="P1476" s="27" t="s">
        <v>317</v>
      </c>
      <c r="Q1476" s="27" t="s">
        <v>2019</v>
      </c>
      <c r="R1476" s="33">
        <v>45801</v>
      </c>
      <c r="S1476" s="34">
        <v>42141</v>
      </c>
      <c r="T1476" s="34">
        <v>42141</v>
      </c>
      <c r="U1476" s="29">
        <v>2502.6851999999999</v>
      </c>
      <c r="V1476" s="26">
        <v>22</v>
      </c>
      <c r="W1476" s="29">
        <v>3627.08</v>
      </c>
      <c r="X1476" s="26">
        <v>86500</v>
      </c>
      <c r="Y1476" s="35">
        <v>19.77</v>
      </c>
      <c r="Z1476" s="1" t="s">
        <v>3014</v>
      </c>
      <c r="AA1476" s="36">
        <v>266.40460000000002</v>
      </c>
      <c r="AB1476" s="54">
        <v>2212.5187999999998</v>
      </c>
      <c r="AC1476" s="54">
        <v>64.298236363636363</v>
      </c>
      <c r="AD1476" s="36">
        <v>838.0002000000004</v>
      </c>
    </row>
    <row r="1477" spans="1:30" s="37" customFormat="1" ht="15.75" customHeight="1" x14ac:dyDescent="0.2">
      <c r="A1477" s="26">
        <v>3132</v>
      </c>
      <c r="B1477" s="27" t="s">
        <v>2552</v>
      </c>
      <c r="C1477" s="27" t="s">
        <v>116</v>
      </c>
      <c r="D1477" s="28">
        <v>0.04</v>
      </c>
      <c r="E1477" s="29">
        <v>62.05</v>
      </c>
      <c r="F1477" s="29">
        <v>3.99</v>
      </c>
      <c r="G1477" s="30" t="s">
        <v>39</v>
      </c>
      <c r="H1477" s="27" t="s">
        <v>94</v>
      </c>
      <c r="I1477" s="27" t="s">
        <v>49</v>
      </c>
      <c r="J1477" s="27" t="s">
        <v>95</v>
      </c>
      <c r="K1477" s="27" t="s">
        <v>73</v>
      </c>
      <c r="L1477" s="31" t="s">
        <v>2553</v>
      </c>
      <c r="M1477" s="32">
        <v>0.55000000000000004</v>
      </c>
      <c r="N1477" s="27" t="s">
        <v>33</v>
      </c>
      <c r="O1477" s="27" t="s">
        <v>53</v>
      </c>
      <c r="P1477" s="27" t="s">
        <v>103</v>
      </c>
      <c r="Q1477" s="27" t="s">
        <v>2554</v>
      </c>
      <c r="R1477" s="33">
        <v>60060</v>
      </c>
      <c r="S1477" s="34">
        <v>42141</v>
      </c>
      <c r="T1477" s="34">
        <v>42142</v>
      </c>
      <c r="U1477" s="29">
        <v>1644.0768</v>
      </c>
      <c r="V1477" s="26">
        <v>40</v>
      </c>
      <c r="W1477" s="29">
        <v>2382.7199999999998</v>
      </c>
      <c r="X1477" s="26">
        <v>86794</v>
      </c>
      <c r="Y1477" s="35">
        <v>8.27</v>
      </c>
      <c r="Z1477" s="1" t="s">
        <v>3012</v>
      </c>
      <c r="AA1477" s="36">
        <v>99.279999999999987</v>
      </c>
      <c r="AB1477" s="54">
        <v>1072.2239999999997</v>
      </c>
      <c r="AC1477" s="54">
        <v>32.7624</v>
      </c>
      <c r="AD1477" s="36">
        <v>635.37319999999977</v>
      </c>
    </row>
    <row r="1478" spans="1:30" s="37" customFormat="1" ht="15.75" customHeight="1" x14ac:dyDescent="0.2">
      <c r="A1478" s="26">
        <v>3113</v>
      </c>
      <c r="B1478" s="27" t="s">
        <v>2555</v>
      </c>
      <c r="C1478" s="27" t="s">
        <v>3094</v>
      </c>
      <c r="D1478" s="28">
        <v>7.0000000000000007E-2</v>
      </c>
      <c r="E1478" s="29">
        <v>34.54</v>
      </c>
      <c r="F1478" s="29">
        <v>14.72</v>
      </c>
      <c r="G1478" s="30" t="s">
        <v>39</v>
      </c>
      <c r="H1478" s="27" t="s">
        <v>94</v>
      </c>
      <c r="I1478" s="27" t="s">
        <v>49</v>
      </c>
      <c r="J1478" s="27" t="s">
        <v>72</v>
      </c>
      <c r="K1478" s="27" t="s">
        <v>73</v>
      </c>
      <c r="L1478" s="31" t="s">
        <v>2556</v>
      </c>
      <c r="M1478" s="32">
        <v>0.37</v>
      </c>
      <c r="N1478" s="27" t="s">
        <v>33</v>
      </c>
      <c r="O1478" s="27" t="s">
        <v>34</v>
      </c>
      <c r="P1478" s="27" t="s">
        <v>168</v>
      </c>
      <c r="Q1478" s="27" t="s">
        <v>2557</v>
      </c>
      <c r="R1478" s="33">
        <v>70560</v>
      </c>
      <c r="S1478" s="34">
        <v>42141</v>
      </c>
      <c r="T1478" s="34">
        <v>42142</v>
      </c>
      <c r="U1478" s="29">
        <v>-20.182259999999999</v>
      </c>
      <c r="V1478" s="26">
        <v>17</v>
      </c>
      <c r="W1478" s="29">
        <v>574.97</v>
      </c>
      <c r="X1478" s="26">
        <v>86860</v>
      </c>
      <c r="Y1478" s="35">
        <v>4.8900000000000006</v>
      </c>
      <c r="Z1478" s="1" t="s">
        <v>3011</v>
      </c>
      <c r="AA1478" s="36">
        <v>41.102600000000002</v>
      </c>
      <c r="AB1478" s="54">
        <v>362.23110000000003</v>
      </c>
      <c r="AC1478" s="54">
        <v>12.51405294117647</v>
      </c>
      <c r="AD1478" s="36">
        <v>539.32965999999999</v>
      </c>
    </row>
    <row r="1479" spans="1:30" s="37" customFormat="1" ht="15.75" customHeight="1" x14ac:dyDescent="0.2">
      <c r="A1479" s="26">
        <v>3113</v>
      </c>
      <c r="B1479" s="27" t="s">
        <v>2555</v>
      </c>
      <c r="C1479" s="27" t="s">
        <v>3094</v>
      </c>
      <c r="D1479" s="28">
        <v>0.06</v>
      </c>
      <c r="E1479" s="29">
        <v>34.58</v>
      </c>
      <c r="F1479" s="29">
        <v>8.99</v>
      </c>
      <c r="G1479" s="30" t="s">
        <v>87</v>
      </c>
      <c r="H1479" s="27" t="s">
        <v>94</v>
      </c>
      <c r="I1479" s="27" t="s">
        <v>49</v>
      </c>
      <c r="J1479" s="27" t="s">
        <v>50</v>
      </c>
      <c r="K1479" s="27" t="s">
        <v>43</v>
      </c>
      <c r="L1479" s="31" t="s">
        <v>2559</v>
      </c>
      <c r="M1479" s="32">
        <v>0.56000000000000005</v>
      </c>
      <c r="N1479" s="27" t="s">
        <v>33</v>
      </c>
      <c r="O1479" s="27" t="s">
        <v>34</v>
      </c>
      <c r="P1479" s="27" t="s">
        <v>168</v>
      </c>
      <c r="Q1479" s="27" t="s">
        <v>2557</v>
      </c>
      <c r="R1479" s="33">
        <v>70560</v>
      </c>
      <c r="S1479" s="34">
        <v>42141</v>
      </c>
      <c r="T1479" s="34">
        <v>42143</v>
      </c>
      <c r="U1479" s="29">
        <v>384.5043</v>
      </c>
      <c r="V1479" s="26">
        <v>13</v>
      </c>
      <c r="W1479" s="29">
        <v>456.58</v>
      </c>
      <c r="X1479" s="26">
        <v>86860</v>
      </c>
      <c r="Y1479" s="35">
        <v>4.04</v>
      </c>
      <c r="Z1479" s="1" t="s">
        <v>3011</v>
      </c>
      <c r="AA1479" s="36">
        <v>26.972399999999997</v>
      </c>
      <c r="AB1479" s="54">
        <v>200.89519999999996</v>
      </c>
      <c r="AC1479" s="54">
        <v>19.66806153846154</v>
      </c>
      <c r="AD1479" s="36">
        <v>36.113299999999981</v>
      </c>
    </row>
    <row r="1480" spans="1:30" s="37" customFormat="1" ht="15.75" customHeight="1" x14ac:dyDescent="0.2">
      <c r="A1480" s="26">
        <v>772</v>
      </c>
      <c r="B1480" s="27" t="s">
        <v>476</v>
      </c>
      <c r="C1480" s="27" t="s">
        <v>48</v>
      </c>
      <c r="D1480" s="28">
        <v>7.0000000000000007E-2</v>
      </c>
      <c r="E1480" s="29">
        <v>9.49</v>
      </c>
      <c r="F1480" s="29">
        <v>5.76</v>
      </c>
      <c r="G1480" s="30" t="s">
        <v>39</v>
      </c>
      <c r="H1480" s="27" t="s">
        <v>3095</v>
      </c>
      <c r="I1480" s="27" t="s">
        <v>41</v>
      </c>
      <c r="J1480" s="27" t="s">
        <v>57</v>
      </c>
      <c r="K1480" s="27" t="s">
        <v>144</v>
      </c>
      <c r="L1480" s="31" t="s">
        <v>2546</v>
      </c>
      <c r="M1480" s="32">
        <v>0.39</v>
      </c>
      <c r="N1480" s="27" t="s">
        <v>33</v>
      </c>
      <c r="O1480" s="27" t="s">
        <v>111</v>
      </c>
      <c r="P1480" s="27" t="s">
        <v>320</v>
      </c>
      <c r="Q1480" s="27" t="s">
        <v>478</v>
      </c>
      <c r="R1480" s="33">
        <v>18103</v>
      </c>
      <c r="S1480" s="34">
        <v>42141</v>
      </c>
      <c r="T1480" s="34">
        <v>42145</v>
      </c>
      <c r="U1480" s="29">
        <v>7.71516</v>
      </c>
      <c r="V1480" s="26">
        <v>37</v>
      </c>
      <c r="W1480" s="29">
        <v>344.57</v>
      </c>
      <c r="X1480" s="26">
        <v>88668</v>
      </c>
      <c r="Y1480" s="35">
        <v>9.42</v>
      </c>
      <c r="Z1480" s="1" t="s">
        <v>3014</v>
      </c>
      <c r="AA1480" s="36">
        <v>24.579100000000004</v>
      </c>
      <c r="AB1480" s="54">
        <v>210.18769999999998</v>
      </c>
      <c r="AC1480" s="54">
        <v>3.6319540540540545</v>
      </c>
      <c r="AD1480" s="36">
        <v>306.51573999999999</v>
      </c>
    </row>
    <row r="1481" spans="1:30" s="37" customFormat="1" ht="15.75" customHeight="1" x14ac:dyDescent="0.2">
      <c r="A1481" s="26">
        <v>91</v>
      </c>
      <c r="B1481" s="27" t="s">
        <v>1246</v>
      </c>
      <c r="C1481" s="27" t="s">
        <v>38</v>
      </c>
      <c r="D1481" s="28">
        <v>7.0000000000000007E-2</v>
      </c>
      <c r="E1481" s="29">
        <v>19.84</v>
      </c>
      <c r="F1481" s="29">
        <v>4.0999999999999996</v>
      </c>
      <c r="G1481" s="30" t="s">
        <v>39</v>
      </c>
      <c r="H1481" s="27" t="s">
        <v>71</v>
      </c>
      <c r="I1481" s="27" t="s">
        <v>49</v>
      </c>
      <c r="J1481" s="27" t="s">
        <v>50</v>
      </c>
      <c r="K1481" s="27" t="s">
        <v>51</v>
      </c>
      <c r="L1481" s="31" t="s">
        <v>2542</v>
      </c>
      <c r="M1481" s="32">
        <v>0.44</v>
      </c>
      <c r="N1481" s="27" t="s">
        <v>33</v>
      </c>
      <c r="O1481" s="27" t="s">
        <v>60</v>
      </c>
      <c r="P1481" s="27" t="s">
        <v>90</v>
      </c>
      <c r="Q1481" s="27" t="s">
        <v>1247</v>
      </c>
      <c r="R1481" s="33">
        <v>94591</v>
      </c>
      <c r="S1481" s="34">
        <v>42141</v>
      </c>
      <c r="T1481" s="34">
        <v>42142</v>
      </c>
      <c r="U1481" s="29">
        <v>117.852</v>
      </c>
      <c r="V1481" s="26">
        <v>9</v>
      </c>
      <c r="W1481" s="29">
        <v>170.8</v>
      </c>
      <c r="X1481" s="26">
        <v>87175</v>
      </c>
      <c r="Y1481" s="35">
        <v>172.92000000000002</v>
      </c>
      <c r="Z1481" s="1" t="s">
        <v>3013</v>
      </c>
      <c r="AA1481" s="36">
        <v>12.4992</v>
      </c>
      <c r="AB1481" s="54">
        <v>95.64800000000001</v>
      </c>
      <c r="AC1481" s="54">
        <v>8.3502222222222215</v>
      </c>
      <c r="AD1481" s="36">
        <v>36.348800000000011</v>
      </c>
    </row>
    <row r="1482" spans="1:30" s="37" customFormat="1" ht="15.75" customHeight="1" x14ac:dyDescent="0.2">
      <c r="A1482" s="26">
        <v>92</v>
      </c>
      <c r="B1482" s="27" t="s">
        <v>2543</v>
      </c>
      <c r="C1482" s="27" t="s">
        <v>38</v>
      </c>
      <c r="D1482" s="28">
        <v>7.0000000000000007E-2</v>
      </c>
      <c r="E1482" s="29">
        <v>8.34</v>
      </c>
      <c r="F1482" s="29">
        <v>1.43</v>
      </c>
      <c r="G1482" s="30" t="s">
        <v>39</v>
      </c>
      <c r="H1482" s="27" t="s">
        <v>71</v>
      </c>
      <c r="I1482" s="27" t="s">
        <v>49</v>
      </c>
      <c r="J1482" s="27" t="s">
        <v>88</v>
      </c>
      <c r="K1482" s="27" t="s">
        <v>51</v>
      </c>
      <c r="L1482" s="31" t="s">
        <v>2544</v>
      </c>
      <c r="M1482" s="32">
        <v>0.35</v>
      </c>
      <c r="N1482" s="27" t="s">
        <v>33</v>
      </c>
      <c r="O1482" s="27" t="s">
        <v>34</v>
      </c>
      <c r="P1482" s="27" t="s">
        <v>168</v>
      </c>
      <c r="Q1482" s="27" t="s">
        <v>2545</v>
      </c>
      <c r="R1482" s="33">
        <v>70056</v>
      </c>
      <c r="S1482" s="34">
        <v>42141</v>
      </c>
      <c r="T1482" s="34">
        <v>42143</v>
      </c>
      <c r="U1482" s="29">
        <v>-190.68</v>
      </c>
      <c r="V1482" s="26">
        <v>16</v>
      </c>
      <c r="W1482" s="29">
        <v>132.08000000000001</v>
      </c>
      <c r="X1482" s="26">
        <v>87175</v>
      </c>
      <c r="Y1482" s="35">
        <v>7.55</v>
      </c>
      <c r="Z1482" s="1" t="s">
        <v>3011</v>
      </c>
      <c r="AA1482" s="36">
        <v>9.3408000000000015</v>
      </c>
      <c r="AB1482" s="54">
        <v>85.852000000000018</v>
      </c>
      <c r="AC1482" s="54">
        <v>2.8892500000000001</v>
      </c>
      <c r="AD1482" s="36">
        <v>311.98919999999998</v>
      </c>
    </row>
    <row r="1483" spans="1:30" s="37" customFormat="1" ht="15.75" customHeight="1" x14ac:dyDescent="0.2">
      <c r="A1483" s="26">
        <v>3113</v>
      </c>
      <c r="B1483" s="27" t="s">
        <v>2555</v>
      </c>
      <c r="C1483" s="27" t="s">
        <v>3094</v>
      </c>
      <c r="D1483" s="28">
        <v>0.02</v>
      </c>
      <c r="E1483" s="29">
        <v>12.28</v>
      </c>
      <c r="F1483" s="29">
        <v>6.47</v>
      </c>
      <c r="G1483" s="30" t="s">
        <v>39</v>
      </c>
      <c r="H1483" s="27" t="s">
        <v>94</v>
      </c>
      <c r="I1483" s="27" t="s">
        <v>49</v>
      </c>
      <c r="J1483" s="27" t="s">
        <v>88</v>
      </c>
      <c r="K1483" s="27" t="s">
        <v>73</v>
      </c>
      <c r="L1483" s="31" t="s">
        <v>2558</v>
      </c>
      <c r="M1483" s="32">
        <v>0.38</v>
      </c>
      <c r="N1483" s="27" t="s">
        <v>33</v>
      </c>
      <c r="O1483" s="27" t="s">
        <v>34</v>
      </c>
      <c r="P1483" s="27" t="s">
        <v>168</v>
      </c>
      <c r="Q1483" s="27" t="s">
        <v>2557</v>
      </c>
      <c r="R1483" s="33">
        <v>70560</v>
      </c>
      <c r="S1483" s="34">
        <v>42141</v>
      </c>
      <c r="T1483" s="34">
        <v>42141</v>
      </c>
      <c r="U1483" s="29">
        <v>-156.97219999999999</v>
      </c>
      <c r="V1483" s="26">
        <v>9</v>
      </c>
      <c r="W1483" s="29">
        <v>115.22</v>
      </c>
      <c r="X1483" s="26">
        <v>86860</v>
      </c>
      <c r="Y1483" s="35">
        <v>2.88</v>
      </c>
      <c r="Z1483" s="1" t="s">
        <v>3011</v>
      </c>
      <c r="AA1483" s="36">
        <v>2.2103999999999999</v>
      </c>
      <c r="AB1483" s="54">
        <v>71.436399999999992</v>
      </c>
      <c r="AC1483" s="54">
        <v>4.8648444444444445</v>
      </c>
      <c r="AD1483" s="36">
        <v>263.51179999999999</v>
      </c>
    </row>
    <row r="1484" spans="1:30" s="37" customFormat="1" ht="15.75" customHeight="1" x14ac:dyDescent="0.2">
      <c r="A1484" s="26">
        <v>772</v>
      </c>
      <c r="B1484" s="27" t="s">
        <v>476</v>
      </c>
      <c r="C1484" s="27" t="s">
        <v>48</v>
      </c>
      <c r="D1484" s="28">
        <v>0.02</v>
      </c>
      <c r="E1484" s="29">
        <v>4.0599999999999996</v>
      </c>
      <c r="F1484" s="29">
        <v>6.89</v>
      </c>
      <c r="G1484" s="30" t="s">
        <v>87</v>
      </c>
      <c r="H1484" s="27" t="s">
        <v>3095</v>
      </c>
      <c r="I1484" s="27" t="s">
        <v>49</v>
      </c>
      <c r="J1484" s="27" t="s">
        <v>95</v>
      </c>
      <c r="K1484" s="27" t="s">
        <v>73</v>
      </c>
      <c r="L1484" s="31" t="s">
        <v>1271</v>
      </c>
      <c r="M1484" s="32">
        <v>0.6</v>
      </c>
      <c r="N1484" s="27" t="s">
        <v>33</v>
      </c>
      <c r="O1484" s="27" t="s">
        <v>111</v>
      </c>
      <c r="P1484" s="27" t="s">
        <v>320</v>
      </c>
      <c r="Q1484" s="27" t="s">
        <v>478</v>
      </c>
      <c r="R1484" s="33">
        <v>18103</v>
      </c>
      <c r="S1484" s="34">
        <v>42141</v>
      </c>
      <c r="T1484" s="34">
        <v>42145</v>
      </c>
      <c r="U1484" s="29">
        <v>12.706</v>
      </c>
      <c r="V1484" s="26">
        <v>12</v>
      </c>
      <c r="W1484" s="29">
        <v>64.41</v>
      </c>
      <c r="X1484" s="26">
        <v>88668</v>
      </c>
      <c r="Y1484" s="35">
        <v>62.01</v>
      </c>
      <c r="Z1484" s="1" t="s">
        <v>3014</v>
      </c>
      <c r="AA1484" s="36">
        <v>0.97439999999999993</v>
      </c>
      <c r="AB1484" s="54">
        <v>25.763999999999999</v>
      </c>
      <c r="AC1484" s="54">
        <v>3.2204999999999999</v>
      </c>
      <c r="AD1484" s="36">
        <v>43.839599999999997</v>
      </c>
    </row>
    <row r="1485" spans="1:30" s="37" customFormat="1" ht="15.75" customHeight="1" x14ac:dyDescent="0.2">
      <c r="A1485" s="26">
        <v>92</v>
      </c>
      <c r="B1485" s="27" t="s">
        <v>2543</v>
      </c>
      <c r="C1485" s="27" t="s">
        <v>38</v>
      </c>
      <c r="D1485" s="28">
        <v>0.09</v>
      </c>
      <c r="E1485" s="29">
        <v>4.9800000000000004</v>
      </c>
      <c r="F1485" s="29">
        <v>6.07</v>
      </c>
      <c r="G1485" s="30" t="s">
        <v>39</v>
      </c>
      <c r="H1485" s="27" t="s">
        <v>71</v>
      </c>
      <c r="I1485" s="27" t="s">
        <v>49</v>
      </c>
      <c r="J1485" s="27" t="s">
        <v>88</v>
      </c>
      <c r="K1485" s="27" t="s">
        <v>73</v>
      </c>
      <c r="L1485" s="31" t="s">
        <v>787</v>
      </c>
      <c r="M1485" s="32">
        <v>0.36</v>
      </c>
      <c r="N1485" s="27" t="s">
        <v>33</v>
      </c>
      <c r="O1485" s="27" t="s">
        <v>34</v>
      </c>
      <c r="P1485" s="27" t="s">
        <v>168</v>
      </c>
      <c r="Q1485" s="27" t="s">
        <v>2545</v>
      </c>
      <c r="R1485" s="33">
        <v>70056</v>
      </c>
      <c r="S1485" s="34">
        <v>42141</v>
      </c>
      <c r="T1485" s="34">
        <v>42142</v>
      </c>
      <c r="U1485" s="29">
        <v>325.39800000000002</v>
      </c>
      <c r="V1485" s="26">
        <v>9</v>
      </c>
      <c r="W1485" s="29">
        <v>45.34</v>
      </c>
      <c r="X1485" s="26">
        <v>87175</v>
      </c>
      <c r="Y1485" s="35">
        <v>34.47</v>
      </c>
      <c r="Z1485" s="1" t="s">
        <v>3011</v>
      </c>
      <c r="AA1485" s="36">
        <v>4.0338000000000003</v>
      </c>
      <c r="AB1485" s="54">
        <v>29.017600000000002</v>
      </c>
      <c r="AC1485" s="54">
        <v>1.8136000000000001</v>
      </c>
      <c r="AD1485" s="36">
        <v>-290.16179999999997</v>
      </c>
    </row>
    <row r="1486" spans="1:30" s="37" customFormat="1" ht="15.75" customHeight="1" x14ac:dyDescent="0.2">
      <c r="A1486" s="26">
        <v>2858</v>
      </c>
      <c r="B1486" s="27" t="s">
        <v>2551</v>
      </c>
      <c r="C1486" s="27" t="s">
        <v>116</v>
      </c>
      <c r="D1486" s="28">
        <v>0.06</v>
      </c>
      <c r="E1486" s="29">
        <v>2.94</v>
      </c>
      <c r="F1486" s="29">
        <v>0.96</v>
      </c>
      <c r="G1486" s="30" t="s">
        <v>39</v>
      </c>
      <c r="H1486" s="27" t="s">
        <v>94</v>
      </c>
      <c r="I1486" s="27" t="s">
        <v>49</v>
      </c>
      <c r="J1486" s="27" t="s">
        <v>50</v>
      </c>
      <c r="K1486" s="27" t="s">
        <v>51</v>
      </c>
      <c r="L1486" s="31" t="s">
        <v>829</v>
      </c>
      <c r="M1486" s="32">
        <v>0.57999999999999996</v>
      </c>
      <c r="N1486" s="27" t="s">
        <v>33</v>
      </c>
      <c r="O1486" s="27" t="s">
        <v>34</v>
      </c>
      <c r="P1486" s="27" t="s">
        <v>123</v>
      </c>
      <c r="Q1486" s="27" t="s">
        <v>1363</v>
      </c>
      <c r="R1486" s="33">
        <v>32259</v>
      </c>
      <c r="S1486" s="34">
        <v>42141</v>
      </c>
      <c r="T1486" s="34">
        <v>42142</v>
      </c>
      <c r="U1486" s="29">
        <v>-8.8759999999999994</v>
      </c>
      <c r="V1486" s="26">
        <v>3</v>
      </c>
      <c r="W1486" s="29">
        <v>8.7899999999999991</v>
      </c>
      <c r="X1486" s="26">
        <v>88279</v>
      </c>
      <c r="Y1486" s="35">
        <v>12.26</v>
      </c>
      <c r="Z1486" s="1" t="s">
        <v>3011</v>
      </c>
      <c r="AA1486" s="36">
        <v>0.5292</v>
      </c>
      <c r="AB1486" s="54">
        <v>3.6918000000000002</v>
      </c>
      <c r="AC1486" s="54">
        <v>1.6993999999999998</v>
      </c>
      <c r="AD1486" s="36">
        <v>16.1768</v>
      </c>
    </row>
    <row r="1487" spans="1:30" s="37" customFormat="1" ht="15.75" customHeight="1" x14ac:dyDescent="0.2">
      <c r="A1487" s="26">
        <v>1907</v>
      </c>
      <c r="B1487" s="27" t="s">
        <v>2549</v>
      </c>
      <c r="C1487" s="27" t="s">
        <v>48</v>
      </c>
      <c r="D1487" s="28">
        <v>0.09</v>
      </c>
      <c r="E1487" s="29">
        <v>7.64</v>
      </c>
      <c r="F1487" s="29">
        <v>1.39</v>
      </c>
      <c r="G1487" s="30" t="s">
        <v>39</v>
      </c>
      <c r="H1487" s="27" t="s">
        <v>94</v>
      </c>
      <c r="I1487" s="27" t="s">
        <v>49</v>
      </c>
      <c r="J1487" s="27" t="s">
        <v>345</v>
      </c>
      <c r="K1487" s="27" t="s">
        <v>73</v>
      </c>
      <c r="L1487" s="31" t="s">
        <v>1558</v>
      </c>
      <c r="M1487" s="32">
        <v>0.36</v>
      </c>
      <c r="N1487" s="27" t="s">
        <v>33</v>
      </c>
      <c r="O1487" s="27" t="s">
        <v>111</v>
      </c>
      <c r="P1487" s="27" t="s">
        <v>317</v>
      </c>
      <c r="Q1487" s="27" t="s">
        <v>2550</v>
      </c>
      <c r="R1487" s="33">
        <v>44052</v>
      </c>
      <c r="S1487" s="34">
        <v>42141</v>
      </c>
      <c r="T1487" s="34">
        <v>42150</v>
      </c>
      <c r="U1487" s="29">
        <v>0.68799999999999994</v>
      </c>
      <c r="V1487" s="26">
        <v>1</v>
      </c>
      <c r="W1487" s="29">
        <v>8.34</v>
      </c>
      <c r="X1487" s="26">
        <v>86500</v>
      </c>
      <c r="Y1487" s="35">
        <v>34.519999999999996</v>
      </c>
      <c r="Z1487" s="1" t="s">
        <v>3014</v>
      </c>
      <c r="AA1487" s="36">
        <v>0.68759999999999999</v>
      </c>
      <c r="AB1487" s="54">
        <v>5.3376000000000001</v>
      </c>
      <c r="AC1487" s="54">
        <v>3.0023999999999997</v>
      </c>
      <c r="AD1487" s="36">
        <v>5.5743999999999998</v>
      </c>
    </row>
    <row r="1488" spans="1:30" s="37" customFormat="1" ht="15.75" customHeight="1" x14ac:dyDescent="0.2">
      <c r="A1488" s="26">
        <v>266</v>
      </c>
      <c r="B1488" s="27" t="s">
        <v>2522</v>
      </c>
      <c r="C1488" s="27" t="s">
        <v>3094</v>
      </c>
      <c r="D1488" s="28">
        <v>0</v>
      </c>
      <c r="E1488" s="29">
        <v>73.98</v>
      </c>
      <c r="F1488" s="29">
        <v>12.14</v>
      </c>
      <c r="G1488" s="30" t="s">
        <v>87</v>
      </c>
      <c r="H1488" s="27" t="s">
        <v>94</v>
      </c>
      <c r="I1488" s="27" t="s">
        <v>41</v>
      </c>
      <c r="J1488" s="27" t="s">
        <v>42</v>
      </c>
      <c r="K1488" s="27" t="s">
        <v>73</v>
      </c>
      <c r="L1488" s="31" t="s">
        <v>733</v>
      </c>
      <c r="M1488" s="32">
        <v>0.67</v>
      </c>
      <c r="N1488" s="27" t="s">
        <v>33</v>
      </c>
      <c r="O1488" s="27" t="s">
        <v>53</v>
      </c>
      <c r="P1488" s="27" t="s">
        <v>187</v>
      </c>
      <c r="Q1488" s="27" t="s">
        <v>2524</v>
      </c>
      <c r="R1488" s="33">
        <v>78207</v>
      </c>
      <c r="S1488" s="34">
        <v>42142</v>
      </c>
      <c r="T1488" s="34">
        <v>42144</v>
      </c>
      <c r="U1488" s="29">
        <v>326.25</v>
      </c>
      <c r="V1488" s="26">
        <v>17</v>
      </c>
      <c r="W1488" s="29">
        <v>1300.81</v>
      </c>
      <c r="X1488" s="26">
        <v>90593</v>
      </c>
      <c r="Y1488" s="35">
        <v>1.7899999999999998</v>
      </c>
      <c r="Z1488" s="1" t="s">
        <v>3012</v>
      </c>
      <c r="AA1488" s="36">
        <v>0</v>
      </c>
      <c r="AB1488" s="54">
        <v>429.26729999999992</v>
      </c>
      <c r="AC1488" s="54">
        <v>51.267217647058828</v>
      </c>
      <c r="AD1488" s="36">
        <v>962.42</v>
      </c>
    </row>
    <row r="1489" spans="1:30" s="37" customFormat="1" ht="15.75" customHeight="1" x14ac:dyDescent="0.2">
      <c r="A1489" s="26">
        <v>489</v>
      </c>
      <c r="B1489" s="27" t="s">
        <v>2567</v>
      </c>
      <c r="C1489" s="27" t="s">
        <v>116</v>
      </c>
      <c r="D1489" s="28">
        <v>0.09</v>
      </c>
      <c r="E1489" s="29">
        <v>20.99</v>
      </c>
      <c r="F1489" s="29">
        <v>0.99</v>
      </c>
      <c r="G1489" s="30" t="s">
        <v>39</v>
      </c>
      <c r="H1489" s="27" t="s">
        <v>94</v>
      </c>
      <c r="I1489" s="27" t="s">
        <v>41</v>
      </c>
      <c r="J1489" s="27" t="s">
        <v>135</v>
      </c>
      <c r="K1489" s="27" t="s">
        <v>51</v>
      </c>
      <c r="L1489" s="31" t="s">
        <v>2331</v>
      </c>
      <c r="M1489" s="32">
        <v>0.56999999999999995</v>
      </c>
      <c r="N1489" s="27" t="s">
        <v>33</v>
      </c>
      <c r="O1489" s="27" t="s">
        <v>111</v>
      </c>
      <c r="P1489" s="27" t="s">
        <v>403</v>
      </c>
      <c r="Q1489" s="27" t="s">
        <v>2568</v>
      </c>
      <c r="R1489" s="33">
        <v>2062</v>
      </c>
      <c r="S1489" s="34">
        <v>42142</v>
      </c>
      <c r="T1489" s="34">
        <v>42142</v>
      </c>
      <c r="U1489" s="29">
        <v>122.292</v>
      </c>
      <c r="V1489" s="26">
        <v>14</v>
      </c>
      <c r="W1489" s="29">
        <v>229.57</v>
      </c>
      <c r="X1489" s="26">
        <v>91063</v>
      </c>
      <c r="Y1489" s="35">
        <v>10.940000000000001</v>
      </c>
      <c r="Z1489" s="1" t="s">
        <v>3014</v>
      </c>
      <c r="AA1489" s="36">
        <v>26.447399999999998</v>
      </c>
      <c r="AB1489" s="54">
        <v>98.715100000000007</v>
      </c>
      <c r="AC1489" s="54">
        <v>9.3467785714285689</v>
      </c>
      <c r="AD1489" s="36">
        <v>79.840599999999995</v>
      </c>
    </row>
    <row r="1490" spans="1:30" s="37" customFormat="1" ht="15.75" customHeight="1" x14ac:dyDescent="0.2">
      <c r="A1490" s="26">
        <v>1554</v>
      </c>
      <c r="B1490" s="27" t="s">
        <v>1148</v>
      </c>
      <c r="C1490" s="27" t="s">
        <v>38</v>
      </c>
      <c r="D1490" s="28">
        <v>0.04</v>
      </c>
      <c r="E1490" s="29">
        <v>10.98</v>
      </c>
      <c r="F1490" s="29">
        <v>3.99</v>
      </c>
      <c r="G1490" s="30" t="s">
        <v>39</v>
      </c>
      <c r="H1490" s="27" t="s">
        <v>3095</v>
      </c>
      <c r="I1490" s="27" t="s">
        <v>49</v>
      </c>
      <c r="J1490" s="27" t="s">
        <v>95</v>
      </c>
      <c r="K1490" s="27" t="s">
        <v>73</v>
      </c>
      <c r="L1490" s="31" t="s">
        <v>1693</v>
      </c>
      <c r="M1490" s="32">
        <v>0.57999999999999996</v>
      </c>
      <c r="N1490" s="27" t="s">
        <v>33</v>
      </c>
      <c r="O1490" s="27" t="s">
        <v>34</v>
      </c>
      <c r="P1490" s="27" t="s">
        <v>35</v>
      </c>
      <c r="Q1490" s="27" t="s">
        <v>1150</v>
      </c>
      <c r="R1490" s="33">
        <v>39503</v>
      </c>
      <c r="S1490" s="34">
        <v>42142</v>
      </c>
      <c r="T1490" s="34">
        <v>42142</v>
      </c>
      <c r="U1490" s="29">
        <v>481.03199999999998</v>
      </c>
      <c r="V1490" s="26">
        <v>15</v>
      </c>
      <c r="W1490" s="29">
        <v>172.22</v>
      </c>
      <c r="X1490" s="26">
        <v>87485</v>
      </c>
      <c r="Y1490" s="35">
        <v>39.940000000000005</v>
      </c>
      <c r="Z1490" s="1" t="s">
        <v>3011</v>
      </c>
      <c r="AA1490" s="36">
        <v>6.588000000000001</v>
      </c>
      <c r="AB1490" s="54">
        <v>72.332400000000007</v>
      </c>
      <c r="AC1490" s="54">
        <v>6.6591733333333334</v>
      </c>
      <c r="AD1490" s="36">
        <v>-319.39</v>
      </c>
    </row>
    <row r="1491" spans="1:30" s="37" customFormat="1" ht="15.75" customHeight="1" x14ac:dyDescent="0.2">
      <c r="A1491" s="26">
        <v>3086</v>
      </c>
      <c r="B1491" s="27" t="s">
        <v>2562</v>
      </c>
      <c r="C1491" s="27" t="s">
        <v>38</v>
      </c>
      <c r="D1491" s="28">
        <v>0.05</v>
      </c>
      <c r="E1491" s="29">
        <v>39.99</v>
      </c>
      <c r="F1491" s="29">
        <v>10.25</v>
      </c>
      <c r="G1491" s="30" t="s">
        <v>87</v>
      </c>
      <c r="H1491" s="27" t="s">
        <v>40</v>
      </c>
      <c r="I1491" s="27" t="s">
        <v>41</v>
      </c>
      <c r="J1491" s="27" t="s">
        <v>42</v>
      </c>
      <c r="K1491" s="27" t="s">
        <v>73</v>
      </c>
      <c r="L1491" s="31" t="s">
        <v>2563</v>
      </c>
      <c r="M1491" s="32">
        <v>0.55000000000000004</v>
      </c>
      <c r="N1491" s="27" t="s">
        <v>33</v>
      </c>
      <c r="O1491" s="27" t="s">
        <v>34</v>
      </c>
      <c r="P1491" s="27" t="s">
        <v>123</v>
      </c>
      <c r="Q1491" s="27" t="s">
        <v>2564</v>
      </c>
      <c r="R1491" s="33">
        <v>34287</v>
      </c>
      <c r="S1491" s="34">
        <v>42142</v>
      </c>
      <c r="T1491" s="34">
        <v>42143</v>
      </c>
      <c r="U1491" s="29">
        <v>4.29</v>
      </c>
      <c r="V1491" s="26">
        <v>3</v>
      </c>
      <c r="W1491" s="29">
        <v>130.91</v>
      </c>
      <c r="X1491" s="26">
        <v>88380</v>
      </c>
      <c r="Y1491" s="35">
        <v>3.26</v>
      </c>
      <c r="Z1491" s="1" t="s">
        <v>3011</v>
      </c>
      <c r="AA1491" s="36">
        <v>5.9985000000000008</v>
      </c>
      <c r="AB1491" s="54">
        <v>58.909499999999994</v>
      </c>
      <c r="AC1491" s="54">
        <v>24.000166666666665</v>
      </c>
      <c r="AD1491" s="36">
        <v>110.3715</v>
      </c>
    </row>
    <row r="1492" spans="1:30" s="37" customFormat="1" ht="15.75" customHeight="1" x14ac:dyDescent="0.2">
      <c r="A1492" s="26">
        <v>2035</v>
      </c>
      <c r="B1492" s="27" t="s">
        <v>2560</v>
      </c>
      <c r="C1492" s="27" t="s">
        <v>26</v>
      </c>
      <c r="D1492" s="28">
        <v>0.1</v>
      </c>
      <c r="E1492" s="29">
        <v>1.89</v>
      </c>
      <c r="F1492" s="29">
        <v>0.76</v>
      </c>
      <c r="G1492" s="30" t="s">
        <v>39</v>
      </c>
      <c r="H1492" s="27" t="s">
        <v>40</v>
      </c>
      <c r="I1492" s="27" t="s">
        <v>49</v>
      </c>
      <c r="J1492" s="27" t="s">
        <v>176</v>
      </c>
      <c r="K1492" s="27" t="s">
        <v>51</v>
      </c>
      <c r="L1492" s="31" t="s">
        <v>2561</v>
      </c>
      <c r="M1492" s="32">
        <v>0.83</v>
      </c>
      <c r="N1492" s="27" t="s">
        <v>33</v>
      </c>
      <c r="O1492" s="27" t="s">
        <v>34</v>
      </c>
      <c r="P1492" s="27" t="s">
        <v>123</v>
      </c>
      <c r="Q1492" s="27" t="s">
        <v>604</v>
      </c>
      <c r="R1492" s="33">
        <v>33403</v>
      </c>
      <c r="S1492" s="34">
        <v>42142</v>
      </c>
      <c r="T1492" s="34">
        <v>42144</v>
      </c>
      <c r="U1492" s="29">
        <v>-40.432000000000002</v>
      </c>
      <c r="V1492" s="26">
        <v>20</v>
      </c>
      <c r="W1492" s="29">
        <v>36.72</v>
      </c>
      <c r="X1492" s="26">
        <v>87117</v>
      </c>
      <c r="Y1492" s="35">
        <v>12.209999999999999</v>
      </c>
      <c r="Z1492" s="1" t="s">
        <v>3011</v>
      </c>
      <c r="AA1492" s="36">
        <v>3.7800000000000002</v>
      </c>
      <c r="AB1492" s="54">
        <v>6.2424000000000008</v>
      </c>
      <c r="AC1492" s="54">
        <v>1.5238799999999999</v>
      </c>
      <c r="AD1492" s="36">
        <v>72.611999999999995</v>
      </c>
    </row>
    <row r="1493" spans="1:30" s="37" customFormat="1" ht="15.75" customHeight="1" x14ac:dyDescent="0.2">
      <c r="A1493" s="26">
        <v>488</v>
      </c>
      <c r="B1493" s="27" t="s">
        <v>2566</v>
      </c>
      <c r="C1493" s="27" t="s">
        <v>116</v>
      </c>
      <c r="D1493" s="28">
        <v>7.0000000000000007E-2</v>
      </c>
      <c r="E1493" s="29">
        <v>12.28</v>
      </c>
      <c r="F1493" s="29">
        <v>4.8600000000000003</v>
      </c>
      <c r="G1493" s="30" t="s">
        <v>39</v>
      </c>
      <c r="H1493" s="27" t="s">
        <v>94</v>
      </c>
      <c r="I1493" s="27" t="s">
        <v>49</v>
      </c>
      <c r="J1493" s="27" t="s">
        <v>88</v>
      </c>
      <c r="K1493" s="27" t="s">
        <v>73</v>
      </c>
      <c r="L1493" s="31" t="s">
        <v>1860</v>
      </c>
      <c r="M1493" s="32">
        <v>0.38</v>
      </c>
      <c r="N1493" s="27" t="s">
        <v>33</v>
      </c>
      <c r="O1493" s="27" t="s">
        <v>111</v>
      </c>
      <c r="P1493" s="27" t="s">
        <v>331</v>
      </c>
      <c r="Q1493" s="27" t="s">
        <v>2427</v>
      </c>
      <c r="R1493" s="33">
        <v>4106</v>
      </c>
      <c r="S1493" s="34">
        <v>42142</v>
      </c>
      <c r="T1493" s="34">
        <v>42144</v>
      </c>
      <c r="U1493" s="29">
        <v>-7.94</v>
      </c>
      <c r="V1493" s="26">
        <v>2</v>
      </c>
      <c r="W1493" s="29">
        <v>25.7</v>
      </c>
      <c r="X1493" s="26">
        <v>91063</v>
      </c>
      <c r="Y1493" s="35">
        <v>20.9</v>
      </c>
      <c r="Z1493" s="1" t="s">
        <v>3014</v>
      </c>
      <c r="AA1493" s="36">
        <v>1.7192000000000001</v>
      </c>
      <c r="AB1493" s="54">
        <v>15.933999999999999</v>
      </c>
      <c r="AC1493" s="54">
        <v>4.883</v>
      </c>
      <c r="AD1493" s="36">
        <v>27.0608</v>
      </c>
    </row>
    <row r="1494" spans="1:30" s="37" customFormat="1" ht="15.75" customHeight="1" x14ac:dyDescent="0.2">
      <c r="A1494" s="26">
        <v>487</v>
      </c>
      <c r="B1494" s="27" t="s">
        <v>2565</v>
      </c>
      <c r="C1494" s="27" t="s">
        <v>116</v>
      </c>
      <c r="D1494" s="28">
        <v>0.1</v>
      </c>
      <c r="E1494" s="29">
        <v>3.36</v>
      </c>
      <c r="F1494" s="29">
        <v>6.27</v>
      </c>
      <c r="G1494" s="30" t="s">
        <v>87</v>
      </c>
      <c r="H1494" s="27" t="s">
        <v>94</v>
      </c>
      <c r="I1494" s="27" t="s">
        <v>49</v>
      </c>
      <c r="J1494" s="27" t="s">
        <v>72</v>
      </c>
      <c r="K1494" s="27" t="s">
        <v>73</v>
      </c>
      <c r="L1494" s="31" t="s">
        <v>186</v>
      </c>
      <c r="M1494" s="32">
        <v>0.4</v>
      </c>
      <c r="N1494" s="27" t="s">
        <v>33</v>
      </c>
      <c r="O1494" s="27" t="s">
        <v>111</v>
      </c>
      <c r="P1494" s="27" t="s">
        <v>331</v>
      </c>
      <c r="Q1494" s="27" t="s">
        <v>332</v>
      </c>
      <c r="R1494" s="33">
        <v>4073</v>
      </c>
      <c r="S1494" s="34">
        <v>42142</v>
      </c>
      <c r="T1494" s="34">
        <v>42143</v>
      </c>
      <c r="U1494" s="29">
        <v>-67.0565</v>
      </c>
      <c r="V1494" s="26">
        <v>5</v>
      </c>
      <c r="W1494" s="29">
        <v>20.87</v>
      </c>
      <c r="X1494" s="26">
        <v>91063</v>
      </c>
      <c r="Y1494" s="35">
        <v>73.98</v>
      </c>
      <c r="Z1494" s="1" t="s">
        <v>3014</v>
      </c>
      <c r="AA1494" s="36">
        <v>1.6800000000000002</v>
      </c>
      <c r="AB1494" s="54">
        <v>12.522</v>
      </c>
      <c r="AC1494" s="54">
        <v>1.6696000000000002</v>
      </c>
      <c r="AD1494" s="36">
        <v>79.976500000000001</v>
      </c>
    </row>
    <row r="1495" spans="1:30" s="37" customFormat="1" ht="15.75" customHeight="1" x14ac:dyDescent="0.2">
      <c r="A1495" s="26">
        <v>1433</v>
      </c>
      <c r="B1495" s="27" t="s">
        <v>1513</v>
      </c>
      <c r="C1495" s="27" t="s">
        <v>38</v>
      </c>
      <c r="D1495" s="28">
        <v>7.0000000000000007E-2</v>
      </c>
      <c r="E1495" s="29">
        <v>300.98</v>
      </c>
      <c r="F1495" s="29">
        <v>64.73</v>
      </c>
      <c r="G1495" s="30" t="s">
        <v>27</v>
      </c>
      <c r="H1495" s="27" t="s">
        <v>94</v>
      </c>
      <c r="I1495" s="27" t="s">
        <v>29</v>
      </c>
      <c r="J1495" s="27" t="s">
        <v>109</v>
      </c>
      <c r="K1495" s="27" t="s">
        <v>58</v>
      </c>
      <c r="L1495" s="31" t="s">
        <v>1340</v>
      </c>
      <c r="M1495" s="32">
        <v>0.56000000000000005</v>
      </c>
      <c r="N1495" s="27" t="s">
        <v>33</v>
      </c>
      <c r="O1495" s="27" t="s">
        <v>53</v>
      </c>
      <c r="P1495" s="27" t="s">
        <v>54</v>
      </c>
      <c r="Q1495" s="27" t="s">
        <v>1514</v>
      </c>
      <c r="R1495" s="33">
        <v>47130</v>
      </c>
      <c r="S1495" s="34">
        <v>42143</v>
      </c>
      <c r="T1495" s="34">
        <v>42145</v>
      </c>
      <c r="U1495" s="29">
        <v>1399.64</v>
      </c>
      <c r="V1495" s="26">
        <v>14</v>
      </c>
      <c r="W1495" s="29">
        <v>4285.5600000000004</v>
      </c>
      <c r="X1495" s="26">
        <v>86828</v>
      </c>
      <c r="Y1495" s="35">
        <v>300.91000000000003</v>
      </c>
      <c r="Z1495" s="1" t="s">
        <v>3012</v>
      </c>
      <c r="AA1495" s="36">
        <v>294.96040000000005</v>
      </c>
      <c r="AB1495" s="54">
        <v>1885.6463999999999</v>
      </c>
      <c r="AC1495" s="54">
        <v>171.42240000000001</v>
      </c>
      <c r="AD1495" s="36">
        <v>2526.2296000000001</v>
      </c>
    </row>
    <row r="1496" spans="1:30" s="37" customFormat="1" ht="15.75" customHeight="1" x14ac:dyDescent="0.2">
      <c r="A1496" s="26">
        <v>2431</v>
      </c>
      <c r="B1496" s="27" t="s">
        <v>2570</v>
      </c>
      <c r="C1496" s="27" t="s">
        <v>38</v>
      </c>
      <c r="D1496" s="28">
        <v>7.0000000000000007E-2</v>
      </c>
      <c r="E1496" s="29">
        <v>155.06</v>
      </c>
      <c r="F1496" s="29">
        <v>7.07</v>
      </c>
      <c r="G1496" s="30" t="s">
        <v>39</v>
      </c>
      <c r="H1496" s="27" t="s">
        <v>40</v>
      </c>
      <c r="I1496" s="27" t="s">
        <v>49</v>
      </c>
      <c r="J1496" s="27" t="s">
        <v>78</v>
      </c>
      <c r="K1496" s="27" t="s">
        <v>73</v>
      </c>
      <c r="L1496" s="31" t="s">
        <v>106</v>
      </c>
      <c r="M1496" s="32">
        <v>0.59</v>
      </c>
      <c r="N1496" s="27" t="s">
        <v>33</v>
      </c>
      <c r="O1496" s="27" t="s">
        <v>60</v>
      </c>
      <c r="P1496" s="27" t="s">
        <v>90</v>
      </c>
      <c r="Q1496" s="27" t="s">
        <v>100</v>
      </c>
      <c r="R1496" s="33">
        <v>90004</v>
      </c>
      <c r="S1496" s="34">
        <v>42143</v>
      </c>
      <c r="T1496" s="34">
        <v>42143</v>
      </c>
      <c r="U1496" s="29">
        <v>-121.75</v>
      </c>
      <c r="V1496" s="26">
        <v>14</v>
      </c>
      <c r="W1496" s="29">
        <v>2039.07</v>
      </c>
      <c r="X1496" s="26">
        <v>5920</v>
      </c>
      <c r="Y1496" s="35">
        <v>20.97</v>
      </c>
      <c r="Z1496" s="1" t="s">
        <v>3013</v>
      </c>
      <c r="AA1496" s="36">
        <v>151.9588</v>
      </c>
      <c r="AB1496" s="54">
        <v>836.01870000000008</v>
      </c>
      <c r="AC1496" s="54">
        <v>85.93223571428571</v>
      </c>
      <c r="AD1496" s="36">
        <v>2001.7911999999999</v>
      </c>
    </row>
    <row r="1497" spans="1:30" s="37" customFormat="1" ht="15.75" customHeight="1" x14ac:dyDescent="0.2">
      <c r="A1497" s="26">
        <v>1433</v>
      </c>
      <c r="B1497" s="27" t="s">
        <v>1513</v>
      </c>
      <c r="C1497" s="27" t="s">
        <v>38</v>
      </c>
      <c r="D1497" s="28">
        <v>0.01</v>
      </c>
      <c r="E1497" s="29">
        <v>20.98</v>
      </c>
      <c r="F1497" s="29">
        <v>45</v>
      </c>
      <c r="G1497" s="30" t="s">
        <v>27</v>
      </c>
      <c r="H1497" s="27" t="s">
        <v>94</v>
      </c>
      <c r="I1497" s="27" t="s">
        <v>49</v>
      </c>
      <c r="J1497" s="27" t="s">
        <v>78</v>
      </c>
      <c r="K1497" s="27" t="s">
        <v>58</v>
      </c>
      <c r="L1497" s="31" t="s">
        <v>2569</v>
      </c>
      <c r="M1497" s="32">
        <v>0.61</v>
      </c>
      <c r="N1497" s="27" t="s">
        <v>33</v>
      </c>
      <c r="O1497" s="27" t="s">
        <v>53</v>
      </c>
      <c r="P1497" s="27" t="s">
        <v>54</v>
      </c>
      <c r="Q1497" s="27" t="s">
        <v>1514</v>
      </c>
      <c r="R1497" s="33">
        <v>47130</v>
      </c>
      <c r="S1497" s="34">
        <v>42143</v>
      </c>
      <c r="T1497" s="34">
        <v>42143</v>
      </c>
      <c r="U1497" s="29">
        <v>232.642</v>
      </c>
      <c r="V1497" s="26">
        <v>28</v>
      </c>
      <c r="W1497" s="29">
        <v>631.37</v>
      </c>
      <c r="X1497" s="26">
        <v>86828</v>
      </c>
      <c r="Y1497" s="35">
        <v>154.99</v>
      </c>
      <c r="Z1497" s="1" t="s">
        <v>3012</v>
      </c>
      <c r="AA1497" s="36">
        <v>5.8744000000000005</v>
      </c>
      <c r="AB1497" s="54">
        <v>246.23430000000002</v>
      </c>
      <c r="AC1497" s="54">
        <v>13.754846428571428</v>
      </c>
      <c r="AD1497" s="36">
        <v>347.85360000000003</v>
      </c>
    </row>
    <row r="1498" spans="1:30" s="37" customFormat="1" ht="15.75" customHeight="1" x14ac:dyDescent="0.2">
      <c r="A1498" s="26">
        <v>2432</v>
      </c>
      <c r="B1498" s="27" t="s">
        <v>2571</v>
      </c>
      <c r="C1498" s="27" t="s">
        <v>38</v>
      </c>
      <c r="D1498" s="28">
        <v>7.0000000000000007E-2</v>
      </c>
      <c r="E1498" s="29">
        <v>155.06</v>
      </c>
      <c r="F1498" s="29">
        <v>7.07</v>
      </c>
      <c r="G1498" s="30" t="s">
        <v>39</v>
      </c>
      <c r="H1498" s="27" t="s">
        <v>40</v>
      </c>
      <c r="I1498" s="27" t="s">
        <v>49</v>
      </c>
      <c r="J1498" s="27" t="s">
        <v>78</v>
      </c>
      <c r="K1498" s="27" t="s">
        <v>73</v>
      </c>
      <c r="L1498" s="31" t="s">
        <v>106</v>
      </c>
      <c r="M1498" s="32">
        <v>0.59</v>
      </c>
      <c r="N1498" s="27" t="s">
        <v>33</v>
      </c>
      <c r="O1498" s="27" t="s">
        <v>53</v>
      </c>
      <c r="P1498" s="27" t="s">
        <v>207</v>
      </c>
      <c r="Q1498" s="27" t="s">
        <v>2572</v>
      </c>
      <c r="R1498" s="33">
        <v>73110</v>
      </c>
      <c r="S1498" s="34">
        <v>42143</v>
      </c>
      <c r="T1498" s="34">
        <v>42143</v>
      </c>
      <c r="U1498" s="29">
        <v>24.35</v>
      </c>
      <c r="V1498" s="26">
        <v>3</v>
      </c>
      <c r="W1498" s="29">
        <v>436.94</v>
      </c>
      <c r="X1498" s="26">
        <v>89096</v>
      </c>
      <c r="Y1498" s="35">
        <v>154.99</v>
      </c>
      <c r="Z1498" s="1" t="s">
        <v>3012</v>
      </c>
      <c r="AA1498" s="36">
        <v>32.562600000000003</v>
      </c>
      <c r="AB1498" s="54">
        <v>179.14540000000002</v>
      </c>
      <c r="AC1498" s="54">
        <v>85.931533333333334</v>
      </c>
      <c r="AD1498" s="36">
        <v>372.95740000000001</v>
      </c>
    </row>
    <row r="1499" spans="1:30" s="37" customFormat="1" ht="15.75" customHeight="1" x14ac:dyDescent="0.2">
      <c r="A1499" s="26">
        <v>3264</v>
      </c>
      <c r="B1499" s="27" t="s">
        <v>2573</v>
      </c>
      <c r="C1499" s="27" t="s">
        <v>116</v>
      </c>
      <c r="D1499" s="28">
        <v>0.04</v>
      </c>
      <c r="E1499" s="29">
        <v>9.99</v>
      </c>
      <c r="F1499" s="29">
        <v>11.59</v>
      </c>
      <c r="G1499" s="30" t="s">
        <v>39</v>
      </c>
      <c r="H1499" s="27" t="s">
        <v>94</v>
      </c>
      <c r="I1499" s="27" t="s">
        <v>49</v>
      </c>
      <c r="J1499" s="27" t="s">
        <v>88</v>
      </c>
      <c r="K1499" s="27" t="s">
        <v>73</v>
      </c>
      <c r="L1499" s="31" t="s">
        <v>2200</v>
      </c>
      <c r="M1499" s="32">
        <v>0.4</v>
      </c>
      <c r="N1499" s="27" t="s">
        <v>33</v>
      </c>
      <c r="O1499" s="27" t="s">
        <v>60</v>
      </c>
      <c r="P1499" s="27" t="s">
        <v>90</v>
      </c>
      <c r="Q1499" s="27" t="s">
        <v>2574</v>
      </c>
      <c r="R1499" s="33">
        <v>95501</v>
      </c>
      <c r="S1499" s="34">
        <v>42143</v>
      </c>
      <c r="T1499" s="34">
        <v>42145</v>
      </c>
      <c r="U1499" s="29">
        <v>-92.32</v>
      </c>
      <c r="V1499" s="26">
        <v>5</v>
      </c>
      <c r="W1499" s="29">
        <v>52.09</v>
      </c>
      <c r="X1499" s="26">
        <v>89835</v>
      </c>
      <c r="Y1499" s="35">
        <v>9.9500000000000011</v>
      </c>
      <c r="Z1499" s="1" t="s">
        <v>3013</v>
      </c>
      <c r="AA1499" s="36">
        <v>1.998</v>
      </c>
      <c r="AB1499" s="54">
        <v>31.254000000000001</v>
      </c>
      <c r="AC1499" s="54">
        <v>4.1672000000000002</v>
      </c>
      <c r="AD1499" s="36">
        <v>130.822</v>
      </c>
    </row>
    <row r="1500" spans="1:30" s="37" customFormat="1" ht="15.75" customHeight="1" x14ac:dyDescent="0.2">
      <c r="A1500" s="26">
        <v>2162</v>
      </c>
      <c r="B1500" s="27" t="s">
        <v>2588</v>
      </c>
      <c r="C1500" s="27" t="s">
        <v>116</v>
      </c>
      <c r="D1500" s="28">
        <v>0.09</v>
      </c>
      <c r="E1500" s="29">
        <v>159.31</v>
      </c>
      <c r="F1500" s="29">
        <v>60</v>
      </c>
      <c r="G1500" s="30" t="s">
        <v>27</v>
      </c>
      <c r="H1500" s="27" t="s">
        <v>94</v>
      </c>
      <c r="I1500" s="27" t="s">
        <v>29</v>
      </c>
      <c r="J1500" s="27" t="s">
        <v>30</v>
      </c>
      <c r="K1500" s="27" t="s">
        <v>58</v>
      </c>
      <c r="L1500" s="31" t="s">
        <v>2589</v>
      </c>
      <c r="M1500" s="32">
        <v>0.55000000000000004</v>
      </c>
      <c r="N1500" s="27" t="s">
        <v>33</v>
      </c>
      <c r="O1500" s="27" t="s">
        <v>111</v>
      </c>
      <c r="P1500" s="27" t="s">
        <v>320</v>
      </c>
      <c r="Q1500" s="27" t="s">
        <v>2590</v>
      </c>
      <c r="R1500" s="33">
        <v>16146</v>
      </c>
      <c r="S1500" s="34">
        <v>42144</v>
      </c>
      <c r="T1500" s="34">
        <v>42146</v>
      </c>
      <c r="U1500" s="29">
        <v>77.000895400000005</v>
      </c>
      <c r="V1500" s="26">
        <v>41</v>
      </c>
      <c r="W1500" s="29">
        <v>6173.42</v>
      </c>
      <c r="X1500" s="26">
        <v>90387</v>
      </c>
      <c r="Y1500" s="35">
        <v>58.05</v>
      </c>
      <c r="Z1500" s="1" t="s">
        <v>3014</v>
      </c>
      <c r="AA1500" s="36">
        <v>587.85389999999995</v>
      </c>
      <c r="AB1500" s="54">
        <v>2778.0389999999998</v>
      </c>
      <c r="AC1500" s="54">
        <v>82.814170731707321</v>
      </c>
      <c r="AD1500" s="36">
        <v>5448.5652046000005</v>
      </c>
    </row>
    <row r="1501" spans="1:30" s="37" customFormat="1" ht="15.75" customHeight="1" x14ac:dyDescent="0.2">
      <c r="A1501" s="26">
        <v>1708</v>
      </c>
      <c r="B1501" s="27" t="s">
        <v>597</v>
      </c>
      <c r="C1501" s="27" t="s">
        <v>3094</v>
      </c>
      <c r="D1501" s="28">
        <v>0.03</v>
      </c>
      <c r="E1501" s="29">
        <v>205.99</v>
      </c>
      <c r="F1501" s="29">
        <v>3</v>
      </c>
      <c r="G1501" s="30" t="s">
        <v>39</v>
      </c>
      <c r="H1501" s="27" t="s">
        <v>3095</v>
      </c>
      <c r="I1501" s="27" t="s">
        <v>41</v>
      </c>
      <c r="J1501" s="27" t="s">
        <v>135</v>
      </c>
      <c r="K1501" s="27" t="s">
        <v>73</v>
      </c>
      <c r="L1501" s="31" t="s">
        <v>423</v>
      </c>
      <c r="M1501" s="32">
        <v>0.57999999999999996</v>
      </c>
      <c r="N1501" s="27" t="s">
        <v>33</v>
      </c>
      <c r="O1501" s="27" t="s">
        <v>111</v>
      </c>
      <c r="P1501" s="27" t="s">
        <v>317</v>
      </c>
      <c r="Q1501" s="27" t="s">
        <v>599</v>
      </c>
      <c r="R1501" s="33">
        <v>44118</v>
      </c>
      <c r="S1501" s="34">
        <v>42144</v>
      </c>
      <c r="T1501" s="34">
        <v>42145</v>
      </c>
      <c r="U1501" s="29">
        <v>3670.3515000000002</v>
      </c>
      <c r="V1501" s="26">
        <v>29</v>
      </c>
      <c r="W1501" s="29">
        <v>5319.35</v>
      </c>
      <c r="X1501" s="26">
        <v>88784</v>
      </c>
      <c r="Y1501" s="35">
        <v>442.03999999999996</v>
      </c>
      <c r="Z1501" s="1" t="s">
        <v>3014</v>
      </c>
      <c r="AA1501" s="36">
        <v>179.21130000000002</v>
      </c>
      <c r="AB1501" s="54">
        <v>2234.1270000000004</v>
      </c>
      <c r="AC1501" s="54">
        <v>106.387</v>
      </c>
      <c r="AD1501" s="36">
        <v>1466.7872000000002</v>
      </c>
    </row>
    <row r="1502" spans="1:30" s="37" customFormat="1" ht="15.75" customHeight="1" x14ac:dyDescent="0.2">
      <c r="A1502" s="26">
        <v>2346</v>
      </c>
      <c r="B1502" s="27" t="s">
        <v>386</v>
      </c>
      <c r="C1502" s="27" t="s">
        <v>38</v>
      </c>
      <c r="D1502" s="28">
        <v>0.1</v>
      </c>
      <c r="E1502" s="29">
        <v>218.75</v>
      </c>
      <c r="F1502" s="29">
        <v>69.64</v>
      </c>
      <c r="G1502" s="30" t="s">
        <v>27</v>
      </c>
      <c r="H1502" s="27" t="s">
        <v>94</v>
      </c>
      <c r="I1502" s="27" t="s">
        <v>29</v>
      </c>
      <c r="J1502" s="27" t="s">
        <v>30</v>
      </c>
      <c r="K1502" s="27" t="s">
        <v>31</v>
      </c>
      <c r="L1502" s="31" t="s">
        <v>874</v>
      </c>
      <c r="M1502" s="32">
        <v>0.77</v>
      </c>
      <c r="N1502" s="27" t="s">
        <v>33</v>
      </c>
      <c r="O1502" s="27" t="s">
        <v>34</v>
      </c>
      <c r="P1502" s="27" t="s">
        <v>388</v>
      </c>
      <c r="Q1502" s="27" t="s">
        <v>389</v>
      </c>
      <c r="R1502" s="33">
        <v>40258</v>
      </c>
      <c r="S1502" s="34">
        <v>42144</v>
      </c>
      <c r="T1502" s="34">
        <v>42145</v>
      </c>
      <c r="U1502" s="29">
        <v>62.298000000000002</v>
      </c>
      <c r="V1502" s="26">
        <v>17</v>
      </c>
      <c r="W1502" s="29">
        <v>2805.18</v>
      </c>
      <c r="X1502" s="26">
        <v>89505</v>
      </c>
      <c r="Y1502" s="35">
        <v>100.94</v>
      </c>
      <c r="Z1502" s="1" t="s">
        <v>3011</v>
      </c>
      <c r="AA1502" s="36">
        <v>371.875</v>
      </c>
      <c r="AB1502" s="54">
        <v>645.19139999999993</v>
      </c>
      <c r="AC1502" s="54">
        <v>127.05815294117646</v>
      </c>
      <c r="AD1502" s="36">
        <v>2301.3669999999997</v>
      </c>
    </row>
    <row r="1503" spans="1:30" s="37" customFormat="1" ht="15.75" customHeight="1" x14ac:dyDescent="0.2">
      <c r="A1503" s="26">
        <v>2973</v>
      </c>
      <c r="B1503" s="27" t="s">
        <v>2161</v>
      </c>
      <c r="C1503" s="27" t="s">
        <v>26</v>
      </c>
      <c r="D1503" s="28">
        <v>0.1</v>
      </c>
      <c r="E1503" s="29">
        <v>442.14</v>
      </c>
      <c r="F1503" s="29">
        <v>14.7</v>
      </c>
      <c r="G1503" s="30" t="s">
        <v>27</v>
      </c>
      <c r="H1503" s="27" t="s">
        <v>71</v>
      </c>
      <c r="I1503" s="27" t="s">
        <v>41</v>
      </c>
      <c r="J1503" s="27" t="s">
        <v>57</v>
      </c>
      <c r="K1503" s="27" t="s">
        <v>58</v>
      </c>
      <c r="L1503" s="31" t="s">
        <v>1312</v>
      </c>
      <c r="M1503" s="32">
        <v>0.56000000000000005</v>
      </c>
      <c r="N1503" s="27" t="s">
        <v>33</v>
      </c>
      <c r="O1503" s="27" t="s">
        <v>53</v>
      </c>
      <c r="P1503" s="27" t="s">
        <v>357</v>
      </c>
      <c r="Q1503" s="27" t="s">
        <v>2163</v>
      </c>
      <c r="R1503" s="33">
        <v>53151</v>
      </c>
      <c r="S1503" s="34">
        <v>42144</v>
      </c>
      <c r="T1503" s="34">
        <v>42145</v>
      </c>
      <c r="U1503" s="29">
        <v>137.68794</v>
      </c>
      <c r="V1503" s="26">
        <v>6</v>
      </c>
      <c r="W1503" s="29">
        <v>2411.4299999999998</v>
      </c>
      <c r="X1503" s="26">
        <v>87187</v>
      </c>
      <c r="Y1503" s="35">
        <v>218.65</v>
      </c>
      <c r="Z1503" s="1" t="s">
        <v>3012</v>
      </c>
      <c r="AA1503" s="36">
        <v>265.28399999999999</v>
      </c>
      <c r="AB1503" s="54">
        <v>1061.0291999999997</v>
      </c>
      <c r="AC1503" s="54">
        <v>225.0668</v>
      </c>
      <c r="AD1503" s="36">
        <v>1993.7580599999999</v>
      </c>
    </row>
    <row r="1504" spans="1:30" s="37" customFormat="1" ht="15.75" customHeight="1" x14ac:dyDescent="0.2">
      <c r="A1504" s="26">
        <v>918</v>
      </c>
      <c r="B1504" s="27" t="s">
        <v>2144</v>
      </c>
      <c r="C1504" s="27" t="s">
        <v>26</v>
      </c>
      <c r="D1504" s="28">
        <v>0.09</v>
      </c>
      <c r="E1504" s="29">
        <v>58.14</v>
      </c>
      <c r="F1504" s="29">
        <v>36.61</v>
      </c>
      <c r="G1504" s="30" t="s">
        <v>27</v>
      </c>
      <c r="H1504" s="27" t="s">
        <v>94</v>
      </c>
      <c r="I1504" s="27" t="s">
        <v>29</v>
      </c>
      <c r="J1504" s="27" t="s">
        <v>117</v>
      </c>
      <c r="K1504" s="27" t="s">
        <v>31</v>
      </c>
      <c r="L1504" s="31" t="s">
        <v>2575</v>
      </c>
      <c r="M1504" s="32">
        <v>0.61</v>
      </c>
      <c r="N1504" s="27" t="s">
        <v>33</v>
      </c>
      <c r="O1504" s="27" t="s">
        <v>60</v>
      </c>
      <c r="P1504" s="27" t="s">
        <v>90</v>
      </c>
      <c r="Q1504" s="27" t="s">
        <v>2146</v>
      </c>
      <c r="R1504" s="33">
        <v>91730</v>
      </c>
      <c r="S1504" s="34">
        <v>42144</v>
      </c>
      <c r="T1504" s="34">
        <v>42145</v>
      </c>
      <c r="U1504" s="29">
        <v>187.41200000000001</v>
      </c>
      <c r="V1504" s="26">
        <v>39</v>
      </c>
      <c r="W1504" s="29">
        <v>2115.06</v>
      </c>
      <c r="X1504" s="26">
        <v>90493</v>
      </c>
      <c r="Y1504" s="35">
        <v>27.46</v>
      </c>
      <c r="Z1504" s="1" t="s">
        <v>3013</v>
      </c>
      <c r="AA1504" s="36">
        <v>204.07139999999998</v>
      </c>
      <c r="AB1504" s="54">
        <v>824.87340000000006</v>
      </c>
      <c r="AC1504" s="54">
        <v>33.081707692307688</v>
      </c>
      <c r="AD1504" s="36">
        <v>1686.9666</v>
      </c>
    </row>
    <row r="1505" spans="1:30" s="37" customFormat="1" ht="15.75" customHeight="1" x14ac:dyDescent="0.2">
      <c r="A1505" s="26">
        <v>2162</v>
      </c>
      <c r="B1505" s="27" t="s">
        <v>2588</v>
      </c>
      <c r="C1505" s="27" t="s">
        <v>116</v>
      </c>
      <c r="D1505" s="28">
        <v>0.06</v>
      </c>
      <c r="E1505" s="29">
        <v>55.99</v>
      </c>
      <c r="F1505" s="29">
        <v>5</v>
      </c>
      <c r="G1505" s="30" t="s">
        <v>39</v>
      </c>
      <c r="H1505" s="27" t="s">
        <v>94</v>
      </c>
      <c r="I1505" s="27" t="s">
        <v>41</v>
      </c>
      <c r="J1505" s="27" t="s">
        <v>135</v>
      </c>
      <c r="K1505" s="27" t="s">
        <v>43</v>
      </c>
      <c r="L1505" s="31" t="s">
        <v>1938</v>
      </c>
      <c r="M1505" s="32">
        <v>0.83</v>
      </c>
      <c r="N1505" s="27" t="s">
        <v>33</v>
      </c>
      <c r="O1505" s="27" t="s">
        <v>111</v>
      </c>
      <c r="P1505" s="27" t="s">
        <v>320</v>
      </c>
      <c r="Q1505" s="27" t="s">
        <v>2590</v>
      </c>
      <c r="R1505" s="33">
        <v>16146</v>
      </c>
      <c r="S1505" s="34">
        <v>42144</v>
      </c>
      <c r="T1505" s="34">
        <v>42146</v>
      </c>
      <c r="U1505" s="29">
        <v>27.968599999999999</v>
      </c>
      <c r="V1505" s="26">
        <v>33</v>
      </c>
      <c r="W1505" s="29">
        <v>1553.7</v>
      </c>
      <c r="X1505" s="26">
        <v>90387</v>
      </c>
      <c r="Y1505" s="35">
        <v>9.98</v>
      </c>
      <c r="Z1505" s="1" t="s">
        <v>3014</v>
      </c>
      <c r="AA1505" s="36">
        <v>110.86019999999999</v>
      </c>
      <c r="AB1505" s="54">
        <v>264.12900000000008</v>
      </c>
      <c r="AC1505" s="54">
        <v>39.077909090909095</v>
      </c>
      <c r="AD1505" s="36">
        <v>1409.8712</v>
      </c>
    </row>
    <row r="1506" spans="1:30" s="37" customFormat="1" ht="15.75" customHeight="1" x14ac:dyDescent="0.2">
      <c r="A1506" s="26">
        <v>922</v>
      </c>
      <c r="B1506" s="27" t="s">
        <v>2593</v>
      </c>
      <c r="C1506" s="27" t="s">
        <v>3094</v>
      </c>
      <c r="D1506" s="28">
        <v>0.01</v>
      </c>
      <c r="E1506" s="29">
        <v>65.989999999999995</v>
      </c>
      <c r="F1506" s="29">
        <v>8.99</v>
      </c>
      <c r="G1506" s="30" t="s">
        <v>87</v>
      </c>
      <c r="H1506" s="27" t="s">
        <v>3095</v>
      </c>
      <c r="I1506" s="27" t="s">
        <v>41</v>
      </c>
      <c r="J1506" s="27" t="s">
        <v>135</v>
      </c>
      <c r="K1506" s="27" t="s">
        <v>73</v>
      </c>
      <c r="L1506" s="31" t="s">
        <v>2594</v>
      </c>
      <c r="M1506" s="32">
        <v>0.56000000000000005</v>
      </c>
      <c r="N1506" s="27" t="s">
        <v>33</v>
      </c>
      <c r="O1506" s="27" t="s">
        <v>60</v>
      </c>
      <c r="P1506" s="27" t="s">
        <v>90</v>
      </c>
      <c r="Q1506" s="27" t="s">
        <v>2146</v>
      </c>
      <c r="R1506" s="33">
        <v>91730</v>
      </c>
      <c r="S1506" s="34">
        <v>42144</v>
      </c>
      <c r="T1506" s="34">
        <v>42145</v>
      </c>
      <c r="U1506" s="29">
        <v>396.97199999999998</v>
      </c>
      <c r="V1506" s="26">
        <v>14</v>
      </c>
      <c r="W1506" s="29">
        <v>782</v>
      </c>
      <c r="X1506" s="26">
        <v>87135</v>
      </c>
      <c r="Y1506" s="35">
        <v>4.16</v>
      </c>
      <c r="Z1506" s="1" t="s">
        <v>3013</v>
      </c>
      <c r="AA1506" s="36">
        <v>9.2385999999999981</v>
      </c>
      <c r="AB1506" s="54">
        <v>344.08</v>
      </c>
      <c r="AC1506" s="54">
        <v>31.28</v>
      </c>
      <c r="AD1506" s="36">
        <v>366.79939999999999</v>
      </c>
    </row>
    <row r="1507" spans="1:30" s="37" customFormat="1" ht="15.75" customHeight="1" x14ac:dyDescent="0.2">
      <c r="A1507" s="26">
        <v>2159</v>
      </c>
      <c r="B1507" s="27" t="s">
        <v>2585</v>
      </c>
      <c r="C1507" s="27" t="s">
        <v>116</v>
      </c>
      <c r="D1507" s="28">
        <v>0.08</v>
      </c>
      <c r="E1507" s="29">
        <v>30.98</v>
      </c>
      <c r="F1507" s="29">
        <v>8.74</v>
      </c>
      <c r="G1507" s="30" t="s">
        <v>39</v>
      </c>
      <c r="H1507" s="27" t="s">
        <v>94</v>
      </c>
      <c r="I1507" s="27" t="s">
        <v>49</v>
      </c>
      <c r="J1507" s="27" t="s">
        <v>88</v>
      </c>
      <c r="K1507" s="27" t="s">
        <v>73</v>
      </c>
      <c r="L1507" s="31" t="s">
        <v>2586</v>
      </c>
      <c r="M1507" s="32">
        <v>0.4</v>
      </c>
      <c r="N1507" s="27" t="s">
        <v>33</v>
      </c>
      <c r="O1507" s="27" t="s">
        <v>53</v>
      </c>
      <c r="P1507" s="27" t="s">
        <v>289</v>
      </c>
      <c r="Q1507" s="27" t="s">
        <v>2587</v>
      </c>
      <c r="R1507" s="33">
        <v>48185</v>
      </c>
      <c r="S1507" s="34">
        <v>42144</v>
      </c>
      <c r="T1507" s="34">
        <v>42145</v>
      </c>
      <c r="U1507" s="29">
        <v>371.27199999999999</v>
      </c>
      <c r="V1507" s="26">
        <v>25</v>
      </c>
      <c r="W1507" s="29">
        <v>727.2</v>
      </c>
      <c r="X1507" s="26">
        <v>90387</v>
      </c>
      <c r="Y1507" s="35">
        <v>4.16</v>
      </c>
      <c r="Z1507" s="1" t="s">
        <v>3012</v>
      </c>
      <c r="AA1507" s="36">
        <v>61.96</v>
      </c>
      <c r="AB1507" s="54">
        <v>436.32</v>
      </c>
      <c r="AC1507" s="54">
        <v>11.635200000000001</v>
      </c>
      <c r="AD1507" s="36">
        <v>285.22800000000007</v>
      </c>
    </row>
    <row r="1508" spans="1:30" s="37" customFormat="1" ht="15.75" customHeight="1" x14ac:dyDescent="0.2">
      <c r="A1508" s="26">
        <v>1108</v>
      </c>
      <c r="B1508" s="27" t="s">
        <v>2582</v>
      </c>
      <c r="C1508" s="27" t="s">
        <v>116</v>
      </c>
      <c r="D1508" s="28">
        <v>0.02</v>
      </c>
      <c r="E1508" s="29">
        <v>65.989999999999995</v>
      </c>
      <c r="F1508" s="29">
        <v>8.99</v>
      </c>
      <c r="G1508" s="30" t="s">
        <v>87</v>
      </c>
      <c r="H1508" s="27" t="s">
        <v>3095</v>
      </c>
      <c r="I1508" s="27" t="s">
        <v>41</v>
      </c>
      <c r="J1508" s="27" t="s">
        <v>135</v>
      </c>
      <c r="K1508" s="27" t="s">
        <v>73</v>
      </c>
      <c r="L1508" s="31" t="s">
        <v>1864</v>
      </c>
      <c r="M1508" s="32">
        <v>0.56000000000000005</v>
      </c>
      <c r="N1508" s="27" t="s">
        <v>33</v>
      </c>
      <c r="O1508" s="27" t="s">
        <v>53</v>
      </c>
      <c r="P1508" s="27" t="s">
        <v>187</v>
      </c>
      <c r="Q1508" s="27" t="s">
        <v>2034</v>
      </c>
      <c r="R1508" s="33">
        <v>75146</v>
      </c>
      <c r="S1508" s="34">
        <v>42144</v>
      </c>
      <c r="T1508" s="34">
        <v>42145</v>
      </c>
      <c r="U1508" s="29">
        <v>168.23699999999999</v>
      </c>
      <c r="V1508" s="26">
        <v>8</v>
      </c>
      <c r="W1508" s="29">
        <v>479.79</v>
      </c>
      <c r="X1508" s="26">
        <v>86409</v>
      </c>
      <c r="Y1508" s="35">
        <v>6.31</v>
      </c>
      <c r="Z1508" s="1" t="s">
        <v>3012</v>
      </c>
      <c r="AA1508" s="36">
        <v>10.558399999999999</v>
      </c>
      <c r="AB1508" s="54">
        <v>211.10759999999999</v>
      </c>
      <c r="AC1508" s="54">
        <v>33.585300000000004</v>
      </c>
      <c r="AD1508" s="36">
        <v>292.00459999999998</v>
      </c>
    </row>
    <row r="1509" spans="1:30" s="37" customFormat="1" ht="15.75" customHeight="1" x14ac:dyDescent="0.2">
      <c r="A1509" s="26">
        <v>699</v>
      </c>
      <c r="B1509" s="27" t="s">
        <v>861</v>
      </c>
      <c r="C1509" s="27" t="s">
        <v>116</v>
      </c>
      <c r="D1509" s="28">
        <v>0.1</v>
      </c>
      <c r="E1509" s="29">
        <v>4.26</v>
      </c>
      <c r="F1509" s="29">
        <v>1.2</v>
      </c>
      <c r="G1509" s="30" t="s">
        <v>39</v>
      </c>
      <c r="H1509" s="27" t="s">
        <v>40</v>
      </c>
      <c r="I1509" s="27" t="s">
        <v>49</v>
      </c>
      <c r="J1509" s="27" t="s">
        <v>50</v>
      </c>
      <c r="K1509" s="27" t="s">
        <v>51</v>
      </c>
      <c r="L1509" s="31" t="s">
        <v>138</v>
      </c>
      <c r="M1509" s="32">
        <v>0.44</v>
      </c>
      <c r="N1509" s="27" t="s">
        <v>33</v>
      </c>
      <c r="O1509" s="27" t="s">
        <v>60</v>
      </c>
      <c r="P1509" s="27" t="s">
        <v>90</v>
      </c>
      <c r="Q1509" s="27" t="s">
        <v>100</v>
      </c>
      <c r="R1509" s="33">
        <v>90041</v>
      </c>
      <c r="S1509" s="34">
        <v>42144</v>
      </c>
      <c r="T1509" s="34">
        <v>42145</v>
      </c>
      <c r="U1509" s="29">
        <v>15.42</v>
      </c>
      <c r="V1509" s="26">
        <v>88</v>
      </c>
      <c r="W1509" s="29">
        <v>351.56</v>
      </c>
      <c r="X1509" s="26">
        <v>3042</v>
      </c>
      <c r="Y1509" s="35">
        <v>31.65</v>
      </c>
      <c r="Z1509" s="1" t="s">
        <v>3013</v>
      </c>
      <c r="AA1509" s="36">
        <v>37.488</v>
      </c>
      <c r="AB1509" s="54">
        <v>196.87360000000001</v>
      </c>
      <c r="AC1509" s="54">
        <v>1.7578</v>
      </c>
      <c r="AD1509" s="36">
        <v>297.452</v>
      </c>
    </row>
    <row r="1510" spans="1:30" s="37" customFormat="1" ht="15.75" customHeight="1" x14ac:dyDescent="0.2">
      <c r="A1510" s="26">
        <v>1106</v>
      </c>
      <c r="B1510" s="27" t="s">
        <v>2581</v>
      </c>
      <c r="C1510" s="27" t="s">
        <v>116</v>
      </c>
      <c r="D1510" s="28">
        <v>0.04</v>
      </c>
      <c r="E1510" s="29">
        <v>6.35</v>
      </c>
      <c r="F1510" s="29">
        <v>1.02</v>
      </c>
      <c r="G1510" s="30" t="s">
        <v>39</v>
      </c>
      <c r="H1510" s="27" t="s">
        <v>3095</v>
      </c>
      <c r="I1510" s="27" t="s">
        <v>49</v>
      </c>
      <c r="J1510" s="27" t="s">
        <v>88</v>
      </c>
      <c r="K1510" s="27" t="s">
        <v>51</v>
      </c>
      <c r="L1510" s="31" t="s">
        <v>527</v>
      </c>
      <c r="M1510" s="32">
        <v>0.39</v>
      </c>
      <c r="N1510" s="27" t="s">
        <v>33</v>
      </c>
      <c r="O1510" s="27" t="s">
        <v>53</v>
      </c>
      <c r="P1510" s="27" t="s">
        <v>187</v>
      </c>
      <c r="Q1510" s="27" t="s">
        <v>554</v>
      </c>
      <c r="R1510" s="33">
        <v>75220</v>
      </c>
      <c r="S1510" s="34">
        <v>42144</v>
      </c>
      <c r="T1510" s="34">
        <v>42147</v>
      </c>
      <c r="U1510" s="29">
        <v>81.91</v>
      </c>
      <c r="V1510" s="26">
        <v>52</v>
      </c>
      <c r="W1510" s="29">
        <v>318.47000000000003</v>
      </c>
      <c r="X1510" s="26">
        <v>20261</v>
      </c>
      <c r="Y1510" s="35">
        <v>6.31</v>
      </c>
      <c r="Z1510" s="1" t="s">
        <v>3012</v>
      </c>
      <c r="AA1510" s="36">
        <v>13.208</v>
      </c>
      <c r="AB1510" s="54">
        <v>194.26670000000001</v>
      </c>
      <c r="AC1510" s="54">
        <v>2.3885250000000005</v>
      </c>
      <c r="AD1510" s="36">
        <v>222.33200000000005</v>
      </c>
    </row>
    <row r="1511" spans="1:30" s="37" customFormat="1" ht="15.75" customHeight="1" x14ac:dyDescent="0.2">
      <c r="A1511" s="26">
        <v>1108</v>
      </c>
      <c r="B1511" s="27" t="s">
        <v>2582</v>
      </c>
      <c r="C1511" s="27" t="s">
        <v>116</v>
      </c>
      <c r="D1511" s="28">
        <v>0.09</v>
      </c>
      <c r="E1511" s="29">
        <v>31.74</v>
      </c>
      <c r="F1511" s="29">
        <v>12.62</v>
      </c>
      <c r="G1511" s="30" t="s">
        <v>87</v>
      </c>
      <c r="H1511" s="27" t="s">
        <v>3095</v>
      </c>
      <c r="I1511" s="27" t="s">
        <v>49</v>
      </c>
      <c r="J1511" s="27" t="s">
        <v>72</v>
      </c>
      <c r="K1511" s="27" t="s">
        <v>73</v>
      </c>
      <c r="L1511" s="31" t="s">
        <v>1532</v>
      </c>
      <c r="M1511" s="32">
        <v>0.37</v>
      </c>
      <c r="N1511" s="27" t="s">
        <v>33</v>
      </c>
      <c r="O1511" s="27" t="s">
        <v>53</v>
      </c>
      <c r="P1511" s="27" t="s">
        <v>187</v>
      </c>
      <c r="Q1511" s="27" t="s">
        <v>2034</v>
      </c>
      <c r="R1511" s="33">
        <v>75146</v>
      </c>
      <c r="S1511" s="34">
        <v>42144</v>
      </c>
      <c r="T1511" s="34">
        <v>42144</v>
      </c>
      <c r="U1511" s="29">
        <v>67.107500000000002</v>
      </c>
      <c r="V1511" s="26">
        <v>9</v>
      </c>
      <c r="W1511" s="29">
        <v>270.55</v>
      </c>
      <c r="X1511" s="26">
        <v>86409</v>
      </c>
      <c r="Y1511" s="35">
        <v>65.97</v>
      </c>
      <c r="Z1511" s="1" t="s">
        <v>3012</v>
      </c>
      <c r="AA1511" s="36">
        <v>25.709399999999999</v>
      </c>
      <c r="AB1511" s="54">
        <v>170.44650000000001</v>
      </c>
      <c r="AC1511" s="54">
        <v>11.122611111111112</v>
      </c>
      <c r="AD1511" s="36">
        <v>165.1131</v>
      </c>
    </row>
    <row r="1512" spans="1:30" s="37" customFormat="1" ht="15.75" customHeight="1" x14ac:dyDescent="0.2">
      <c r="A1512" s="26">
        <v>871</v>
      </c>
      <c r="B1512" s="27" t="s">
        <v>1665</v>
      </c>
      <c r="C1512" s="27" t="s">
        <v>3094</v>
      </c>
      <c r="D1512" s="28">
        <v>0</v>
      </c>
      <c r="E1512" s="29">
        <v>6.48</v>
      </c>
      <c r="F1512" s="29">
        <v>5.1100000000000003</v>
      </c>
      <c r="G1512" s="30" t="s">
        <v>39</v>
      </c>
      <c r="H1512" s="27" t="s">
        <v>71</v>
      </c>
      <c r="I1512" s="27" t="s">
        <v>49</v>
      </c>
      <c r="J1512" s="27" t="s">
        <v>88</v>
      </c>
      <c r="K1512" s="27" t="s">
        <v>73</v>
      </c>
      <c r="L1512" s="31" t="s">
        <v>2592</v>
      </c>
      <c r="M1512" s="32">
        <v>0.37</v>
      </c>
      <c r="N1512" s="27" t="s">
        <v>33</v>
      </c>
      <c r="O1512" s="27" t="s">
        <v>60</v>
      </c>
      <c r="P1512" s="27" t="s">
        <v>296</v>
      </c>
      <c r="Q1512" s="27" t="s">
        <v>1666</v>
      </c>
      <c r="R1512" s="33">
        <v>89502</v>
      </c>
      <c r="S1512" s="34">
        <v>42144</v>
      </c>
      <c r="T1512" s="34">
        <v>42146</v>
      </c>
      <c r="U1512" s="29">
        <v>-33.31</v>
      </c>
      <c r="V1512" s="26">
        <v>18</v>
      </c>
      <c r="W1512" s="29">
        <v>127.81</v>
      </c>
      <c r="X1512" s="26">
        <v>90578</v>
      </c>
      <c r="Y1512" s="35">
        <v>20.39</v>
      </c>
      <c r="Z1512" s="1" t="s">
        <v>3013</v>
      </c>
      <c r="AA1512" s="36">
        <v>0</v>
      </c>
      <c r="AB1512" s="54">
        <v>80.520300000000006</v>
      </c>
      <c r="AC1512" s="54">
        <v>2.6272055555555553</v>
      </c>
      <c r="AD1512" s="36">
        <v>156.01</v>
      </c>
    </row>
    <row r="1513" spans="1:30" s="37" customFormat="1" ht="15.75" customHeight="1" x14ac:dyDescent="0.2">
      <c r="A1513" s="26">
        <v>1159</v>
      </c>
      <c r="B1513" s="27" t="s">
        <v>2576</v>
      </c>
      <c r="C1513" s="27" t="s">
        <v>38</v>
      </c>
      <c r="D1513" s="28">
        <v>0.04</v>
      </c>
      <c r="E1513" s="29">
        <v>100.98</v>
      </c>
      <c r="F1513" s="29">
        <v>35.840000000000003</v>
      </c>
      <c r="G1513" s="30" t="s">
        <v>27</v>
      </c>
      <c r="H1513" s="27" t="s">
        <v>40</v>
      </c>
      <c r="I1513" s="27" t="s">
        <v>29</v>
      </c>
      <c r="J1513" s="27" t="s">
        <v>117</v>
      </c>
      <c r="K1513" s="27" t="s">
        <v>31</v>
      </c>
      <c r="L1513" s="31" t="s">
        <v>118</v>
      </c>
      <c r="M1513" s="32">
        <v>0.62</v>
      </c>
      <c r="N1513" s="27" t="s">
        <v>33</v>
      </c>
      <c r="O1513" s="27" t="s">
        <v>111</v>
      </c>
      <c r="P1513" s="27" t="s">
        <v>397</v>
      </c>
      <c r="Q1513" s="27" t="s">
        <v>2577</v>
      </c>
      <c r="R1513" s="33">
        <v>7086</v>
      </c>
      <c r="S1513" s="34">
        <v>42144</v>
      </c>
      <c r="T1513" s="34">
        <v>42145</v>
      </c>
      <c r="U1513" s="29">
        <v>-152.76</v>
      </c>
      <c r="V1513" s="26">
        <v>1</v>
      </c>
      <c r="W1513" s="29">
        <v>110.75</v>
      </c>
      <c r="X1513" s="26">
        <v>90854</v>
      </c>
      <c r="Y1513" s="35">
        <v>15.61</v>
      </c>
      <c r="Z1513" s="1" t="s">
        <v>3014</v>
      </c>
      <c r="AA1513" s="36">
        <v>4.0392000000000001</v>
      </c>
      <c r="AB1513" s="54">
        <v>42.085000000000001</v>
      </c>
      <c r="AC1513" s="54">
        <v>68.665000000000006</v>
      </c>
      <c r="AD1513" s="36">
        <v>223.63079999999999</v>
      </c>
    </row>
    <row r="1514" spans="1:30" s="37" customFormat="1" ht="15.75" customHeight="1" x14ac:dyDescent="0.2">
      <c r="A1514" s="26">
        <v>1974</v>
      </c>
      <c r="B1514" s="27" t="s">
        <v>2583</v>
      </c>
      <c r="C1514" s="27" t="s">
        <v>116</v>
      </c>
      <c r="D1514" s="28">
        <v>0.09</v>
      </c>
      <c r="E1514" s="29">
        <v>20.48</v>
      </c>
      <c r="F1514" s="29">
        <v>6.32</v>
      </c>
      <c r="G1514" s="30" t="s">
        <v>39</v>
      </c>
      <c r="H1514" s="27" t="s">
        <v>40</v>
      </c>
      <c r="I1514" s="27" t="s">
        <v>49</v>
      </c>
      <c r="J1514" s="27" t="s">
        <v>95</v>
      </c>
      <c r="K1514" s="27" t="s">
        <v>73</v>
      </c>
      <c r="L1514" s="31" t="s">
        <v>1039</v>
      </c>
      <c r="M1514" s="32">
        <v>0.57999999999999996</v>
      </c>
      <c r="N1514" s="27" t="s">
        <v>33</v>
      </c>
      <c r="O1514" s="27" t="s">
        <v>53</v>
      </c>
      <c r="P1514" s="27" t="s">
        <v>289</v>
      </c>
      <c r="Q1514" s="27" t="s">
        <v>2584</v>
      </c>
      <c r="R1514" s="33">
        <v>48127</v>
      </c>
      <c r="S1514" s="34">
        <v>42144</v>
      </c>
      <c r="T1514" s="34">
        <v>42145</v>
      </c>
      <c r="U1514" s="29">
        <v>-16.89</v>
      </c>
      <c r="V1514" s="26">
        <v>5</v>
      </c>
      <c r="W1514" s="29">
        <v>99.02</v>
      </c>
      <c r="X1514" s="26">
        <v>89040</v>
      </c>
      <c r="Y1514" s="35">
        <v>30.900000000000002</v>
      </c>
      <c r="Z1514" s="1" t="s">
        <v>3012</v>
      </c>
      <c r="AA1514" s="36">
        <v>9.2159999999999993</v>
      </c>
      <c r="AB1514" s="54">
        <v>41.5884</v>
      </c>
      <c r="AC1514" s="54">
        <v>11.486319999999999</v>
      </c>
      <c r="AD1514" s="36">
        <v>100.374</v>
      </c>
    </row>
    <row r="1515" spans="1:30" s="37" customFormat="1" ht="15.75" customHeight="1" x14ac:dyDescent="0.2">
      <c r="A1515" s="26">
        <v>700</v>
      </c>
      <c r="B1515" s="27" t="s">
        <v>2580</v>
      </c>
      <c r="C1515" s="27" t="s">
        <v>116</v>
      </c>
      <c r="D1515" s="28">
        <v>0.1</v>
      </c>
      <c r="E1515" s="29">
        <v>4.26</v>
      </c>
      <c r="F1515" s="29">
        <v>1.2</v>
      </c>
      <c r="G1515" s="30" t="s">
        <v>39</v>
      </c>
      <c r="H1515" s="27" t="s">
        <v>40</v>
      </c>
      <c r="I1515" s="27" t="s">
        <v>49</v>
      </c>
      <c r="J1515" s="27" t="s">
        <v>50</v>
      </c>
      <c r="K1515" s="27" t="s">
        <v>51</v>
      </c>
      <c r="L1515" s="31" t="s">
        <v>138</v>
      </c>
      <c r="M1515" s="32">
        <v>0.44</v>
      </c>
      <c r="N1515" s="27" t="s">
        <v>33</v>
      </c>
      <c r="O1515" s="27" t="s">
        <v>60</v>
      </c>
      <c r="P1515" s="27" t="s">
        <v>90</v>
      </c>
      <c r="Q1515" s="27" t="s">
        <v>1184</v>
      </c>
      <c r="R1515" s="33">
        <v>93454</v>
      </c>
      <c r="S1515" s="34">
        <v>42144</v>
      </c>
      <c r="T1515" s="34">
        <v>42145</v>
      </c>
      <c r="U1515" s="29">
        <v>33.923999999999999</v>
      </c>
      <c r="V1515" s="26">
        <v>22</v>
      </c>
      <c r="W1515" s="29">
        <v>87.89</v>
      </c>
      <c r="X1515" s="26">
        <v>87980</v>
      </c>
      <c r="Y1515" s="35">
        <v>159.22</v>
      </c>
      <c r="Z1515" s="1" t="s">
        <v>3013</v>
      </c>
      <c r="AA1515" s="36">
        <v>9.3719999999999999</v>
      </c>
      <c r="AB1515" s="54">
        <v>49.218400000000003</v>
      </c>
      <c r="AC1515" s="54">
        <v>1.7578</v>
      </c>
      <c r="AD1515" s="36">
        <v>43.393999999999998</v>
      </c>
    </row>
    <row r="1516" spans="1:30" s="37" customFormat="1" ht="15.75" customHeight="1" x14ac:dyDescent="0.2">
      <c r="A1516" s="26">
        <v>2825</v>
      </c>
      <c r="B1516" s="27" t="s">
        <v>2578</v>
      </c>
      <c r="C1516" s="27" t="s">
        <v>48</v>
      </c>
      <c r="D1516" s="28">
        <v>0.02</v>
      </c>
      <c r="E1516" s="29">
        <v>27.48</v>
      </c>
      <c r="F1516" s="29">
        <v>4</v>
      </c>
      <c r="G1516" s="30" t="s">
        <v>39</v>
      </c>
      <c r="H1516" s="27" t="s">
        <v>40</v>
      </c>
      <c r="I1516" s="27" t="s">
        <v>41</v>
      </c>
      <c r="J1516" s="27" t="s">
        <v>42</v>
      </c>
      <c r="K1516" s="27" t="s">
        <v>73</v>
      </c>
      <c r="L1516" s="31" t="s">
        <v>2061</v>
      </c>
      <c r="M1516" s="32">
        <v>0.75</v>
      </c>
      <c r="N1516" s="27" t="s">
        <v>33</v>
      </c>
      <c r="O1516" s="27" t="s">
        <v>60</v>
      </c>
      <c r="P1516" s="27" t="s">
        <v>490</v>
      </c>
      <c r="Q1516" s="27" t="s">
        <v>2579</v>
      </c>
      <c r="R1516" s="33">
        <v>83701</v>
      </c>
      <c r="S1516" s="34">
        <v>42144</v>
      </c>
      <c r="T1516" s="34">
        <v>42151</v>
      </c>
      <c r="U1516" s="29">
        <v>19.308</v>
      </c>
      <c r="V1516" s="26">
        <v>3</v>
      </c>
      <c r="W1516" s="29">
        <v>87.21</v>
      </c>
      <c r="X1516" s="26">
        <v>89497</v>
      </c>
      <c r="Y1516" s="35">
        <v>55.93</v>
      </c>
      <c r="Z1516" s="1" t="s">
        <v>3013</v>
      </c>
      <c r="AA1516" s="36">
        <v>1.6488</v>
      </c>
      <c r="AB1516" s="54">
        <v>21.802499999999998</v>
      </c>
      <c r="AC1516" s="54">
        <v>21.802499999999998</v>
      </c>
      <c r="AD1516" s="36">
        <v>62.253199999999993</v>
      </c>
    </row>
    <row r="1517" spans="1:30" s="37" customFormat="1" ht="15.75" customHeight="1" x14ac:dyDescent="0.2">
      <c r="A1517" s="26">
        <v>1108</v>
      </c>
      <c r="B1517" s="27" t="s">
        <v>2582</v>
      </c>
      <c r="C1517" s="27" t="s">
        <v>116</v>
      </c>
      <c r="D1517" s="28">
        <v>0.04</v>
      </c>
      <c r="E1517" s="29">
        <v>6.35</v>
      </c>
      <c r="F1517" s="29">
        <v>1.02</v>
      </c>
      <c r="G1517" s="30" t="s">
        <v>39</v>
      </c>
      <c r="H1517" s="27" t="s">
        <v>3095</v>
      </c>
      <c r="I1517" s="27" t="s">
        <v>49</v>
      </c>
      <c r="J1517" s="27" t="s">
        <v>88</v>
      </c>
      <c r="K1517" s="27" t="s">
        <v>51</v>
      </c>
      <c r="L1517" s="31" t="s">
        <v>527</v>
      </c>
      <c r="M1517" s="32">
        <v>0.39</v>
      </c>
      <c r="N1517" s="27" t="s">
        <v>33</v>
      </c>
      <c r="O1517" s="27" t="s">
        <v>53</v>
      </c>
      <c r="P1517" s="27" t="s">
        <v>187</v>
      </c>
      <c r="Q1517" s="27" t="s">
        <v>2034</v>
      </c>
      <c r="R1517" s="33">
        <v>75146</v>
      </c>
      <c r="S1517" s="34">
        <v>42144</v>
      </c>
      <c r="T1517" s="34">
        <v>42147</v>
      </c>
      <c r="U1517" s="29">
        <v>54.937800000000003</v>
      </c>
      <c r="V1517" s="26">
        <v>13</v>
      </c>
      <c r="W1517" s="29">
        <v>79.62</v>
      </c>
      <c r="X1517" s="26">
        <v>86409</v>
      </c>
      <c r="Y1517" s="35">
        <v>5.9300000000000006</v>
      </c>
      <c r="Z1517" s="1" t="s">
        <v>3012</v>
      </c>
      <c r="AA1517" s="36">
        <v>3.302</v>
      </c>
      <c r="AB1517" s="54">
        <v>48.568200000000004</v>
      </c>
      <c r="AC1517" s="54">
        <v>2.3886000000000003</v>
      </c>
      <c r="AD1517" s="36">
        <v>20.360199999999999</v>
      </c>
    </row>
    <row r="1518" spans="1:30" s="37" customFormat="1" ht="15.75" customHeight="1" x14ac:dyDescent="0.2">
      <c r="A1518" s="26">
        <v>871</v>
      </c>
      <c r="B1518" s="27" t="s">
        <v>1665</v>
      </c>
      <c r="C1518" s="27" t="s">
        <v>3094</v>
      </c>
      <c r="D1518" s="28">
        <v>0.01</v>
      </c>
      <c r="E1518" s="29">
        <v>5.94</v>
      </c>
      <c r="F1518" s="29">
        <v>9.92</v>
      </c>
      <c r="G1518" s="30" t="s">
        <v>39</v>
      </c>
      <c r="H1518" s="27" t="s">
        <v>71</v>
      </c>
      <c r="I1518" s="27" t="s">
        <v>49</v>
      </c>
      <c r="J1518" s="27" t="s">
        <v>72</v>
      </c>
      <c r="K1518" s="27" t="s">
        <v>73</v>
      </c>
      <c r="L1518" s="31" t="s">
        <v>2591</v>
      </c>
      <c r="M1518" s="32">
        <v>0.38</v>
      </c>
      <c r="N1518" s="27" t="s">
        <v>33</v>
      </c>
      <c r="O1518" s="27" t="s">
        <v>60</v>
      </c>
      <c r="P1518" s="27" t="s">
        <v>296</v>
      </c>
      <c r="Q1518" s="27" t="s">
        <v>1666</v>
      </c>
      <c r="R1518" s="33">
        <v>89502</v>
      </c>
      <c r="S1518" s="34">
        <v>42144</v>
      </c>
      <c r="T1518" s="34">
        <v>42147</v>
      </c>
      <c r="U1518" s="29">
        <v>-239.315</v>
      </c>
      <c r="V1518" s="26">
        <v>12</v>
      </c>
      <c r="W1518" s="29">
        <v>74.77</v>
      </c>
      <c r="X1518" s="26">
        <v>90578</v>
      </c>
      <c r="Y1518" s="35">
        <v>6.48</v>
      </c>
      <c r="Z1518" s="1" t="s">
        <v>3013</v>
      </c>
      <c r="AA1518" s="36">
        <v>0.7128000000000001</v>
      </c>
      <c r="AB1518" s="54">
        <v>46.357399999999998</v>
      </c>
      <c r="AC1518" s="54">
        <v>2.3677166666666665</v>
      </c>
      <c r="AD1518" s="36">
        <v>303.4522</v>
      </c>
    </row>
    <row r="1519" spans="1:30" s="37" customFormat="1" ht="15.75" customHeight="1" x14ac:dyDescent="0.2">
      <c r="A1519" s="26">
        <v>1974</v>
      </c>
      <c r="B1519" s="27" t="s">
        <v>2583</v>
      </c>
      <c r="C1519" s="27" t="s">
        <v>116</v>
      </c>
      <c r="D1519" s="28">
        <v>0.06</v>
      </c>
      <c r="E1519" s="29">
        <v>15.67</v>
      </c>
      <c r="F1519" s="29">
        <v>1.39</v>
      </c>
      <c r="G1519" s="30" t="s">
        <v>39</v>
      </c>
      <c r="H1519" s="27" t="s">
        <v>40</v>
      </c>
      <c r="I1519" s="27" t="s">
        <v>49</v>
      </c>
      <c r="J1519" s="27" t="s">
        <v>345</v>
      </c>
      <c r="K1519" s="27" t="s">
        <v>73</v>
      </c>
      <c r="L1519" s="31" t="s">
        <v>2484</v>
      </c>
      <c r="M1519" s="32">
        <v>0.38</v>
      </c>
      <c r="N1519" s="27" t="s">
        <v>33</v>
      </c>
      <c r="O1519" s="27" t="s">
        <v>53</v>
      </c>
      <c r="P1519" s="27" t="s">
        <v>289</v>
      </c>
      <c r="Q1519" s="27" t="s">
        <v>2584</v>
      </c>
      <c r="R1519" s="33">
        <v>48127</v>
      </c>
      <c r="S1519" s="34">
        <v>42144</v>
      </c>
      <c r="T1519" s="34">
        <v>42145</v>
      </c>
      <c r="U1519" s="29">
        <v>25.51</v>
      </c>
      <c r="V1519" s="26">
        <v>3</v>
      </c>
      <c r="W1519" s="29">
        <v>46.4</v>
      </c>
      <c r="X1519" s="26">
        <v>89040</v>
      </c>
      <c r="Y1519" s="35">
        <v>65.97999999999999</v>
      </c>
      <c r="Z1519" s="1" t="s">
        <v>3012</v>
      </c>
      <c r="AA1519" s="36">
        <v>2.8205999999999998</v>
      </c>
      <c r="AB1519" s="54">
        <v>28.768000000000001</v>
      </c>
      <c r="AC1519" s="54">
        <v>5.8773333333333335</v>
      </c>
      <c r="AD1519" s="36">
        <v>16.679399999999998</v>
      </c>
    </row>
    <row r="1520" spans="1:30" s="37" customFormat="1" ht="15.75" customHeight="1" x14ac:dyDescent="0.2">
      <c r="A1520" s="26">
        <v>2825</v>
      </c>
      <c r="B1520" s="27" t="s">
        <v>2578</v>
      </c>
      <c r="C1520" s="27" t="s">
        <v>48</v>
      </c>
      <c r="D1520" s="28">
        <v>0.08</v>
      </c>
      <c r="E1520" s="29">
        <v>10.06</v>
      </c>
      <c r="F1520" s="29">
        <v>2.06</v>
      </c>
      <c r="G1520" s="30" t="s">
        <v>39</v>
      </c>
      <c r="H1520" s="27" t="s">
        <v>40</v>
      </c>
      <c r="I1520" s="27" t="s">
        <v>49</v>
      </c>
      <c r="J1520" s="27" t="s">
        <v>88</v>
      </c>
      <c r="K1520" s="27" t="s">
        <v>51</v>
      </c>
      <c r="L1520" s="31" t="s">
        <v>173</v>
      </c>
      <c r="M1520" s="32">
        <v>0.39</v>
      </c>
      <c r="N1520" s="27" t="s">
        <v>33</v>
      </c>
      <c r="O1520" s="27" t="s">
        <v>60</v>
      </c>
      <c r="P1520" s="27" t="s">
        <v>490</v>
      </c>
      <c r="Q1520" s="27" t="s">
        <v>2579</v>
      </c>
      <c r="R1520" s="33">
        <v>83701</v>
      </c>
      <c r="S1520" s="34">
        <v>42144</v>
      </c>
      <c r="T1520" s="34">
        <v>42148</v>
      </c>
      <c r="U1520" s="29">
        <v>0.33</v>
      </c>
      <c r="V1520" s="26">
        <v>4</v>
      </c>
      <c r="W1520" s="29">
        <v>40.15</v>
      </c>
      <c r="X1520" s="26">
        <v>89497</v>
      </c>
      <c r="Y1520" s="35">
        <v>205.96</v>
      </c>
      <c r="Z1520" s="1" t="s">
        <v>3013</v>
      </c>
      <c r="AA1520" s="36">
        <v>3.2192000000000003</v>
      </c>
      <c r="AB1520" s="54">
        <v>24.491499999999998</v>
      </c>
      <c r="AC1520" s="54">
        <v>3.914625</v>
      </c>
      <c r="AD1520" s="36">
        <v>34.540799999999997</v>
      </c>
    </row>
    <row r="1521" spans="1:30" s="37" customFormat="1" ht="15.75" customHeight="1" x14ac:dyDescent="0.2">
      <c r="A1521" s="26">
        <v>3206</v>
      </c>
      <c r="B1521" s="27" t="s">
        <v>1926</v>
      </c>
      <c r="C1521" s="27" t="s">
        <v>3094</v>
      </c>
      <c r="D1521" s="28">
        <v>0.06</v>
      </c>
      <c r="E1521" s="29">
        <v>218.08</v>
      </c>
      <c r="F1521" s="29">
        <v>18.059999999999999</v>
      </c>
      <c r="G1521" s="30" t="s">
        <v>87</v>
      </c>
      <c r="H1521" s="27" t="s">
        <v>40</v>
      </c>
      <c r="I1521" s="27" t="s">
        <v>29</v>
      </c>
      <c r="J1521" s="27" t="s">
        <v>109</v>
      </c>
      <c r="K1521" s="27" t="s">
        <v>65</v>
      </c>
      <c r="L1521" s="31" t="s">
        <v>2616</v>
      </c>
      <c r="M1521" s="32">
        <v>0.56999999999999995</v>
      </c>
      <c r="N1521" s="27" t="s">
        <v>33</v>
      </c>
      <c r="O1521" s="27" t="s">
        <v>60</v>
      </c>
      <c r="P1521" s="27" t="s">
        <v>490</v>
      </c>
      <c r="Q1521" s="27" t="s">
        <v>1928</v>
      </c>
      <c r="R1521" s="33">
        <v>83301</v>
      </c>
      <c r="S1521" s="34">
        <v>42145</v>
      </c>
      <c r="T1521" s="34">
        <v>42147</v>
      </c>
      <c r="U1521" s="29">
        <v>969.42</v>
      </c>
      <c r="V1521" s="26">
        <v>7</v>
      </c>
      <c r="W1521" s="29">
        <v>1488.51</v>
      </c>
      <c r="X1521" s="26">
        <v>87934</v>
      </c>
      <c r="Y1521" s="35">
        <v>1.94</v>
      </c>
      <c r="Z1521" s="1" t="s">
        <v>3013</v>
      </c>
      <c r="AA1521" s="36">
        <v>91.593599999999995</v>
      </c>
      <c r="AB1521" s="54">
        <v>640.05930000000012</v>
      </c>
      <c r="AC1521" s="54">
        <v>121.20724285714284</v>
      </c>
      <c r="AD1521" s="36">
        <v>409.43640000000005</v>
      </c>
    </row>
    <row r="1522" spans="1:30" s="37" customFormat="1" ht="15.75" customHeight="1" x14ac:dyDescent="0.2">
      <c r="A1522" s="26">
        <v>1527</v>
      </c>
      <c r="B1522" s="27" t="s">
        <v>338</v>
      </c>
      <c r="C1522" s="27" t="s">
        <v>48</v>
      </c>
      <c r="D1522" s="28">
        <v>0.09</v>
      </c>
      <c r="E1522" s="29">
        <v>50.98</v>
      </c>
      <c r="F1522" s="29">
        <v>6.5</v>
      </c>
      <c r="G1522" s="30" t="s">
        <v>39</v>
      </c>
      <c r="H1522" s="27" t="s">
        <v>71</v>
      </c>
      <c r="I1522" s="27" t="s">
        <v>41</v>
      </c>
      <c r="J1522" s="27" t="s">
        <v>42</v>
      </c>
      <c r="K1522" s="27" t="s">
        <v>73</v>
      </c>
      <c r="L1522" s="31" t="s">
        <v>1866</v>
      </c>
      <c r="M1522" s="32">
        <v>0.73</v>
      </c>
      <c r="N1522" s="27" t="s">
        <v>33</v>
      </c>
      <c r="O1522" s="27" t="s">
        <v>34</v>
      </c>
      <c r="P1522" s="27" t="s">
        <v>164</v>
      </c>
      <c r="Q1522" s="27" t="s">
        <v>340</v>
      </c>
      <c r="R1522" s="33">
        <v>35601</v>
      </c>
      <c r="S1522" s="34">
        <v>42145</v>
      </c>
      <c r="T1522" s="34">
        <v>42152</v>
      </c>
      <c r="U1522" s="29">
        <v>70.176000000000002</v>
      </c>
      <c r="V1522" s="26">
        <v>28</v>
      </c>
      <c r="W1522" s="29">
        <v>1395.41</v>
      </c>
      <c r="X1522" s="26">
        <v>86815</v>
      </c>
      <c r="Y1522" s="35">
        <v>55.96</v>
      </c>
      <c r="Z1522" s="1" t="s">
        <v>3011</v>
      </c>
      <c r="AA1522" s="36">
        <v>128.46959999999999</v>
      </c>
      <c r="AB1522" s="54">
        <v>376.76070000000004</v>
      </c>
      <c r="AC1522" s="54">
        <v>36.380332142857142</v>
      </c>
      <c r="AD1522" s="36">
        <v>1190.2644</v>
      </c>
    </row>
    <row r="1523" spans="1:30" s="37" customFormat="1" ht="15.75" customHeight="1" x14ac:dyDescent="0.2">
      <c r="A1523" s="26">
        <v>21</v>
      </c>
      <c r="B1523" s="27" t="s">
        <v>2520</v>
      </c>
      <c r="C1523" s="27" t="s">
        <v>3094</v>
      </c>
      <c r="D1523" s="28">
        <v>7.0000000000000007E-2</v>
      </c>
      <c r="E1523" s="29">
        <v>12.99</v>
      </c>
      <c r="F1523" s="29">
        <v>9.44</v>
      </c>
      <c r="G1523" s="30" t="s">
        <v>39</v>
      </c>
      <c r="H1523" s="27" t="s">
        <v>3095</v>
      </c>
      <c r="I1523" s="27" t="s">
        <v>41</v>
      </c>
      <c r="J1523" s="27" t="s">
        <v>57</v>
      </c>
      <c r="K1523" s="27" t="s">
        <v>144</v>
      </c>
      <c r="L1523" s="31" t="s">
        <v>2613</v>
      </c>
      <c r="M1523" s="32">
        <v>0.39</v>
      </c>
      <c r="N1523" s="27" t="s">
        <v>33</v>
      </c>
      <c r="O1523" s="27" t="s">
        <v>111</v>
      </c>
      <c r="P1523" s="27" t="s">
        <v>112</v>
      </c>
      <c r="Q1523" s="27" t="s">
        <v>113</v>
      </c>
      <c r="R1523" s="33">
        <v>10012</v>
      </c>
      <c r="S1523" s="34">
        <v>42145</v>
      </c>
      <c r="T1523" s="34">
        <v>42147</v>
      </c>
      <c r="U1523" s="29">
        <v>-114.6399</v>
      </c>
      <c r="V1523" s="26">
        <v>71</v>
      </c>
      <c r="W1523" s="29">
        <v>914.29</v>
      </c>
      <c r="X1523" s="26">
        <v>42949</v>
      </c>
      <c r="Y1523" s="35">
        <v>11.97</v>
      </c>
      <c r="Z1523" s="1" t="s">
        <v>3014</v>
      </c>
      <c r="AA1523" s="36">
        <v>64.560300000000012</v>
      </c>
      <c r="AB1523" s="54">
        <v>557.71690000000001</v>
      </c>
      <c r="AC1523" s="54">
        <v>5.0221563380281697</v>
      </c>
      <c r="AD1523" s="36">
        <v>954.92959999999994</v>
      </c>
    </row>
    <row r="1524" spans="1:30" s="37" customFormat="1" ht="15.75" customHeight="1" x14ac:dyDescent="0.2">
      <c r="A1524" s="26">
        <v>1106</v>
      </c>
      <c r="B1524" s="27" t="s">
        <v>2581</v>
      </c>
      <c r="C1524" s="27" t="s">
        <v>38</v>
      </c>
      <c r="D1524" s="28">
        <v>0.01</v>
      </c>
      <c r="E1524" s="29">
        <v>9.31</v>
      </c>
      <c r="F1524" s="29">
        <v>3.98</v>
      </c>
      <c r="G1524" s="30" t="s">
        <v>39</v>
      </c>
      <c r="H1524" s="27" t="s">
        <v>3095</v>
      </c>
      <c r="I1524" s="27" t="s">
        <v>49</v>
      </c>
      <c r="J1524" s="27" t="s">
        <v>568</v>
      </c>
      <c r="K1524" s="27" t="s">
        <v>43</v>
      </c>
      <c r="L1524" s="31" t="s">
        <v>2602</v>
      </c>
      <c r="M1524" s="32">
        <v>0.56000000000000005</v>
      </c>
      <c r="N1524" s="27" t="s">
        <v>33</v>
      </c>
      <c r="O1524" s="27" t="s">
        <v>53</v>
      </c>
      <c r="P1524" s="27" t="s">
        <v>187</v>
      </c>
      <c r="Q1524" s="27" t="s">
        <v>554</v>
      </c>
      <c r="R1524" s="33">
        <v>75220</v>
      </c>
      <c r="S1524" s="34">
        <v>42145</v>
      </c>
      <c r="T1524" s="34">
        <v>42146</v>
      </c>
      <c r="U1524" s="29">
        <v>-10.9</v>
      </c>
      <c r="V1524" s="26">
        <v>61</v>
      </c>
      <c r="W1524" s="29">
        <v>586.96</v>
      </c>
      <c r="X1524" s="26">
        <v>646</v>
      </c>
      <c r="Y1524" s="35">
        <v>4.95</v>
      </c>
      <c r="Z1524" s="1" t="s">
        <v>3012</v>
      </c>
      <c r="AA1524" s="36">
        <v>5.6791</v>
      </c>
      <c r="AB1524" s="54">
        <v>258.26239999999996</v>
      </c>
      <c r="AC1524" s="54">
        <v>5.3884852459016397</v>
      </c>
      <c r="AD1524" s="36">
        <v>588.20090000000005</v>
      </c>
    </row>
    <row r="1525" spans="1:30" s="37" customFormat="1" ht="15.75" customHeight="1" x14ac:dyDescent="0.2">
      <c r="A1525" s="26">
        <v>3319</v>
      </c>
      <c r="B1525" s="27" t="s">
        <v>2608</v>
      </c>
      <c r="C1525" s="27" t="s">
        <v>48</v>
      </c>
      <c r="D1525" s="28">
        <v>0.03</v>
      </c>
      <c r="E1525" s="29">
        <v>20.98</v>
      </c>
      <c r="F1525" s="29">
        <v>1.49</v>
      </c>
      <c r="G1525" s="30" t="s">
        <v>39</v>
      </c>
      <c r="H1525" s="27" t="s">
        <v>3095</v>
      </c>
      <c r="I1525" s="27" t="s">
        <v>49</v>
      </c>
      <c r="J1525" s="27" t="s">
        <v>72</v>
      </c>
      <c r="K1525" s="27" t="s">
        <v>73</v>
      </c>
      <c r="L1525" s="31" t="s">
        <v>2609</v>
      </c>
      <c r="M1525" s="32">
        <v>0.35</v>
      </c>
      <c r="N1525" s="27" t="s">
        <v>33</v>
      </c>
      <c r="O1525" s="27" t="s">
        <v>34</v>
      </c>
      <c r="P1525" s="27" t="s">
        <v>400</v>
      </c>
      <c r="Q1525" s="27" t="s">
        <v>503</v>
      </c>
      <c r="R1525" s="33">
        <v>37075</v>
      </c>
      <c r="S1525" s="34">
        <v>42145</v>
      </c>
      <c r="T1525" s="34">
        <v>42145</v>
      </c>
      <c r="U1525" s="29">
        <v>30.024000000000001</v>
      </c>
      <c r="V1525" s="26">
        <v>20</v>
      </c>
      <c r="W1525" s="29">
        <v>431.43</v>
      </c>
      <c r="X1525" s="26">
        <v>90104</v>
      </c>
      <c r="Y1525" s="35">
        <v>9.3000000000000007</v>
      </c>
      <c r="Z1525" s="1" t="s">
        <v>3011</v>
      </c>
      <c r="AA1525" s="36">
        <v>12.587999999999999</v>
      </c>
      <c r="AB1525" s="54">
        <v>280.42950000000002</v>
      </c>
      <c r="AC1525" s="54">
        <v>7.5500249999999998</v>
      </c>
      <c r="AD1525" s="36">
        <v>387.32800000000003</v>
      </c>
    </row>
    <row r="1526" spans="1:30" s="37" customFormat="1" ht="15.75" customHeight="1" x14ac:dyDescent="0.2">
      <c r="A1526" s="26">
        <v>282</v>
      </c>
      <c r="B1526" s="27" t="s">
        <v>2596</v>
      </c>
      <c r="C1526" s="27" t="s">
        <v>26</v>
      </c>
      <c r="D1526" s="28">
        <v>0.03</v>
      </c>
      <c r="E1526" s="29">
        <v>55.99</v>
      </c>
      <c r="F1526" s="29">
        <v>5</v>
      </c>
      <c r="G1526" s="30" t="s">
        <v>39</v>
      </c>
      <c r="H1526" s="27" t="s">
        <v>94</v>
      </c>
      <c r="I1526" s="27" t="s">
        <v>41</v>
      </c>
      <c r="J1526" s="27" t="s">
        <v>135</v>
      </c>
      <c r="K1526" s="27" t="s">
        <v>43</v>
      </c>
      <c r="L1526" s="31" t="s">
        <v>1938</v>
      </c>
      <c r="M1526" s="32">
        <v>0.83</v>
      </c>
      <c r="N1526" s="27" t="s">
        <v>33</v>
      </c>
      <c r="O1526" s="27" t="s">
        <v>111</v>
      </c>
      <c r="P1526" s="27" t="s">
        <v>397</v>
      </c>
      <c r="Q1526" s="27" t="s">
        <v>2597</v>
      </c>
      <c r="R1526" s="33">
        <v>7109</v>
      </c>
      <c r="S1526" s="34">
        <v>42145</v>
      </c>
      <c r="T1526" s="34">
        <v>42146</v>
      </c>
      <c r="U1526" s="29">
        <v>-221.25399999999999</v>
      </c>
      <c r="V1526" s="26">
        <v>9</v>
      </c>
      <c r="W1526" s="29">
        <v>416.95</v>
      </c>
      <c r="X1526" s="26">
        <v>89291</v>
      </c>
      <c r="Y1526" s="35">
        <v>9.3000000000000007</v>
      </c>
      <c r="Z1526" s="1" t="s">
        <v>3014</v>
      </c>
      <c r="AA1526" s="36">
        <v>15.1173</v>
      </c>
      <c r="AB1526" s="54">
        <v>70.881500000000017</v>
      </c>
      <c r="AC1526" s="54">
        <v>38.452055555555553</v>
      </c>
      <c r="AD1526" s="36">
        <v>618.08669999999995</v>
      </c>
    </row>
    <row r="1527" spans="1:30" s="37" customFormat="1" ht="15.75" customHeight="1" x14ac:dyDescent="0.2">
      <c r="A1527" s="26">
        <v>1129</v>
      </c>
      <c r="B1527" s="27" t="s">
        <v>786</v>
      </c>
      <c r="C1527" s="27" t="s">
        <v>116</v>
      </c>
      <c r="D1527" s="28">
        <v>0.02</v>
      </c>
      <c r="E1527" s="29">
        <v>7.64</v>
      </c>
      <c r="F1527" s="29">
        <v>1.39</v>
      </c>
      <c r="G1527" s="30" t="s">
        <v>39</v>
      </c>
      <c r="H1527" s="27" t="s">
        <v>71</v>
      </c>
      <c r="I1527" s="27" t="s">
        <v>49</v>
      </c>
      <c r="J1527" s="27" t="s">
        <v>345</v>
      </c>
      <c r="K1527" s="27" t="s">
        <v>73</v>
      </c>
      <c r="L1527" s="31" t="s">
        <v>1558</v>
      </c>
      <c r="M1527" s="32">
        <v>0.36</v>
      </c>
      <c r="N1527" s="27" t="s">
        <v>33</v>
      </c>
      <c r="O1527" s="27" t="s">
        <v>111</v>
      </c>
      <c r="P1527" s="27" t="s">
        <v>403</v>
      </c>
      <c r="Q1527" s="27" t="s">
        <v>788</v>
      </c>
      <c r="R1527" s="33">
        <v>2118</v>
      </c>
      <c r="S1527" s="34">
        <v>42145</v>
      </c>
      <c r="T1527" s="34">
        <v>42147</v>
      </c>
      <c r="U1527" s="29">
        <v>117.38</v>
      </c>
      <c r="V1527" s="26">
        <v>52</v>
      </c>
      <c r="W1527" s="29">
        <v>406.91</v>
      </c>
      <c r="X1527" s="26">
        <v>13735</v>
      </c>
      <c r="Y1527" s="35">
        <v>5.75</v>
      </c>
      <c r="Z1527" s="1" t="s">
        <v>3014</v>
      </c>
      <c r="AA1527" s="36">
        <v>7.9455999999999998</v>
      </c>
      <c r="AB1527" s="54">
        <v>260.42240000000004</v>
      </c>
      <c r="AC1527" s="54">
        <v>2.8170692307692309</v>
      </c>
      <c r="AD1527" s="36">
        <v>280.19440000000003</v>
      </c>
    </row>
    <row r="1528" spans="1:30" s="37" customFormat="1" ht="15.75" customHeight="1" x14ac:dyDescent="0.2">
      <c r="A1528" s="26">
        <v>21</v>
      </c>
      <c r="B1528" s="27" t="s">
        <v>2520</v>
      </c>
      <c r="C1528" s="27" t="s">
        <v>3094</v>
      </c>
      <c r="D1528" s="28">
        <v>0.08</v>
      </c>
      <c r="E1528" s="29">
        <v>5</v>
      </c>
      <c r="F1528" s="29">
        <v>3.39</v>
      </c>
      <c r="G1528" s="30" t="s">
        <v>39</v>
      </c>
      <c r="H1528" s="27" t="s">
        <v>3095</v>
      </c>
      <c r="I1528" s="27" t="s">
        <v>49</v>
      </c>
      <c r="J1528" s="27" t="s">
        <v>176</v>
      </c>
      <c r="K1528" s="27" t="s">
        <v>51</v>
      </c>
      <c r="L1528" s="31" t="s">
        <v>2615</v>
      </c>
      <c r="M1528" s="32">
        <v>0.37</v>
      </c>
      <c r="N1528" s="27" t="s">
        <v>33</v>
      </c>
      <c r="O1528" s="27" t="s">
        <v>111</v>
      </c>
      <c r="P1528" s="27" t="s">
        <v>112</v>
      </c>
      <c r="Q1528" s="27" t="s">
        <v>113</v>
      </c>
      <c r="R1528" s="33">
        <v>10012</v>
      </c>
      <c r="S1528" s="34">
        <v>42145</v>
      </c>
      <c r="T1528" s="34">
        <v>42146</v>
      </c>
      <c r="U1528" s="29">
        <v>-17.489999999999998</v>
      </c>
      <c r="V1528" s="26">
        <v>58</v>
      </c>
      <c r="W1528" s="29">
        <v>293.06</v>
      </c>
      <c r="X1528" s="26">
        <v>42949</v>
      </c>
      <c r="Y1528" s="35">
        <v>50.889999999999993</v>
      </c>
      <c r="Z1528" s="1" t="s">
        <v>3014</v>
      </c>
      <c r="AA1528" s="36">
        <v>23.200000000000003</v>
      </c>
      <c r="AB1528" s="54">
        <v>184.62780000000001</v>
      </c>
      <c r="AC1528" s="54">
        <v>1.8695206896551724</v>
      </c>
      <c r="AD1528" s="36">
        <v>283.95999999999998</v>
      </c>
    </row>
    <row r="1529" spans="1:30" s="37" customFormat="1" ht="15.75" customHeight="1" x14ac:dyDescent="0.2">
      <c r="A1529" s="26">
        <v>19</v>
      </c>
      <c r="B1529" s="27" t="s">
        <v>2612</v>
      </c>
      <c r="C1529" s="27" t="s">
        <v>3094</v>
      </c>
      <c r="D1529" s="28">
        <v>7.0000000000000007E-2</v>
      </c>
      <c r="E1529" s="29">
        <v>12.99</v>
      </c>
      <c r="F1529" s="29">
        <v>9.44</v>
      </c>
      <c r="G1529" s="30" t="s">
        <v>39</v>
      </c>
      <c r="H1529" s="27" t="s">
        <v>3095</v>
      </c>
      <c r="I1529" s="27" t="s">
        <v>41</v>
      </c>
      <c r="J1529" s="27" t="s">
        <v>57</v>
      </c>
      <c r="K1529" s="27" t="s">
        <v>144</v>
      </c>
      <c r="L1529" s="31" t="s">
        <v>2613</v>
      </c>
      <c r="M1529" s="32">
        <v>0.39</v>
      </c>
      <c r="N1529" s="27" t="s">
        <v>33</v>
      </c>
      <c r="O1529" s="27" t="s">
        <v>60</v>
      </c>
      <c r="P1529" s="27" t="s">
        <v>277</v>
      </c>
      <c r="Q1529" s="27" t="s">
        <v>2614</v>
      </c>
      <c r="R1529" s="33">
        <v>59801</v>
      </c>
      <c r="S1529" s="34">
        <v>42145</v>
      </c>
      <c r="T1529" s="34">
        <v>42147</v>
      </c>
      <c r="U1529" s="29">
        <v>-114.6399</v>
      </c>
      <c r="V1529" s="26">
        <v>18</v>
      </c>
      <c r="W1529" s="29">
        <v>231.79</v>
      </c>
      <c r="X1529" s="26">
        <v>90032</v>
      </c>
      <c r="Y1529" s="35">
        <v>20.95</v>
      </c>
      <c r="Z1529" s="1" t="s">
        <v>3013</v>
      </c>
      <c r="AA1529" s="36">
        <v>16.367400000000004</v>
      </c>
      <c r="AB1529" s="54">
        <v>141.39189999999999</v>
      </c>
      <c r="AC1529" s="54">
        <v>5.0221166666666672</v>
      </c>
      <c r="AD1529" s="36">
        <v>320.6225</v>
      </c>
    </row>
    <row r="1530" spans="1:30" s="37" customFormat="1" ht="15.75" customHeight="1" x14ac:dyDescent="0.2">
      <c r="A1530" s="26">
        <v>1107</v>
      </c>
      <c r="B1530" s="27" t="s">
        <v>2603</v>
      </c>
      <c r="C1530" s="27" t="s">
        <v>38</v>
      </c>
      <c r="D1530" s="28">
        <v>0.01</v>
      </c>
      <c r="E1530" s="29">
        <v>9.31</v>
      </c>
      <c r="F1530" s="29">
        <v>3.98</v>
      </c>
      <c r="G1530" s="30" t="s">
        <v>39</v>
      </c>
      <c r="H1530" s="27" t="s">
        <v>3095</v>
      </c>
      <c r="I1530" s="27" t="s">
        <v>49</v>
      </c>
      <c r="J1530" s="27" t="s">
        <v>568</v>
      </c>
      <c r="K1530" s="27" t="s">
        <v>43</v>
      </c>
      <c r="L1530" s="31" t="s">
        <v>2602</v>
      </c>
      <c r="M1530" s="32">
        <v>0.56000000000000005</v>
      </c>
      <c r="N1530" s="27" t="s">
        <v>33</v>
      </c>
      <c r="O1530" s="27" t="s">
        <v>53</v>
      </c>
      <c r="P1530" s="27" t="s">
        <v>187</v>
      </c>
      <c r="Q1530" s="27" t="s">
        <v>2604</v>
      </c>
      <c r="R1530" s="33">
        <v>77566</v>
      </c>
      <c r="S1530" s="34">
        <v>42145</v>
      </c>
      <c r="T1530" s="34">
        <v>42146</v>
      </c>
      <c r="U1530" s="29">
        <v>2.1800000000000002</v>
      </c>
      <c r="V1530" s="26">
        <v>15</v>
      </c>
      <c r="W1530" s="29">
        <v>144.33000000000001</v>
      </c>
      <c r="X1530" s="26">
        <v>86411</v>
      </c>
      <c r="Y1530" s="35">
        <v>7.62</v>
      </c>
      <c r="Z1530" s="1" t="s">
        <v>3012</v>
      </c>
      <c r="AA1530" s="36">
        <v>1.3965000000000001</v>
      </c>
      <c r="AB1530" s="54">
        <v>63.505199999999995</v>
      </c>
      <c r="AC1530" s="54">
        <v>5.3883200000000011</v>
      </c>
      <c r="AD1530" s="36">
        <v>136.77350000000001</v>
      </c>
    </row>
    <row r="1531" spans="1:30" s="37" customFormat="1" ht="15.75" customHeight="1" x14ac:dyDescent="0.2">
      <c r="A1531" s="26">
        <v>1131</v>
      </c>
      <c r="B1531" s="27" t="s">
        <v>2610</v>
      </c>
      <c r="C1531" s="27" t="s">
        <v>116</v>
      </c>
      <c r="D1531" s="28">
        <v>0.02</v>
      </c>
      <c r="E1531" s="29">
        <v>7.64</v>
      </c>
      <c r="F1531" s="29">
        <v>1.39</v>
      </c>
      <c r="G1531" s="30" t="s">
        <v>39</v>
      </c>
      <c r="H1531" s="27" t="s">
        <v>71</v>
      </c>
      <c r="I1531" s="27" t="s">
        <v>49</v>
      </c>
      <c r="J1531" s="27" t="s">
        <v>345</v>
      </c>
      <c r="K1531" s="27" t="s">
        <v>73</v>
      </c>
      <c r="L1531" s="31" t="s">
        <v>1558</v>
      </c>
      <c r="M1531" s="32">
        <v>0.36</v>
      </c>
      <c r="N1531" s="27" t="s">
        <v>33</v>
      </c>
      <c r="O1531" s="27" t="s">
        <v>53</v>
      </c>
      <c r="P1531" s="27" t="s">
        <v>187</v>
      </c>
      <c r="Q1531" s="27" t="s">
        <v>2611</v>
      </c>
      <c r="R1531" s="33">
        <v>79907</v>
      </c>
      <c r="S1531" s="34">
        <v>42145</v>
      </c>
      <c r="T1531" s="34">
        <v>42147</v>
      </c>
      <c r="U1531" s="29">
        <v>70.193700000000007</v>
      </c>
      <c r="V1531" s="26">
        <v>13</v>
      </c>
      <c r="W1531" s="29">
        <v>101.73</v>
      </c>
      <c r="X1531" s="26">
        <v>88103</v>
      </c>
      <c r="Y1531" s="35">
        <v>7.62</v>
      </c>
      <c r="Z1531" s="1" t="s">
        <v>3012</v>
      </c>
      <c r="AA1531" s="36">
        <v>1.9863999999999999</v>
      </c>
      <c r="AB1531" s="54">
        <v>65.107200000000006</v>
      </c>
      <c r="AC1531" s="54">
        <v>2.8171384615384616</v>
      </c>
      <c r="AD1531" s="36">
        <v>28.159899999999993</v>
      </c>
    </row>
    <row r="1532" spans="1:30" s="37" customFormat="1" ht="15.75" customHeight="1" x14ac:dyDescent="0.2">
      <c r="A1532" s="26">
        <v>406</v>
      </c>
      <c r="B1532" s="27" t="s">
        <v>2600</v>
      </c>
      <c r="C1532" s="27" t="s">
        <v>38</v>
      </c>
      <c r="D1532" s="28">
        <v>0.03</v>
      </c>
      <c r="E1532" s="29">
        <v>4.9800000000000004</v>
      </c>
      <c r="F1532" s="29">
        <v>0.8</v>
      </c>
      <c r="G1532" s="30" t="s">
        <v>39</v>
      </c>
      <c r="H1532" s="27" t="s">
        <v>3095</v>
      </c>
      <c r="I1532" s="27" t="s">
        <v>49</v>
      </c>
      <c r="J1532" s="27" t="s">
        <v>88</v>
      </c>
      <c r="K1532" s="27" t="s">
        <v>51</v>
      </c>
      <c r="L1532" s="31" t="s">
        <v>894</v>
      </c>
      <c r="M1532" s="32">
        <v>0.36</v>
      </c>
      <c r="N1532" s="27" t="s">
        <v>33</v>
      </c>
      <c r="O1532" s="27" t="s">
        <v>111</v>
      </c>
      <c r="P1532" s="27" t="s">
        <v>397</v>
      </c>
      <c r="Q1532" s="27" t="s">
        <v>2601</v>
      </c>
      <c r="R1532" s="33">
        <v>8360</v>
      </c>
      <c r="S1532" s="34">
        <v>42145</v>
      </c>
      <c r="T1532" s="34">
        <v>42146</v>
      </c>
      <c r="U1532" s="29">
        <v>50.2044</v>
      </c>
      <c r="V1532" s="26">
        <v>15</v>
      </c>
      <c r="W1532" s="29">
        <v>72.760000000000005</v>
      </c>
      <c r="X1532" s="26">
        <v>87804</v>
      </c>
      <c r="Y1532" s="35">
        <v>2.04</v>
      </c>
      <c r="Z1532" s="1" t="s">
        <v>3014</v>
      </c>
      <c r="AA1532" s="36">
        <v>2.2410000000000001</v>
      </c>
      <c r="AB1532" s="54">
        <v>46.566400000000002</v>
      </c>
      <c r="AC1532" s="54">
        <v>1.74624</v>
      </c>
      <c r="AD1532" s="36">
        <v>19.514600000000009</v>
      </c>
    </row>
    <row r="1533" spans="1:30" s="37" customFormat="1" ht="15.75" customHeight="1" x14ac:dyDescent="0.2">
      <c r="A1533" s="26">
        <v>825</v>
      </c>
      <c r="B1533" s="27" t="s">
        <v>2598</v>
      </c>
      <c r="C1533" s="27" t="s">
        <v>26</v>
      </c>
      <c r="D1533" s="28">
        <v>0</v>
      </c>
      <c r="E1533" s="29">
        <v>11.97</v>
      </c>
      <c r="F1533" s="29">
        <v>4.9800000000000004</v>
      </c>
      <c r="G1533" s="30" t="s">
        <v>39</v>
      </c>
      <c r="H1533" s="27" t="s">
        <v>71</v>
      </c>
      <c r="I1533" s="27" t="s">
        <v>49</v>
      </c>
      <c r="J1533" s="27" t="s">
        <v>95</v>
      </c>
      <c r="K1533" s="27" t="s">
        <v>73</v>
      </c>
      <c r="L1533" s="31" t="s">
        <v>816</v>
      </c>
      <c r="M1533" s="32">
        <v>0.57999999999999996</v>
      </c>
      <c r="N1533" s="27" t="s">
        <v>33</v>
      </c>
      <c r="O1533" s="27" t="s">
        <v>53</v>
      </c>
      <c r="P1533" s="27" t="s">
        <v>187</v>
      </c>
      <c r="Q1533" s="27" t="s">
        <v>2599</v>
      </c>
      <c r="R1533" s="33">
        <v>79605</v>
      </c>
      <c r="S1533" s="34">
        <v>42145</v>
      </c>
      <c r="T1533" s="34">
        <v>42148</v>
      </c>
      <c r="U1533" s="29">
        <v>3.3839999999999999</v>
      </c>
      <c r="V1533" s="26">
        <v>4</v>
      </c>
      <c r="W1533" s="29">
        <v>53.3</v>
      </c>
      <c r="X1533" s="26">
        <v>89258</v>
      </c>
      <c r="Y1533" s="35">
        <v>12.92</v>
      </c>
      <c r="Z1533" s="1" t="s">
        <v>3012</v>
      </c>
      <c r="AA1533" s="36">
        <v>0</v>
      </c>
      <c r="AB1533" s="54">
        <v>22.385999999999999</v>
      </c>
      <c r="AC1533" s="54">
        <v>7.7284999999999995</v>
      </c>
      <c r="AD1533" s="36">
        <v>44.935999999999993</v>
      </c>
    </row>
    <row r="1534" spans="1:30" s="37" customFormat="1" ht="15.75" customHeight="1" x14ac:dyDescent="0.2">
      <c r="A1534" s="26">
        <v>1254</v>
      </c>
      <c r="B1534" s="27" t="s">
        <v>1590</v>
      </c>
      <c r="C1534" s="27" t="s">
        <v>116</v>
      </c>
      <c r="D1534" s="28">
        <v>0.04</v>
      </c>
      <c r="E1534" s="29">
        <v>2.08</v>
      </c>
      <c r="F1534" s="29">
        <v>1.49</v>
      </c>
      <c r="G1534" s="30" t="s">
        <v>39</v>
      </c>
      <c r="H1534" s="27" t="s">
        <v>71</v>
      </c>
      <c r="I1534" s="27" t="s">
        <v>49</v>
      </c>
      <c r="J1534" s="27" t="s">
        <v>72</v>
      </c>
      <c r="K1534" s="27" t="s">
        <v>73</v>
      </c>
      <c r="L1534" s="31" t="s">
        <v>1410</v>
      </c>
      <c r="M1534" s="32">
        <v>0.36</v>
      </c>
      <c r="N1534" s="27" t="s">
        <v>33</v>
      </c>
      <c r="O1534" s="27" t="s">
        <v>53</v>
      </c>
      <c r="P1534" s="27" t="s">
        <v>187</v>
      </c>
      <c r="Q1534" s="27" t="s">
        <v>1591</v>
      </c>
      <c r="R1534" s="33">
        <v>77530</v>
      </c>
      <c r="S1534" s="34">
        <v>42145</v>
      </c>
      <c r="T1534" s="34">
        <v>42147</v>
      </c>
      <c r="U1534" s="29">
        <v>-11.281499999999999</v>
      </c>
      <c r="V1534" s="26">
        <v>16</v>
      </c>
      <c r="W1534" s="29">
        <v>33.770000000000003</v>
      </c>
      <c r="X1534" s="26">
        <v>89982</v>
      </c>
      <c r="Y1534" s="35">
        <v>4.92</v>
      </c>
      <c r="Z1534" s="1" t="s">
        <v>3012</v>
      </c>
      <c r="AA1534" s="36">
        <v>1.3312000000000002</v>
      </c>
      <c r="AB1534" s="54">
        <v>21.612800000000004</v>
      </c>
      <c r="AC1534" s="54">
        <v>0.75982500000000008</v>
      </c>
      <c r="AD1534" s="36">
        <v>42.2303</v>
      </c>
    </row>
    <row r="1535" spans="1:30" s="37" customFormat="1" ht="15.75" customHeight="1" x14ac:dyDescent="0.2">
      <c r="A1535" s="26">
        <v>276</v>
      </c>
      <c r="B1535" s="27" t="s">
        <v>2595</v>
      </c>
      <c r="C1535" s="27" t="s">
        <v>26</v>
      </c>
      <c r="D1535" s="28">
        <v>0.04</v>
      </c>
      <c r="E1535" s="29">
        <v>1.98</v>
      </c>
      <c r="F1535" s="29">
        <v>0.7</v>
      </c>
      <c r="G1535" s="30" t="s">
        <v>87</v>
      </c>
      <c r="H1535" s="27" t="s">
        <v>94</v>
      </c>
      <c r="I1535" s="27" t="s">
        <v>49</v>
      </c>
      <c r="J1535" s="27" t="s">
        <v>176</v>
      </c>
      <c r="K1535" s="27" t="s">
        <v>51</v>
      </c>
      <c r="L1535" s="31" t="s">
        <v>441</v>
      </c>
      <c r="M1535" s="32">
        <v>0.83</v>
      </c>
      <c r="N1535" s="27" t="s">
        <v>33</v>
      </c>
      <c r="O1535" s="27" t="s">
        <v>111</v>
      </c>
      <c r="P1535" s="27" t="s">
        <v>248</v>
      </c>
      <c r="Q1535" s="27" t="s">
        <v>1389</v>
      </c>
      <c r="R1535" s="33">
        <v>6111</v>
      </c>
      <c r="S1535" s="34">
        <v>42145</v>
      </c>
      <c r="T1535" s="34">
        <v>42146</v>
      </c>
      <c r="U1535" s="29">
        <v>-1</v>
      </c>
      <c r="V1535" s="26">
        <v>3</v>
      </c>
      <c r="W1535" s="29">
        <v>8.3000000000000007</v>
      </c>
      <c r="X1535" s="26">
        <v>89291</v>
      </c>
      <c r="Y1535" s="35">
        <v>12.92</v>
      </c>
      <c r="Z1535" s="1" t="s">
        <v>3014</v>
      </c>
      <c r="AA1535" s="36">
        <v>0.23760000000000003</v>
      </c>
      <c r="AB1535" s="54">
        <v>1.4110000000000005</v>
      </c>
      <c r="AC1535" s="54">
        <v>2.2963333333333336</v>
      </c>
      <c r="AD1535" s="36">
        <v>8.3624000000000009</v>
      </c>
    </row>
    <row r="1536" spans="1:30" s="37" customFormat="1" ht="15.75" customHeight="1" x14ac:dyDescent="0.2">
      <c r="A1536" s="26">
        <v>820</v>
      </c>
      <c r="B1536" s="27" t="s">
        <v>2605</v>
      </c>
      <c r="C1536" s="27" t="s">
        <v>48</v>
      </c>
      <c r="D1536" s="28">
        <v>0.09</v>
      </c>
      <c r="E1536" s="29">
        <v>5.84</v>
      </c>
      <c r="F1536" s="29">
        <v>0.83</v>
      </c>
      <c r="G1536" s="30" t="s">
        <v>39</v>
      </c>
      <c r="H1536" s="27" t="s">
        <v>3095</v>
      </c>
      <c r="I1536" s="27" t="s">
        <v>49</v>
      </c>
      <c r="J1536" s="27" t="s">
        <v>50</v>
      </c>
      <c r="K1536" s="27" t="s">
        <v>51</v>
      </c>
      <c r="L1536" s="31" t="s">
        <v>2606</v>
      </c>
      <c r="M1536" s="32">
        <v>0.49</v>
      </c>
      <c r="N1536" s="27" t="s">
        <v>33</v>
      </c>
      <c r="O1536" s="27" t="s">
        <v>60</v>
      </c>
      <c r="P1536" s="27" t="s">
        <v>67</v>
      </c>
      <c r="Q1536" s="27" t="s">
        <v>2607</v>
      </c>
      <c r="R1536" s="33">
        <v>99362</v>
      </c>
      <c r="S1536" s="34">
        <v>42145</v>
      </c>
      <c r="T1536" s="34">
        <v>42149</v>
      </c>
      <c r="U1536" s="29">
        <v>-2.87</v>
      </c>
      <c r="V1536" s="26">
        <v>1</v>
      </c>
      <c r="W1536" s="29">
        <v>5.9</v>
      </c>
      <c r="X1536" s="26">
        <v>90244</v>
      </c>
      <c r="Y1536" s="35">
        <v>218.02</v>
      </c>
      <c r="Z1536" s="1" t="s">
        <v>3013</v>
      </c>
      <c r="AA1536" s="36">
        <v>0.52559999999999996</v>
      </c>
      <c r="AB1536" s="54">
        <v>3.0090000000000003</v>
      </c>
      <c r="AC1536" s="54">
        <v>2.891</v>
      </c>
      <c r="AD1536" s="36">
        <v>7.4144000000000005</v>
      </c>
    </row>
    <row r="1537" spans="1:30" s="37" customFormat="1" ht="15.75" customHeight="1" x14ac:dyDescent="0.2">
      <c r="A1537" s="26">
        <v>1246</v>
      </c>
      <c r="B1537" s="27" t="s">
        <v>2011</v>
      </c>
      <c r="C1537" s="27" t="s">
        <v>48</v>
      </c>
      <c r="D1537" s="28">
        <v>0.03</v>
      </c>
      <c r="E1537" s="29">
        <v>256.99</v>
      </c>
      <c r="F1537" s="29">
        <v>11.25</v>
      </c>
      <c r="G1537" s="30" t="s">
        <v>39</v>
      </c>
      <c r="H1537" s="27" t="s">
        <v>71</v>
      </c>
      <c r="I1537" s="27" t="s">
        <v>41</v>
      </c>
      <c r="J1537" s="27" t="s">
        <v>42</v>
      </c>
      <c r="K1537" s="27" t="s">
        <v>73</v>
      </c>
      <c r="L1537" s="31" t="s">
        <v>2621</v>
      </c>
      <c r="M1537" s="32">
        <v>0.51</v>
      </c>
      <c r="N1537" s="27" t="s">
        <v>33</v>
      </c>
      <c r="O1537" s="27" t="s">
        <v>111</v>
      </c>
      <c r="P1537" s="27" t="s">
        <v>112</v>
      </c>
      <c r="Q1537" s="27" t="s">
        <v>113</v>
      </c>
      <c r="R1537" s="33">
        <v>10009</v>
      </c>
      <c r="S1537" s="34">
        <v>42146</v>
      </c>
      <c r="T1537" s="34">
        <v>42146</v>
      </c>
      <c r="U1537" s="29">
        <v>1489.8</v>
      </c>
      <c r="V1537" s="26">
        <v>32</v>
      </c>
      <c r="W1537" s="29">
        <v>8216.2800000000007</v>
      </c>
      <c r="X1537" s="26">
        <v>46853</v>
      </c>
      <c r="Y1537" s="35">
        <v>130.88</v>
      </c>
      <c r="Z1537" s="1" t="s">
        <v>3014</v>
      </c>
      <c r="AA1537" s="36">
        <v>246.71039999999999</v>
      </c>
      <c r="AB1537" s="54">
        <v>4025.9772000000003</v>
      </c>
      <c r="AC1537" s="54">
        <v>130.94696250000001</v>
      </c>
      <c r="AD1537" s="36">
        <v>6468.5196000000005</v>
      </c>
    </row>
    <row r="1538" spans="1:30" s="37" customFormat="1" ht="15.75" customHeight="1" x14ac:dyDescent="0.2">
      <c r="A1538" s="26">
        <v>2385</v>
      </c>
      <c r="B1538" s="27" t="s">
        <v>2617</v>
      </c>
      <c r="C1538" s="27" t="s">
        <v>26</v>
      </c>
      <c r="D1538" s="28">
        <v>0.1</v>
      </c>
      <c r="E1538" s="29">
        <v>130.97999999999999</v>
      </c>
      <c r="F1538" s="29">
        <v>30</v>
      </c>
      <c r="G1538" s="30" t="s">
        <v>27</v>
      </c>
      <c r="H1538" s="27" t="s">
        <v>3095</v>
      </c>
      <c r="I1538" s="27" t="s">
        <v>29</v>
      </c>
      <c r="J1538" s="27" t="s">
        <v>109</v>
      </c>
      <c r="K1538" s="27" t="s">
        <v>58</v>
      </c>
      <c r="L1538" s="31" t="s">
        <v>2199</v>
      </c>
      <c r="M1538" s="32">
        <v>0.78</v>
      </c>
      <c r="N1538" s="27" t="s">
        <v>33</v>
      </c>
      <c r="O1538" s="27" t="s">
        <v>60</v>
      </c>
      <c r="P1538" s="27" t="s">
        <v>640</v>
      </c>
      <c r="Q1538" s="27" t="s">
        <v>2618</v>
      </c>
      <c r="R1538" s="33">
        <v>88001</v>
      </c>
      <c r="S1538" s="34">
        <v>42146</v>
      </c>
      <c r="T1538" s="34">
        <v>42148</v>
      </c>
      <c r="U1538" s="29">
        <v>2000.11</v>
      </c>
      <c r="V1538" s="26">
        <v>18</v>
      </c>
      <c r="W1538" s="29">
        <v>2259.9899999999998</v>
      </c>
      <c r="X1538" s="26">
        <v>89184</v>
      </c>
      <c r="Y1538" s="35">
        <v>4.9200000000000008</v>
      </c>
      <c r="Z1538" s="1" t="s">
        <v>3013</v>
      </c>
      <c r="AA1538" s="36">
        <v>235.76399999999998</v>
      </c>
      <c r="AB1538" s="54">
        <v>497.19779999999992</v>
      </c>
      <c r="AC1538" s="54">
        <v>97.932900000000004</v>
      </c>
      <c r="AD1538" s="36">
        <v>-5.8840000000000146</v>
      </c>
    </row>
    <row r="1539" spans="1:30" s="37" customFormat="1" ht="15.75" customHeight="1" x14ac:dyDescent="0.2">
      <c r="A1539" s="26">
        <v>2976</v>
      </c>
      <c r="B1539" s="27" t="s">
        <v>2622</v>
      </c>
      <c r="C1539" s="27" t="s">
        <v>116</v>
      </c>
      <c r="D1539" s="28">
        <v>0.01</v>
      </c>
      <c r="E1539" s="29">
        <v>35.99</v>
      </c>
      <c r="F1539" s="29">
        <v>0.99</v>
      </c>
      <c r="G1539" s="30" t="s">
        <v>39</v>
      </c>
      <c r="H1539" s="27" t="s">
        <v>3095</v>
      </c>
      <c r="I1539" s="27" t="s">
        <v>41</v>
      </c>
      <c r="J1539" s="27" t="s">
        <v>135</v>
      </c>
      <c r="K1539" s="27" t="s">
        <v>43</v>
      </c>
      <c r="L1539" s="31" t="s">
        <v>1985</v>
      </c>
      <c r="M1539" s="32">
        <v>0.35</v>
      </c>
      <c r="N1539" s="27" t="s">
        <v>33</v>
      </c>
      <c r="O1539" s="27" t="s">
        <v>53</v>
      </c>
      <c r="P1539" s="27" t="s">
        <v>357</v>
      </c>
      <c r="Q1539" s="27" t="s">
        <v>2623</v>
      </c>
      <c r="R1539" s="33">
        <v>53154</v>
      </c>
      <c r="S1539" s="34">
        <v>42146</v>
      </c>
      <c r="T1539" s="34">
        <v>42147</v>
      </c>
      <c r="U1539" s="29">
        <v>882.48239999999998</v>
      </c>
      <c r="V1539" s="26">
        <v>41</v>
      </c>
      <c r="W1539" s="29">
        <v>1278.96</v>
      </c>
      <c r="X1539" s="26">
        <v>89047</v>
      </c>
      <c r="Y1539" s="35">
        <v>1.6099999999999999</v>
      </c>
      <c r="Z1539" s="1" t="s">
        <v>3012</v>
      </c>
      <c r="AA1539" s="36">
        <v>14.755900000000002</v>
      </c>
      <c r="AB1539" s="54">
        <v>831.32400000000007</v>
      </c>
      <c r="AC1539" s="54">
        <v>10.917951219512195</v>
      </c>
      <c r="AD1539" s="36">
        <v>380.73170000000005</v>
      </c>
    </row>
    <row r="1540" spans="1:30" s="37" customFormat="1" ht="15.75" customHeight="1" x14ac:dyDescent="0.2">
      <c r="A1540" s="26">
        <v>1257</v>
      </c>
      <c r="B1540" s="27" t="s">
        <v>2281</v>
      </c>
      <c r="C1540" s="27" t="s">
        <v>116</v>
      </c>
      <c r="D1540" s="28">
        <v>0.01</v>
      </c>
      <c r="E1540" s="29">
        <v>115.99</v>
      </c>
      <c r="F1540" s="29">
        <v>56.14</v>
      </c>
      <c r="G1540" s="30" t="s">
        <v>27</v>
      </c>
      <c r="H1540" s="27" t="s">
        <v>71</v>
      </c>
      <c r="I1540" s="27" t="s">
        <v>41</v>
      </c>
      <c r="J1540" s="27" t="s">
        <v>57</v>
      </c>
      <c r="K1540" s="27" t="s">
        <v>58</v>
      </c>
      <c r="L1540" s="31" t="s">
        <v>480</v>
      </c>
      <c r="M1540" s="32">
        <v>0.4</v>
      </c>
      <c r="N1540" s="27" t="s">
        <v>33</v>
      </c>
      <c r="O1540" s="27" t="s">
        <v>60</v>
      </c>
      <c r="P1540" s="27" t="s">
        <v>61</v>
      </c>
      <c r="Q1540" s="27" t="s">
        <v>1123</v>
      </c>
      <c r="R1540" s="33">
        <v>80013</v>
      </c>
      <c r="S1540" s="34">
        <v>42146</v>
      </c>
      <c r="T1540" s="34">
        <v>42147</v>
      </c>
      <c r="U1540" s="29">
        <v>-164.39519999999999</v>
      </c>
      <c r="V1540" s="26">
        <v>5</v>
      </c>
      <c r="W1540" s="29">
        <v>604.35</v>
      </c>
      <c r="X1540" s="26">
        <v>86535</v>
      </c>
      <c r="Y1540" s="35">
        <v>9.99</v>
      </c>
      <c r="Z1540" s="1" t="s">
        <v>3013</v>
      </c>
      <c r="AA1540" s="36">
        <v>5.7995000000000001</v>
      </c>
      <c r="AB1540" s="54">
        <v>362.61</v>
      </c>
      <c r="AC1540" s="54">
        <v>48.348000000000006</v>
      </c>
      <c r="AD1540" s="36">
        <v>706.8057</v>
      </c>
    </row>
    <row r="1541" spans="1:30" s="37" customFormat="1" ht="15.75" customHeight="1" x14ac:dyDescent="0.2">
      <c r="A1541" s="26">
        <v>2198</v>
      </c>
      <c r="B1541" s="27" t="s">
        <v>2624</v>
      </c>
      <c r="C1541" s="27" t="s">
        <v>3094</v>
      </c>
      <c r="D1541" s="28">
        <v>0.03</v>
      </c>
      <c r="E1541" s="29">
        <v>25.98</v>
      </c>
      <c r="F1541" s="29">
        <v>4.08</v>
      </c>
      <c r="G1541" s="30" t="s">
        <v>39</v>
      </c>
      <c r="H1541" s="27" t="s">
        <v>3095</v>
      </c>
      <c r="I1541" s="27" t="s">
        <v>49</v>
      </c>
      <c r="J1541" s="27" t="s">
        <v>50</v>
      </c>
      <c r="K1541" s="27" t="s">
        <v>43</v>
      </c>
      <c r="L1541" s="31" t="s">
        <v>2625</v>
      </c>
      <c r="M1541" s="32">
        <v>0.56999999999999995</v>
      </c>
      <c r="N1541" s="27" t="s">
        <v>33</v>
      </c>
      <c r="O1541" s="27" t="s">
        <v>111</v>
      </c>
      <c r="P1541" s="27" t="s">
        <v>112</v>
      </c>
      <c r="Q1541" s="27" t="s">
        <v>2626</v>
      </c>
      <c r="R1541" s="33">
        <v>11757</v>
      </c>
      <c r="S1541" s="34">
        <v>42146</v>
      </c>
      <c r="T1541" s="34">
        <v>42149</v>
      </c>
      <c r="U1541" s="29">
        <v>295.90649999999999</v>
      </c>
      <c r="V1541" s="26">
        <v>16</v>
      </c>
      <c r="W1541" s="29">
        <v>428.85</v>
      </c>
      <c r="X1541" s="26">
        <v>89174</v>
      </c>
      <c r="Y1541" s="35">
        <v>1.6099999999999999</v>
      </c>
      <c r="Z1541" s="1" t="s">
        <v>3014</v>
      </c>
      <c r="AA1541" s="36">
        <v>12.4704</v>
      </c>
      <c r="AB1541" s="54">
        <v>184.40550000000002</v>
      </c>
      <c r="AC1541" s="54">
        <v>15.27778125</v>
      </c>
      <c r="AD1541" s="36">
        <v>116.39310000000006</v>
      </c>
    </row>
    <row r="1542" spans="1:30" s="37" customFormat="1" ht="15.75" customHeight="1" x14ac:dyDescent="0.2">
      <c r="A1542" s="26">
        <v>2198</v>
      </c>
      <c r="B1542" s="27" t="s">
        <v>2624</v>
      </c>
      <c r="C1542" s="27" t="s">
        <v>3094</v>
      </c>
      <c r="D1542" s="28">
        <v>0.1</v>
      </c>
      <c r="E1542" s="29">
        <v>20.98</v>
      </c>
      <c r="F1542" s="29">
        <v>53.03</v>
      </c>
      <c r="G1542" s="30" t="s">
        <v>27</v>
      </c>
      <c r="H1542" s="27" t="s">
        <v>3095</v>
      </c>
      <c r="I1542" s="27" t="s">
        <v>49</v>
      </c>
      <c r="J1542" s="27" t="s">
        <v>78</v>
      </c>
      <c r="K1542" s="27" t="s">
        <v>58</v>
      </c>
      <c r="L1542" s="31" t="s">
        <v>1090</v>
      </c>
      <c r="M1542" s="32">
        <v>0.78</v>
      </c>
      <c r="N1542" s="27" t="s">
        <v>33</v>
      </c>
      <c r="O1542" s="27" t="s">
        <v>111</v>
      </c>
      <c r="P1542" s="27" t="s">
        <v>112</v>
      </c>
      <c r="Q1542" s="27" t="s">
        <v>2626</v>
      </c>
      <c r="R1542" s="33">
        <v>11757</v>
      </c>
      <c r="S1542" s="34">
        <v>42146</v>
      </c>
      <c r="T1542" s="34">
        <v>42146</v>
      </c>
      <c r="U1542" s="29">
        <v>-2111.36</v>
      </c>
      <c r="V1542" s="26">
        <v>16</v>
      </c>
      <c r="W1542" s="29">
        <v>342.54</v>
      </c>
      <c r="X1542" s="26">
        <v>89174</v>
      </c>
      <c r="Y1542" s="35">
        <v>256.96000000000004</v>
      </c>
      <c r="Z1542" s="1" t="s">
        <v>3014</v>
      </c>
      <c r="AA1542" s="36">
        <v>33.568000000000005</v>
      </c>
      <c r="AB1542" s="54">
        <v>75.358800000000002</v>
      </c>
      <c r="AC1542" s="54">
        <v>16.698825000000003</v>
      </c>
      <c r="AD1542" s="36">
        <v>2367.3020000000001</v>
      </c>
    </row>
    <row r="1543" spans="1:30" s="37" customFormat="1" ht="15.75" customHeight="1" x14ac:dyDescent="0.2">
      <c r="A1543" s="26">
        <v>188</v>
      </c>
      <c r="B1543" s="27" t="s">
        <v>2620</v>
      </c>
      <c r="C1543" s="27" t="s">
        <v>38</v>
      </c>
      <c r="D1543" s="28">
        <v>7.0000000000000007E-2</v>
      </c>
      <c r="E1543" s="29">
        <v>10.06</v>
      </c>
      <c r="F1543" s="29">
        <v>2.06</v>
      </c>
      <c r="G1543" s="30" t="s">
        <v>39</v>
      </c>
      <c r="H1543" s="27" t="s">
        <v>94</v>
      </c>
      <c r="I1543" s="27" t="s">
        <v>49</v>
      </c>
      <c r="J1543" s="27" t="s">
        <v>88</v>
      </c>
      <c r="K1543" s="27" t="s">
        <v>51</v>
      </c>
      <c r="L1543" s="31" t="s">
        <v>173</v>
      </c>
      <c r="M1543" s="32">
        <v>0.39</v>
      </c>
      <c r="N1543" s="27" t="s">
        <v>33</v>
      </c>
      <c r="O1543" s="27" t="s">
        <v>53</v>
      </c>
      <c r="P1543" s="27" t="s">
        <v>187</v>
      </c>
      <c r="Q1543" s="27" t="s">
        <v>1957</v>
      </c>
      <c r="R1543" s="33">
        <v>76240</v>
      </c>
      <c r="S1543" s="34">
        <v>42146</v>
      </c>
      <c r="T1543" s="34">
        <v>42146</v>
      </c>
      <c r="U1543" s="29">
        <v>152.65559999999999</v>
      </c>
      <c r="V1543" s="26">
        <v>23</v>
      </c>
      <c r="W1543" s="29">
        <v>221.24</v>
      </c>
      <c r="X1543" s="26">
        <v>88361</v>
      </c>
      <c r="Y1543" s="35">
        <v>115.97999999999999</v>
      </c>
      <c r="Z1543" s="1" t="s">
        <v>3012</v>
      </c>
      <c r="AA1543" s="36">
        <v>16.1966</v>
      </c>
      <c r="AB1543" s="54">
        <v>134.9564</v>
      </c>
      <c r="AC1543" s="54">
        <v>3.7514608695652174</v>
      </c>
      <c r="AD1543" s="36">
        <v>50.327800000000025</v>
      </c>
    </row>
    <row r="1544" spans="1:30" s="37" customFormat="1" ht="15.75" customHeight="1" x14ac:dyDescent="0.2">
      <c r="A1544" s="26">
        <v>181</v>
      </c>
      <c r="B1544" s="27" t="s">
        <v>1287</v>
      </c>
      <c r="C1544" s="27" t="s">
        <v>38</v>
      </c>
      <c r="D1544" s="28">
        <v>7.0000000000000007E-2</v>
      </c>
      <c r="E1544" s="29">
        <v>1.68</v>
      </c>
      <c r="F1544" s="29">
        <v>1.57</v>
      </c>
      <c r="G1544" s="30" t="s">
        <v>39</v>
      </c>
      <c r="H1544" s="27" t="s">
        <v>94</v>
      </c>
      <c r="I1544" s="27" t="s">
        <v>49</v>
      </c>
      <c r="J1544" s="27" t="s">
        <v>50</v>
      </c>
      <c r="K1544" s="27" t="s">
        <v>51</v>
      </c>
      <c r="L1544" s="31" t="s">
        <v>574</v>
      </c>
      <c r="M1544" s="32">
        <v>0.59</v>
      </c>
      <c r="N1544" s="27" t="s">
        <v>33</v>
      </c>
      <c r="O1544" s="27" t="s">
        <v>60</v>
      </c>
      <c r="P1544" s="27" t="s">
        <v>90</v>
      </c>
      <c r="Q1544" s="27" t="s">
        <v>941</v>
      </c>
      <c r="R1544" s="33">
        <v>94122</v>
      </c>
      <c r="S1544" s="34">
        <v>42146</v>
      </c>
      <c r="T1544" s="34">
        <v>42147</v>
      </c>
      <c r="U1544" s="29">
        <v>-35.75</v>
      </c>
      <c r="V1544" s="26">
        <v>116</v>
      </c>
      <c r="W1544" s="29">
        <v>186.59</v>
      </c>
      <c r="X1544" s="26">
        <v>3585</v>
      </c>
      <c r="Y1544" s="35">
        <v>35.980000000000004</v>
      </c>
      <c r="Z1544" s="1" t="s">
        <v>3013</v>
      </c>
      <c r="AA1544" s="36">
        <v>13.6416</v>
      </c>
      <c r="AB1544" s="54">
        <v>76.501900000000006</v>
      </c>
      <c r="AC1544" s="54">
        <v>0.94903534482758622</v>
      </c>
      <c r="AD1544" s="36">
        <v>207.1284</v>
      </c>
    </row>
    <row r="1545" spans="1:30" s="37" customFormat="1" ht="15.75" customHeight="1" x14ac:dyDescent="0.2">
      <c r="A1545" s="26">
        <v>2699</v>
      </c>
      <c r="B1545" s="27" t="s">
        <v>2089</v>
      </c>
      <c r="C1545" s="27" t="s">
        <v>26</v>
      </c>
      <c r="D1545" s="28">
        <v>0.06</v>
      </c>
      <c r="E1545" s="29">
        <v>4.9800000000000004</v>
      </c>
      <c r="F1545" s="29">
        <v>4.95</v>
      </c>
      <c r="G1545" s="30" t="s">
        <v>39</v>
      </c>
      <c r="H1545" s="27" t="s">
        <v>94</v>
      </c>
      <c r="I1545" s="27" t="s">
        <v>49</v>
      </c>
      <c r="J1545" s="27" t="s">
        <v>72</v>
      </c>
      <c r="K1545" s="27" t="s">
        <v>73</v>
      </c>
      <c r="L1545" s="31" t="s">
        <v>2619</v>
      </c>
      <c r="M1545" s="32">
        <v>0.37</v>
      </c>
      <c r="N1545" s="27" t="s">
        <v>33</v>
      </c>
      <c r="O1545" s="27" t="s">
        <v>60</v>
      </c>
      <c r="P1545" s="27" t="s">
        <v>588</v>
      </c>
      <c r="Q1545" s="27" t="s">
        <v>2091</v>
      </c>
      <c r="R1545" s="33">
        <v>86442</v>
      </c>
      <c r="S1545" s="34">
        <v>42146</v>
      </c>
      <c r="T1545" s="34">
        <v>42148</v>
      </c>
      <c r="U1545" s="29">
        <v>-103.224</v>
      </c>
      <c r="V1545" s="26">
        <v>16</v>
      </c>
      <c r="W1545" s="29">
        <v>78.989999999999995</v>
      </c>
      <c r="X1545" s="26">
        <v>87677</v>
      </c>
      <c r="Y1545" s="35">
        <v>25.95</v>
      </c>
      <c r="Z1545" s="1" t="s">
        <v>3013</v>
      </c>
      <c r="AA1545" s="36">
        <v>4.7808000000000002</v>
      </c>
      <c r="AB1545" s="54">
        <v>49.7637</v>
      </c>
      <c r="AC1545" s="54">
        <v>1.8266437499999999</v>
      </c>
      <c r="AD1545" s="36">
        <v>172.48320000000001</v>
      </c>
    </row>
    <row r="1546" spans="1:30" s="37" customFormat="1" ht="15.75" customHeight="1" x14ac:dyDescent="0.2">
      <c r="A1546" s="26">
        <v>188</v>
      </c>
      <c r="B1546" s="27" t="s">
        <v>2620</v>
      </c>
      <c r="C1546" s="27" t="s">
        <v>38</v>
      </c>
      <c r="D1546" s="28">
        <v>7.0000000000000007E-2</v>
      </c>
      <c r="E1546" s="29">
        <v>1.68</v>
      </c>
      <c r="F1546" s="29">
        <v>1.57</v>
      </c>
      <c r="G1546" s="30" t="s">
        <v>39</v>
      </c>
      <c r="H1546" s="27" t="s">
        <v>94</v>
      </c>
      <c r="I1546" s="27" t="s">
        <v>49</v>
      </c>
      <c r="J1546" s="27" t="s">
        <v>50</v>
      </c>
      <c r="K1546" s="27" t="s">
        <v>51</v>
      </c>
      <c r="L1546" s="31" t="s">
        <v>574</v>
      </c>
      <c r="M1546" s="32">
        <v>0.59</v>
      </c>
      <c r="N1546" s="27" t="s">
        <v>33</v>
      </c>
      <c r="O1546" s="27" t="s">
        <v>53</v>
      </c>
      <c r="P1546" s="27" t="s">
        <v>187</v>
      </c>
      <c r="Q1546" s="27" t="s">
        <v>1957</v>
      </c>
      <c r="R1546" s="33">
        <v>76240</v>
      </c>
      <c r="S1546" s="34">
        <v>42146</v>
      </c>
      <c r="T1546" s="34">
        <v>42147</v>
      </c>
      <c r="U1546" s="29">
        <v>7.15</v>
      </c>
      <c r="V1546" s="26">
        <v>29</v>
      </c>
      <c r="W1546" s="29">
        <v>46.65</v>
      </c>
      <c r="X1546" s="26">
        <v>88361</v>
      </c>
      <c r="Y1546" s="35">
        <v>20.88</v>
      </c>
      <c r="Z1546" s="1" t="s">
        <v>3012</v>
      </c>
      <c r="AA1546" s="36">
        <v>3.4104000000000001</v>
      </c>
      <c r="AB1546" s="54">
        <v>19.1265</v>
      </c>
      <c r="AC1546" s="54">
        <v>0.94908620689655165</v>
      </c>
      <c r="AD1546" s="36">
        <v>34.519599999999997</v>
      </c>
    </row>
    <row r="1547" spans="1:30" s="37" customFormat="1" ht="15.75" customHeight="1" x14ac:dyDescent="0.2">
      <c r="A1547" s="26">
        <v>540</v>
      </c>
      <c r="B1547" s="27" t="s">
        <v>2508</v>
      </c>
      <c r="C1547" s="27" t="s">
        <v>116</v>
      </c>
      <c r="D1547" s="28">
        <v>0.05</v>
      </c>
      <c r="E1547" s="29">
        <v>204.1</v>
      </c>
      <c r="F1547" s="29">
        <v>13.99</v>
      </c>
      <c r="G1547" s="30" t="s">
        <v>39</v>
      </c>
      <c r="H1547" s="27" t="s">
        <v>3095</v>
      </c>
      <c r="I1547" s="27" t="s">
        <v>41</v>
      </c>
      <c r="J1547" s="27" t="s">
        <v>57</v>
      </c>
      <c r="K1547" s="27" t="s">
        <v>144</v>
      </c>
      <c r="L1547" s="31" t="s">
        <v>2640</v>
      </c>
      <c r="M1547" s="32">
        <v>0.37</v>
      </c>
      <c r="N1547" s="27" t="s">
        <v>33</v>
      </c>
      <c r="O1547" s="27" t="s">
        <v>53</v>
      </c>
      <c r="P1547" s="27" t="s">
        <v>103</v>
      </c>
      <c r="Q1547" s="27" t="s">
        <v>2510</v>
      </c>
      <c r="R1547" s="33">
        <v>60061</v>
      </c>
      <c r="S1547" s="34">
        <v>42147</v>
      </c>
      <c r="T1547" s="34">
        <v>42149</v>
      </c>
      <c r="U1547" s="29">
        <v>5924.1122999999998</v>
      </c>
      <c r="V1547" s="26">
        <v>41</v>
      </c>
      <c r="W1547" s="29">
        <v>8585.67</v>
      </c>
      <c r="X1547" s="26">
        <v>91175</v>
      </c>
      <c r="Y1547" s="35">
        <v>2.1500000000000004</v>
      </c>
      <c r="Z1547" s="1" t="s">
        <v>3012</v>
      </c>
      <c r="AA1547" s="36">
        <v>418.40500000000003</v>
      </c>
      <c r="AB1547" s="54">
        <v>5408.9721</v>
      </c>
      <c r="AC1547" s="54">
        <v>77.480436585365851</v>
      </c>
      <c r="AD1547" s="36">
        <v>2229.1627000000008</v>
      </c>
    </row>
    <row r="1548" spans="1:30" s="37" customFormat="1" ht="15.75" customHeight="1" x14ac:dyDescent="0.2">
      <c r="A1548" s="26">
        <v>2858</v>
      </c>
      <c r="B1548" s="27" t="s">
        <v>2551</v>
      </c>
      <c r="C1548" s="27" t="s">
        <v>48</v>
      </c>
      <c r="D1548" s="28">
        <v>0.1</v>
      </c>
      <c r="E1548" s="29">
        <v>130.97999999999999</v>
      </c>
      <c r="F1548" s="29">
        <v>54.74</v>
      </c>
      <c r="G1548" s="30" t="s">
        <v>27</v>
      </c>
      <c r="H1548" s="27" t="s">
        <v>94</v>
      </c>
      <c r="I1548" s="27" t="s">
        <v>29</v>
      </c>
      <c r="J1548" s="27" t="s">
        <v>117</v>
      </c>
      <c r="K1548" s="27" t="s">
        <v>31</v>
      </c>
      <c r="L1548" s="31" t="s">
        <v>1403</v>
      </c>
      <c r="M1548" s="32">
        <v>0.69</v>
      </c>
      <c r="N1548" s="27" t="s">
        <v>33</v>
      </c>
      <c r="O1548" s="27" t="s">
        <v>34</v>
      </c>
      <c r="P1548" s="27" t="s">
        <v>123</v>
      </c>
      <c r="Q1548" s="27" t="s">
        <v>1363</v>
      </c>
      <c r="R1548" s="33">
        <v>32259</v>
      </c>
      <c r="S1548" s="34">
        <v>42147</v>
      </c>
      <c r="T1548" s="34">
        <v>42147</v>
      </c>
      <c r="U1548" s="29">
        <v>669.61199999999997</v>
      </c>
      <c r="V1548" s="26">
        <v>42</v>
      </c>
      <c r="W1548" s="29">
        <v>5295.03</v>
      </c>
      <c r="X1548" s="26">
        <v>88282</v>
      </c>
      <c r="Y1548" s="35">
        <v>21.31</v>
      </c>
      <c r="Z1548" s="1" t="s">
        <v>3011</v>
      </c>
      <c r="AA1548" s="36">
        <v>550.11599999999999</v>
      </c>
      <c r="AB1548" s="54">
        <v>1641.4593000000002</v>
      </c>
      <c r="AC1548" s="54">
        <v>86.989778571428559</v>
      </c>
      <c r="AD1548" s="36">
        <v>4020.5619999999999</v>
      </c>
    </row>
    <row r="1549" spans="1:30" s="37" customFormat="1" ht="15.75" customHeight="1" x14ac:dyDescent="0.2">
      <c r="A1549" s="26">
        <v>2858</v>
      </c>
      <c r="B1549" s="27" t="s">
        <v>2551</v>
      </c>
      <c r="C1549" s="27" t="s">
        <v>48</v>
      </c>
      <c r="D1549" s="28">
        <v>0.04</v>
      </c>
      <c r="E1549" s="29">
        <v>67.28</v>
      </c>
      <c r="F1549" s="29">
        <v>19.989999999999998</v>
      </c>
      <c r="G1549" s="30" t="s">
        <v>39</v>
      </c>
      <c r="H1549" s="27" t="s">
        <v>94</v>
      </c>
      <c r="I1549" s="27" t="s">
        <v>49</v>
      </c>
      <c r="J1549" s="27" t="s">
        <v>72</v>
      </c>
      <c r="K1549" s="27" t="s">
        <v>73</v>
      </c>
      <c r="L1549" s="31" t="s">
        <v>1951</v>
      </c>
      <c r="M1549" s="32">
        <v>0.4</v>
      </c>
      <c r="N1549" s="27" t="s">
        <v>33</v>
      </c>
      <c r="O1549" s="27" t="s">
        <v>34</v>
      </c>
      <c r="P1549" s="27" t="s">
        <v>123</v>
      </c>
      <c r="Q1549" s="27" t="s">
        <v>1363</v>
      </c>
      <c r="R1549" s="33">
        <v>32259</v>
      </c>
      <c r="S1549" s="34">
        <v>42147</v>
      </c>
      <c r="T1549" s="34">
        <v>42152</v>
      </c>
      <c r="U1549" s="29">
        <v>14.754</v>
      </c>
      <c r="V1549" s="26">
        <v>30</v>
      </c>
      <c r="W1549" s="29">
        <v>2051.6799999999998</v>
      </c>
      <c r="X1549" s="26">
        <v>88282</v>
      </c>
      <c r="Y1549" s="35">
        <v>2.54</v>
      </c>
      <c r="Z1549" s="1" t="s">
        <v>3011</v>
      </c>
      <c r="AA1549" s="36">
        <v>80.736000000000004</v>
      </c>
      <c r="AB1549" s="54">
        <v>1231.0079999999998</v>
      </c>
      <c r="AC1549" s="54">
        <v>27.355733333333333</v>
      </c>
      <c r="AD1549" s="36">
        <v>1936.1999999999998</v>
      </c>
    </row>
    <row r="1550" spans="1:30" s="37" customFormat="1" ht="15.75" customHeight="1" x14ac:dyDescent="0.2">
      <c r="A1550" s="26">
        <v>398</v>
      </c>
      <c r="B1550" s="27" t="s">
        <v>2638</v>
      </c>
      <c r="C1550" s="27" t="s">
        <v>116</v>
      </c>
      <c r="D1550" s="28">
        <v>0.05</v>
      </c>
      <c r="E1550" s="29">
        <v>63.94</v>
      </c>
      <c r="F1550" s="29">
        <v>14.48</v>
      </c>
      <c r="G1550" s="30" t="s">
        <v>39</v>
      </c>
      <c r="H1550" s="27" t="s">
        <v>94</v>
      </c>
      <c r="I1550" s="27" t="s">
        <v>29</v>
      </c>
      <c r="J1550" s="27" t="s">
        <v>126</v>
      </c>
      <c r="K1550" s="27" t="s">
        <v>73</v>
      </c>
      <c r="L1550" s="31" t="s">
        <v>1994</v>
      </c>
      <c r="M1550" s="32">
        <v>0.46</v>
      </c>
      <c r="N1550" s="27" t="s">
        <v>33</v>
      </c>
      <c r="O1550" s="27" t="s">
        <v>111</v>
      </c>
      <c r="P1550" s="27" t="s">
        <v>317</v>
      </c>
      <c r="Q1550" s="27" t="s">
        <v>2639</v>
      </c>
      <c r="R1550" s="33">
        <v>45406</v>
      </c>
      <c r="S1550" s="34">
        <v>42147</v>
      </c>
      <c r="T1550" s="34">
        <v>42149</v>
      </c>
      <c r="U1550" s="29">
        <v>1372.6307999999999</v>
      </c>
      <c r="V1550" s="26">
        <v>31</v>
      </c>
      <c r="W1550" s="29">
        <v>1989.32</v>
      </c>
      <c r="X1550" s="26">
        <v>89320</v>
      </c>
      <c r="Y1550" s="35">
        <v>42.769999999999996</v>
      </c>
      <c r="Z1550" s="1" t="s">
        <v>3014</v>
      </c>
      <c r="AA1550" s="36">
        <v>99.106999999999999</v>
      </c>
      <c r="AB1550" s="54">
        <v>1074.2328</v>
      </c>
      <c r="AC1550" s="54">
        <v>29.518941935483873</v>
      </c>
      <c r="AD1550" s="36">
        <v>503.10220000000004</v>
      </c>
    </row>
    <row r="1551" spans="1:30" s="37" customFormat="1" ht="15.75" customHeight="1" x14ac:dyDescent="0.2">
      <c r="A1551" s="26">
        <v>1814</v>
      </c>
      <c r="B1551" s="27" t="s">
        <v>2641</v>
      </c>
      <c r="C1551" s="27" t="s">
        <v>3094</v>
      </c>
      <c r="D1551" s="28">
        <v>0.09</v>
      </c>
      <c r="E1551" s="29">
        <v>77.510000000000005</v>
      </c>
      <c r="F1551" s="29">
        <v>4</v>
      </c>
      <c r="G1551" s="30" t="s">
        <v>87</v>
      </c>
      <c r="H1551" s="27" t="s">
        <v>71</v>
      </c>
      <c r="I1551" s="27" t="s">
        <v>41</v>
      </c>
      <c r="J1551" s="27" t="s">
        <v>42</v>
      </c>
      <c r="K1551" s="27" t="s">
        <v>73</v>
      </c>
      <c r="L1551" s="31" t="s">
        <v>2049</v>
      </c>
      <c r="M1551" s="32">
        <v>0.76</v>
      </c>
      <c r="N1551" s="27" t="s">
        <v>33</v>
      </c>
      <c r="O1551" s="27" t="s">
        <v>34</v>
      </c>
      <c r="P1551" s="27" t="s">
        <v>35</v>
      </c>
      <c r="Q1551" s="27" t="s">
        <v>2642</v>
      </c>
      <c r="R1551" s="33">
        <v>38654</v>
      </c>
      <c r="S1551" s="34">
        <v>42147</v>
      </c>
      <c r="T1551" s="34">
        <v>42149</v>
      </c>
      <c r="U1551" s="29">
        <v>-986.524</v>
      </c>
      <c r="V1551" s="26">
        <v>17</v>
      </c>
      <c r="W1551" s="29">
        <v>1300.54</v>
      </c>
      <c r="X1551" s="26">
        <v>90524</v>
      </c>
      <c r="Y1551" s="35">
        <v>16.84</v>
      </c>
      <c r="Z1551" s="1" t="s">
        <v>3011</v>
      </c>
      <c r="AA1551" s="36">
        <v>118.5903</v>
      </c>
      <c r="AB1551" s="54">
        <v>312.12959999999998</v>
      </c>
      <c r="AC1551" s="54">
        <v>58.141788235294115</v>
      </c>
      <c r="AD1551" s="36">
        <v>2164.4737</v>
      </c>
    </row>
    <row r="1552" spans="1:30" s="37" customFormat="1" ht="15.75" customHeight="1" x14ac:dyDescent="0.2">
      <c r="A1552" s="26">
        <v>3249</v>
      </c>
      <c r="B1552" s="27" t="s">
        <v>2632</v>
      </c>
      <c r="C1552" s="27" t="s">
        <v>38</v>
      </c>
      <c r="D1552" s="28">
        <v>0.03</v>
      </c>
      <c r="E1552" s="29">
        <v>42.8</v>
      </c>
      <c r="F1552" s="29">
        <v>2.99</v>
      </c>
      <c r="G1552" s="30" t="s">
        <v>39</v>
      </c>
      <c r="H1552" s="27" t="s">
        <v>94</v>
      </c>
      <c r="I1552" s="27" t="s">
        <v>49</v>
      </c>
      <c r="J1552" s="27" t="s">
        <v>72</v>
      </c>
      <c r="K1552" s="27" t="s">
        <v>73</v>
      </c>
      <c r="L1552" s="31" t="s">
        <v>2633</v>
      </c>
      <c r="M1552" s="32">
        <v>0.36</v>
      </c>
      <c r="N1552" s="27" t="s">
        <v>33</v>
      </c>
      <c r="O1552" s="27" t="s">
        <v>111</v>
      </c>
      <c r="P1552" s="27" t="s">
        <v>418</v>
      </c>
      <c r="Q1552" s="27" t="s">
        <v>2634</v>
      </c>
      <c r="R1552" s="33">
        <v>21403</v>
      </c>
      <c r="S1552" s="34">
        <v>42147</v>
      </c>
      <c r="T1552" s="34">
        <v>42148</v>
      </c>
      <c r="U1552" s="29">
        <v>462.92099999999999</v>
      </c>
      <c r="V1552" s="26">
        <v>16</v>
      </c>
      <c r="W1552" s="29">
        <v>670.9</v>
      </c>
      <c r="X1552" s="26">
        <v>87298</v>
      </c>
      <c r="Y1552" s="35">
        <v>67.239999999999995</v>
      </c>
      <c r="Z1552" s="1" t="s">
        <v>3014</v>
      </c>
      <c r="AA1552" s="36">
        <v>20.543999999999997</v>
      </c>
      <c r="AB1552" s="54">
        <v>429.37599999999998</v>
      </c>
      <c r="AC1552" s="54">
        <v>15.095249999999998</v>
      </c>
      <c r="AD1552" s="36">
        <v>184.44499999999999</v>
      </c>
    </row>
    <row r="1553" spans="1:30" s="37" customFormat="1" ht="15.75" customHeight="1" x14ac:dyDescent="0.2">
      <c r="A1553" s="26">
        <v>460</v>
      </c>
      <c r="B1553" s="27" t="s">
        <v>2635</v>
      </c>
      <c r="C1553" s="27" t="s">
        <v>48</v>
      </c>
      <c r="D1553" s="28">
        <v>7.0000000000000007E-2</v>
      </c>
      <c r="E1553" s="29">
        <v>16.91</v>
      </c>
      <c r="F1553" s="29">
        <v>6.25</v>
      </c>
      <c r="G1553" s="30" t="s">
        <v>39</v>
      </c>
      <c r="H1553" s="27" t="s">
        <v>71</v>
      </c>
      <c r="I1553" s="27" t="s">
        <v>49</v>
      </c>
      <c r="J1553" s="27" t="s">
        <v>78</v>
      </c>
      <c r="K1553" s="27" t="s">
        <v>73</v>
      </c>
      <c r="L1553" s="31" t="s">
        <v>2636</v>
      </c>
      <c r="M1553" s="32">
        <v>0.57999999999999996</v>
      </c>
      <c r="N1553" s="27" t="s">
        <v>33</v>
      </c>
      <c r="O1553" s="27" t="s">
        <v>111</v>
      </c>
      <c r="P1553" s="27" t="s">
        <v>397</v>
      </c>
      <c r="Q1553" s="27" t="s">
        <v>2637</v>
      </c>
      <c r="R1553" s="33">
        <v>8332</v>
      </c>
      <c r="S1553" s="34">
        <v>42147</v>
      </c>
      <c r="T1553" s="34">
        <v>42154</v>
      </c>
      <c r="U1553" s="29">
        <v>7.9</v>
      </c>
      <c r="V1553" s="26">
        <v>31</v>
      </c>
      <c r="W1553" s="29">
        <v>492.9</v>
      </c>
      <c r="X1553" s="26">
        <v>86014</v>
      </c>
      <c r="Y1553" s="35">
        <v>130.88</v>
      </c>
      <c r="Z1553" s="1" t="s">
        <v>3014</v>
      </c>
      <c r="AA1553" s="36">
        <v>36.694700000000005</v>
      </c>
      <c r="AB1553" s="54">
        <v>207.018</v>
      </c>
      <c r="AC1553" s="54">
        <v>9.2219999999999978</v>
      </c>
      <c r="AD1553" s="36">
        <v>442.05529999999999</v>
      </c>
    </row>
    <row r="1554" spans="1:30" s="37" customFormat="1" ht="15.75" customHeight="1" x14ac:dyDescent="0.2">
      <c r="A1554" s="26">
        <v>2858</v>
      </c>
      <c r="B1554" s="27" t="s">
        <v>2551</v>
      </c>
      <c r="C1554" s="27" t="s">
        <v>48</v>
      </c>
      <c r="D1554" s="28">
        <v>0.04</v>
      </c>
      <c r="E1554" s="29">
        <v>2.78</v>
      </c>
      <c r="F1554" s="29">
        <v>1.25</v>
      </c>
      <c r="G1554" s="30" t="s">
        <v>39</v>
      </c>
      <c r="H1554" s="27" t="s">
        <v>94</v>
      </c>
      <c r="I1554" s="27" t="s">
        <v>49</v>
      </c>
      <c r="J1554" s="27" t="s">
        <v>50</v>
      </c>
      <c r="K1554" s="27" t="s">
        <v>51</v>
      </c>
      <c r="L1554" s="31" t="s">
        <v>382</v>
      </c>
      <c r="M1554" s="32">
        <v>0.59</v>
      </c>
      <c r="N1554" s="27" t="s">
        <v>33</v>
      </c>
      <c r="O1554" s="27" t="s">
        <v>34</v>
      </c>
      <c r="P1554" s="27" t="s">
        <v>123</v>
      </c>
      <c r="Q1554" s="27" t="s">
        <v>1363</v>
      </c>
      <c r="R1554" s="33">
        <v>32259</v>
      </c>
      <c r="S1554" s="34">
        <v>42147</v>
      </c>
      <c r="T1554" s="34">
        <v>42147</v>
      </c>
      <c r="U1554" s="29">
        <v>213</v>
      </c>
      <c r="V1554" s="26">
        <v>28</v>
      </c>
      <c r="W1554" s="29">
        <v>80.27</v>
      </c>
      <c r="X1554" s="26">
        <v>88282</v>
      </c>
      <c r="Y1554" s="35">
        <v>2.7399999999999998</v>
      </c>
      <c r="Z1554" s="1" t="s">
        <v>3011</v>
      </c>
      <c r="AA1554" s="36">
        <v>3.1135999999999999</v>
      </c>
      <c r="AB1554" s="54">
        <v>32.910699999999999</v>
      </c>
      <c r="AC1554" s="54">
        <v>1.6914035714285713</v>
      </c>
      <c r="AD1554" s="36">
        <v>-137.09359999999998</v>
      </c>
    </row>
    <row r="1555" spans="1:30" s="37" customFormat="1" ht="15.75" customHeight="1" x14ac:dyDescent="0.2">
      <c r="A1555" s="26">
        <v>2527</v>
      </c>
      <c r="B1555" s="27" t="s">
        <v>2628</v>
      </c>
      <c r="C1555" s="27" t="s">
        <v>26</v>
      </c>
      <c r="D1555" s="28">
        <v>7.0000000000000007E-2</v>
      </c>
      <c r="E1555" s="29">
        <v>21.38</v>
      </c>
      <c r="F1555" s="29">
        <v>8.99</v>
      </c>
      <c r="G1555" s="30" t="s">
        <v>39</v>
      </c>
      <c r="H1555" s="27" t="s">
        <v>94</v>
      </c>
      <c r="I1555" s="27" t="s">
        <v>49</v>
      </c>
      <c r="J1555" s="27" t="s">
        <v>50</v>
      </c>
      <c r="K1555" s="27" t="s">
        <v>43</v>
      </c>
      <c r="L1555" s="31" t="s">
        <v>1677</v>
      </c>
      <c r="M1555" s="32">
        <v>0.59</v>
      </c>
      <c r="N1555" s="27" t="s">
        <v>33</v>
      </c>
      <c r="O1555" s="27" t="s">
        <v>34</v>
      </c>
      <c r="P1555" s="27" t="s">
        <v>168</v>
      </c>
      <c r="Q1555" s="27" t="s">
        <v>2629</v>
      </c>
      <c r="R1555" s="33">
        <v>70601</v>
      </c>
      <c r="S1555" s="34">
        <v>42147</v>
      </c>
      <c r="T1555" s="34">
        <v>42149</v>
      </c>
      <c r="U1555" s="29">
        <v>-39.396000000000001</v>
      </c>
      <c r="V1555" s="26">
        <v>3</v>
      </c>
      <c r="W1555" s="29">
        <v>68.64</v>
      </c>
      <c r="X1555" s="26">
        <v>87208</v>
      </c>
      <c r="Y1555" s="35">
        <v>63.89</v>
      </c>
      <c r="Z1555" s="1" t="s">
        <v>3011</v>
      </c>
      <c r="AA1555" s="36">
        <v>4.4898000000000007</v>
      </c>
      <c r="AB1555" s="54">
        <v>28.142400000000002</v>
      </c>
      <c r="AC1555" s="54">
        <v>13.499199999999998</v>
      </c>
      <c r="AD1555" s="36">
        <v>94.55619999999999</v>
      </c>
    </row>
    <row r="1556" spans="1:30" s="37" customFormat="1" ht="15.75" customHeight="1" x14ac:dyDescent="0.2">
      <c r="A1556" s="26">
        <v>2526</v>
      </c>
      <c r="B1556" s="27" t="s">
        <v>2627</v>
      </c>
      <c r="C1556" s="27" t="s">
        <v>26</v>
      </c>
      <c r="D1556" s="28">
        <v>0.01</v>
      </c>
      <c r="E1556" s="29">
        <v>2.16</v>
      </c>
      <c r="F1556" s="29">
        <v>6.05</v>
      </c>
      <c r="G1556" s="30" t="s">
        <v>39</v>
      </c>
      <c r="H1556" s="27" t="s">
        <v>94</v>
      </c>
      <c r="I1556" s="27" t="s">
        <v>49</v>
      </c>
      <c r="J1556" s="27" t="s">
        <v>72</v>
      </c>
      <c r="K1556" s="27" t="s">
        <v>73</v>
      </c>
      <c r="L1556" s="31" t="s">
        <v>896</v>
      </c>
      <c r="M1556" s="32">
        <v>0.37</v>
      </c>
      <c r="N1556" s="27" t="s">
        <v>33</v>
      </c>
      <c r="O1556" s="27" t="s">
        <v>34</v>
      </c>
      <c r="P1556" s="27" t="s">
        <v>168</v>
      </c>
      <c r="Q1556" s="27" t="s">
        <v>2029</v>
      </c>
      <c r="R1556" s="33">
        <v>70506</v>
      </c>
      <c r="S1556" s="34">
        <v>42147</v>
      </c>
      <c r="T1556" s="34">
        <v>42149</v>
      </c>
      <c r="U1556" s="29">
        <v>395.76</v>
      </c>
      <c r="V1556" s="26">
        <v>24</v>
      </c>
      <c r="W1556" s="29">
        <v>58.05</v>
      </c>
      <c r="X1556" s="26">
        <v>87208</v>
      </c>
      <c r="Y1556" s="35">
        <v>204.04999999999998</v>
      </c>
      <c r="Z1556" s="1" t="s">
        <v>3011</v>
      </c>
      <c r="AA1556" s="36">
        <v>0.51839999999999997</v>
      </c>
      <c r="AB1556" s="54">
        <v>36.5715</v>
      </c>
      <c r="AC1556" s="54">
        <v>0.89493749999999994</v>
      </c>
      <c r="AD1556" s="36">
        <v>-344.27839999999998</v>
      </c>
    </row>
    <row r="1557" spans="1:30" s="37" customFormat="1" ht="15.75" customHeight="1" x14ac:dyDescent="0.2">
      <c r="A1557" s="26">
        <v>2458</v>
      </c>
      <c r="B1557" s="27" t="s">
        <v>157</v>
      </c>
      <c r="C1557" s="27" t="s">
        <v>116</v>
      </c>
      <c r="D1557" s="28">
        <v>0.05</v>
      </c>
      <c r="E1557" s="29">
        <v>12.88</v>
      </c>
      <c r="F1557" s="29">
        <v>4.59</v>
      </c>
      <c r="G1557" s="30" t="s">
        <v>39</v>
      </c>
      <c r="H1557" s="27" t="s">
        <v>71</v>
      </c>
      <c r="I1557" s="27" t="s">
        <v>49</v>
      </c>
      <c r="J1557" s="27" t="s">
        <v>568</v>
      </c>
      <c r="K1557" s="27" t="s">
        <v>51</v>
      </c>
      <c r="L1557" s="31" t="s">
        <v>2031</v>
      </c>
      <c r="M1557" s="32">
        <v>0.82</v>
      </c>
      <c r="N1557" s="27" t="s">
        <v>33</v>
      </c>
      <c r="O1557" s="27" t="s">
        <v>53</v>
      </c>
      <c r="P1557" s="27" t="s">
        <v>84</v>
      </c>
      <c r="Q1557" s="27" t="s">
        <v>159</v>
      </c>
      <c r="R1557" s="33">
        <v>55410</v>
      </c>
      <c r="S1557" s="34">
        <v>42147</v>
      </c>
      <c r="T1557" s="34">
        <v>42149</v>
      </c>
      <c r="U1557" s="29">
        <v>5.98</v>
      </c>
      <c r="V1557" s="26">
        <v>3</v>
      </c>
      <c r="W1557" s="29">
        <v>42.35</v>
      </c>
      <c r="X1557" s="26">
        <v>91286</v>
      </c>
      <c r="Y1557" s="35">
        <v>12.83</v>
      </c>
      <c r="Z1557" s="1" t="s">
        <v>3012</v>
      </c>
      <c r="AA1557" s="36">
        <v>1.9320000000000004</v>
      </c>
      <c r="AB1557" s="54">
        <v>7.623000000000002</v>
      </c>
      <c r="AC1557" s="54">
        <v>11.575666666666667</v>
      </c>
      <c r="AD1557" s="36">
        <v>29.847999999999999</v>
      </c>
    </row>
    <row r="1558" spans="1:30" s="37" customFormat="1" ht="15.75" customHeight="1" x14ac:dyDescent="0.2">
      <c r="A1558" s="26">
        <v>1182</v>
      </c>
      <c r="B1558" s="27" t="s">
        <v>2630</v>
      </c>
      <c r="C1558" s="27" t="s">
        <v>38</v>
      </c>
      <c r="D1558" s="28">
        <v>7.0000000000000007E-2</v>
      </c>
      <c r="E1558" s="29">
        <v>2.61</v>
      </c>
      <c r="F1558" s="29">
        <v>0.5</v>
      </c>
      <c r="G1558" s="30" t="s">
        <v>39</v>
      </c>
      <c r="H1558" s="27" t="s">
        <v>71</v>
      </c>
      <c r="I1558" s="27" t="s">
        <v>49</v>
      </c>
      <c r="J1558" s="27" t="s">
        <v>152</v>
      </c>
      <c r="K1558" s="27" t="s">
        <v>73</v>
      </c>
      <c r="L1558" s="31" t="s">
        <v>1367</v>
      </c>
      <c r="M1558" s="32">
        <v>0.39</v>
      </c>
      <c r="N1558" s="27" t="s">
        <v>33</v>
      </c>
      <c r="O1558" s="27" t="s">
        <v>60</v>
      </c>
      <c r="P1558" s="27" t="s">
        <v>146</v>
      </c>
      <c r="Q1558" s="27" t="s">
        <v>2631</v>
      </c>
      <c r="R1558" s="33">
        <v>84660</v>
      </c>
      <c r="S1558" s="34">
        <v>42147</v>
      </c>
      <c r="T1558" s="34">
        <v>42147</v>
      </c>
      <c r="U1558" s="29">
        <v>27.013500000000001</v>
      </c>
      <c r="V1558" s="26">
        <v>15</v>
      </c>
      <c r="W1558" s="29">
        <v>39.15</v>
      </c>
      <c r="X1558" s="26">
        <v>86913</v>
      </c>
      <c r="Y1558" s="35">
        <v>77.42</v>
      </c>
      <c r="Z1558" s="1" t="s">
        <v>3013</v>
      </c>
      <c r="AA1558" s="36">
        <v>2.7404999999999999</v>
      </c>
      <c r="AB1558" s="54">
        <v>23.881499999999999</v>
      </c>
      <c r="AC1558" s="54">
        <v>1.0179</v>
      </c>
      <c r="AD1558" s="36">
        <v>8.8959999999999972</v>
      </c>
    </row>
    <row r="1559" spans="1:30" s="37" customFormat="1" ht="15.75" customHeight="1" x14ac:dyDescent="0.2">
      <c r="A1559" s="26">
        <v>1814</v>
      </c>
      <c r="B1559" s="27" t="s">
        <v>2641</v>
      </c>
      <c r="C1559" s="27" t="s">
        <v>3094</v>
      </c>
      <c r="D1559" s="28">
        <v>0</v>
      </c>
      <c r="E1559" s="29">
        <v>2.88</v>
      </c>
      <c r="F1559" s="29">
        <v>0.7</v>
      </c>
      <c r="G1559" s="30" t="s">
        <v>39</v>
      </c>
      <c r="H1559" s="27" t="s">
        <v>71</v>
      </c>
      <c r="I1559" s="27" t="s">
        <v>49</v>
      </c>
      <c r="J1559" s="27" t="s">
        <v>50</v>
      </c>
      <c r="K1559" s="27" t="s">
        <v>51</v>
      </c>
      <c r="L1559" s="31" t="s">
        <v>639</v>
      </c>
      <c r="M1559" s="32">
        <v>0.56000000000000005</v>
      </c>
      <c r="N1559" s="27" t="s">
        <v>33</v>
      </c>
      <c r="O1559" s="27" t="s">
        <v>34</v>
      </c>
      <c r="P1559" s="27" t="s">
        <v>35</v>
      </c>
      <c r="Q1559" s="27" t="s">
        <v>2642</v>
      </c>
      <c r="R1559" s="33">
        <v>38654</v>
      </c>
      <c r="S1559" s="34">
        <v>42147</v>
      </c>
      <c r="T1559" s="34">
        <v>42149</v>
      </c>
      <c r="U1559" s="29">
        <v>-141.666</v>
      </c>
      <c r="V1559" s="26">
        <v>13</v>
      </c>
      <c r="W1559" s="29">
        <v>38.06</v>
      </c>
      <c r="X1559" s="26">
        <v>90524</v>
      </c>
      <c r="Y1559" s="35">
        <v>2.88</v>
      </c>
      <c r="Z1559" s="1" t="s">
        <v>3011</v>
      </c>
      <c r="AA1559" s="36">
        <v>0</v>
      </c>
      <c r="AB1559" s="54">
        <v>16.746399999999998</v>
      </c>
      <c r="AC1559" s="54">
        <v>1.6395076923076926</v>
      </c>
      <c r="AD1559" s="36">
        <v>179.02600000000001</v>
      </c>
    </row>
    <row r="1560" spans="1:30" s="37" customFormat="1" ht="15.75" customHeight="1" x14ac:dyDescent="0.2">
      <c r="A1560" s="26">
        <v>2450</v>
      </c>
      <c r="B1560" s="27" t="s">
        <v>2643</v>
      </c>
      <c r="C1560" s="27" t="s">
        <v>3094</v>
      </c>
      <c r="D1560" s="28">
        <v>0.08</v>
      </c>
      <c r="E1560" s="29">
        <v>4.13</v>
      </c>
      <c r="F1560" s="29">
        <v>1.17</v>
      </c>
      <c r="G1560" s="30" t="s">
        <v>39</v>
      </c>
      <c r="H1560" s="27" t="s">
        <v>71</v>
      </c>
      <c r="I1560" s="27" t="s">
        <v>49</v>
      </c>
      <c r="J1560" s="27" t="s">
        <v>50</v>
      </c>
      <c r="K1560" s="27" t="s">
        <v>51</v>
      </c>
      <c r="L1560" s="31" t="s">
        <v>2644</v>
      </c>
      <c r="M1560" s="32">
        <v>0.56999999999999995</v>
      </c>
      <c r="N1560" s="27" t="s">
        <v>33</v>
      </c>
      <c r="O1560" s="27" t="s">
        <v>53</v>
      </c>
      <c r="P1560" s="27" t="s">
        <v>357</v>
      </c>
      <c r="Q1560" s="27" t="s">
        <v>2645</v>
      </c>
      <c r="R1560" s="33">
        <v>53545</v>
      </c>
      <c r="S1560" s="34">
        <v>42147</v>
      </c>
      <c r="T1560" s="34">
        <v>42149</v>
      </c>
      <c r="U1560" s="29">
        <v>-5.54</v>
      </c>
      <c r="V1560" s="26">
        <v>1</v>
      </c>
      <c r="W1560" s="29">
        <v>4.21</v>
      </c>
      <c r="X1560" s="26">
        <v>90322</v>
      </c>
      <c r="Y1560" s="35">
        <v>4.05</v>
      </c>
      <c r="Z1560" s="1" t="s">
        <v>3012</v>
      </c>
      <c r="AA1560" s="36">
        <v>0.33039999999999997</v>
      </c>
      <c r="AB1560" s="54">
        <v>1.8103000000000002</v>
      </c>
      <c r="AC1560" s="54">
        <v>2.3996999999999997</v>
      </c>
      <c r="AD1560" s="36">
        <v>8.2496000000000009</v>
      </c>
    </row>
    <row r="1561" spans="1:30" s="37" customFormat="1" ht="15.75" customHeight="1" x14ac:dyDescent="0.2">
      <c r="A1561" s="26">
        <v>3096</v>
      </c>
      <c r="B1561" s="27" t="s">
        <v>2653</v>
      </c>
      <c r="C1561" s="27" t="s">
        <v>38</v>
      </c>
      <c r="D1561" s="28">
        <v>0.02</v>
      </c>
      <c r="E1561" s="29">
        <v>262.11</v>
      </c>
      <c r="F1561" s="29">
        <v>62.74</v>
      </c>
      <c r="G1561" s="30" t="s">
        <v>27</v>
      </c>
      <c r="H1561" s="27" t="s">
        <v>40</v>
      </c>
      <c r="I1561" s="27" t="s">
        <v>29</v>
      </c>
      <c r="J1561" s="27" t="s">
        <v>30</v>
      </c>
      <c r="K1561" s="27" t="s">
        <v>31</v>
      </c>
      <c r="L1561" s="31" t="s">
        <v>2655</v>
      </c>
      <c r="M1561" s="32">
        <v>0.75</v>
      </c>
      <c r="N1561" s="27" t="s">
        <v>33</v>
      </c>
      <c r="O1561" s="27" t="s">
        <v>111</v>
      </c>
      <c r="P1561" s="27" t="s">
        <v>317</v>
      </c>
      <c r="Q1561" s="27" t="s">
        <v>2440</v>
      </c>
      <c r="R1561" s="33">
        <v>43026</v>
      </c>
      <c r="S1561" s="34">
        <v>42148</v>
      </c>
      <c r="T1561" s="34">
        <v>42149</v>
      </c>
      <c r="U1561" s="29">
        <v>-633.441237</v>
      </c>
      <c r="V1561" s="26">
        <v>9</v>
      </c>
      <c r="W1561" s="29">
        <v>2495.35</v>
      </c>
      <c r="X1561" s="26">
        <v>86221</v>
      </c>
      <c r="Y1561" s="35">
        <v>124.42</v>
      </c>
      <c r="Z1561" s="1" t="s">
        <v>3014</v>
      </c>
      <c r="AA1561" s="36">
        <v>47.1798</v>
      </c>
      <c r="AB1561" s="54">
        <v>623.83749999999998</v>
      </c>
      <c r="AC1561" s="54">
        <v>207.94583333333333</v>
      </c>
      <c r="AD1561" s="36">
        <v>3018.8714369999998</v>
      </c>
    </row>
    <row r="1562" spans="1:30" s="37" customFormat="1" ht="15.75" customHeight="1" x14ac:dyDescent="0.2">
      <c r="A1562" s="26">
        <v>1450</v>
      </c>
      <c r="B1562" s="27" t="s">
        <v>2657</v>
      </c>
      <c r="C1562" s="27" t="s">
        <v>116</v>
      </c>
      <c r="D1562" s="28">
        <v>0.1</v>
      </c>
      <c r="E1562" s="29">
        <v>218.08</v>
      </c>
      <c r="F1562" s="29">
        <v>18.059999999999999</v>
      </c>
      <c r="G1562" s="30" t="s">
        <v>87</v>
      </c>
      <c r="H1562" s="27" t="s">
        <v>40</v>
      </c>
      <c r="I1562" s="27" t="s">
        <v>29</v>
      </c>
      <c r="J1562" s="27" t="s">
        <v>109</v>
      </c>
      <c r="K1562" s="27" t="s">
        <v>65</v>
      </c>
      <c r="L1562" s="31" t="s">
        <v>2616</v>
      </c>
      <c r="M1562" s="32">
        <v>0.56999999999999995</v>
      </c>
      <c r="N1562" s="27" t="s">
        <v>33</v>
      </c>
      <c r="O1562" s="27" t="s">
        <v>60</v>
      </c>
      <c r="P1562" s="27" t="s">
        <v>90</v>
      </c>
      <c r="Q1562" s="27" t="s">
        <v>2658</v>
      </c>
      <c r="R1562" s="33">
        <v>96150</v>
      </c>
      <c r="S1562" s="34">
        <v>42148</v>
      </c>
      <c r="T1562" s="34">
        <v>42149</v>
      </c>
      <c r="U1562" s="29">
        <v>1318.83</v>
      </c>
      <c r="V1562" s="26">
        <v>12</v>
      </c>
      <c r="W1562" s="29">
        <v>2366.5100000000002</v>
      </c>
      <c r="X1562" s="26">
        <v>86735</v>
      </c>
      <c r="Y1562" s="35">
        <v>25.92</v>
      </c>
      <c r="Z1562" s="1" t="s">
        <v>3013</v>
      </c>
      <c r="AA1562" s="36">
        <v>261.69600000000003</v>
      </c>
      <c r="AB1562" s="54">
        <v>1017.5993000000002</v>
      </c>
      <c r="AC1562" s="54">
        <v>112.40922499999999</v>
      </c>
      <c r="AD1562" s="36">
        <v>767.92400000000043</v>
      </c>
    </row>
    <row r="1563" spans="1:30" s="37" customFormat="1" ht="15.75" customHeight="1" x14ac:dyDescent="0.2">
      <c r="A1563" s="26">
        <v>2422</v>
      </c>
      <c r="B1563" s="27" t="s">
        <v>725</v>
      </c>
      <c r="C1563" s="27" t="s">
        <v>3094</v>
      </c>
      <c r="D1563" s="28">
        <v>0.05</v>
      </c>
      <c r="E1563" s="29">
        <v>150.97999999999999</v>
      </c>
      <c r="F1563" s="29">
        <v>43.71</v>
      </c>
      <c r="G1563" s="30" t="s">
        <v>27</v>
      </c>
      <c r="H1563" s="27" t="s">
        <v>71</v>
      </c>
      <c r="I1563" s="27" t="s">
        <v>29</v>
      </c>
      <c r="J1563" s="27" t="s">
        <v>109</v>
      </c>
      <c r="K1563" s="27" t="s">
        <v>58</v>
      </c>
      <c r="L1563" s="31" t="s">
        <v>2659</v>
      </c>
      <c r="M1563" s="32">
        <v>0.55000000000000004</v>
      </c>
      <c r="N1563" s="27" t="s">
        <v>33</v>
      </c>
      <c r="O1563" s="27" t="s">
        <v>53</v>
      </c>
      <c r="P1563" s="27" t="s">
        <v>187</v>
      </c>
      <c r="Q1563" s="27" t="s">
        <v>727</v>
      </c>
      <c r="R1563" s="33">
        <v>77340</v>
      </c>
      <c r="S1563" s="34">
        <v>42148</v>
      </c>
      <c r="T1563" s="34">
        <v>42149</v>
      </c>
      <c r="U1563" s="29">
        <v>650.29999999999995</v>
      </c>
      <c r="V1563" s="26">
        <v>12</v>
      </c>
      <c r="W1563" s="29">
        <v>1857.08</v>
      </c>
      <c r="X1563" s="26">
        <v>89053</v>
      </c>
      <c r="Y1563" s="35">
        <v>14.95</v>
      </c>
      <c r="Z1563" s="1" t="s">
        <v>3012</v>
      </c>
      <c r="AA1563" s="36">
        <v>90.587999999999994</v>
      </c>
      <c r="AB1563" s="54">
        <v>835.68599999999992</v>
      </c>
      <c r="AC1563" s="54">
        <v>85.116166666666672</v>
      </c>
      <c r="AD1563" s="36">
        <v>1072.482</v>
      </c>
    </row>
    <row r="1564" spans="1:30" s="37" customFormat="1" ht="15.75" customHeight="1" x14ac:dyDescent="0.2">
      <c r="A1564" s="26">
        <v>357</v>
      </c>
      <c r="B1564" s="27" t="s">
        <v>2646</v>
      </c>
      <c r="C1564" s="27" t="s">
        <v>26</v>
      </c>
      <c r="D1564" s="28">
        <v>7.0000000000000007E-2</v>
      </c>
      <c r="E1564" s="29">
        <v>124.49</v>
      </c>
      <c r="F1564" s="29">
        <v>51.94</v>
      </c>
      <c r="G1564" s="30" t="s">
        <v>27</v>
      </c>
      <c r="H1564" s="27" t="s">
        <v>94</v>
      </c>
      <c r="I1564" s="27" t="s">
        <v>29</v>
      </c>
      <c r="J1564" s="27" t="s">
        <v>30</v>
      </c>
      <c r="K1564" s="27" t="s">
        <v>31</v>
      </c>
      <c r="L1564" s="31" t="s">
        <v>1149</v>
      </c>
      <c r="M1564" s="32">
        <v>0.63</v>
      </c>
      <c r="N1564" s="27" t="s">
        <v>33</v>
      </c>
      <c r="O1564" s="27" t="s">
        <v>60</v>
      </c>
      <c r="P1564" s="27" t="s">
        <v>588</v>
      </c>
      <c r="Q1564" s="27" t="s">
        <v>2647</v>
      </c>
      <c r="R1564" s="33">
        <v>86401</v>
      </c>
      <c r="S1564" s="34">
        <v>42148</v>
      </c>
      <c r="T1564" s="34">
        <v>42149</v>
      </c>
      <c r="U1564" s="29">
        <v>1074.44</v>
      </c>
      <c r="V1564" s="26">
        <v>14</v>
      </c>
      <c r="W1564" s="29">
        <v>1714.93</v>
      </c>
      <c r="X1564" s="26">
        <v>91131</v>
      </c>
      <c r="Y1564" s="35">
        <v>40.389999999999993</v>
      </c>
      <c r="Z1564" s="1" t="s">
        <v>3013</v>
      </c>
      <c r="AA1564" s="36">
        <v>122.00019999999999</v>
      </c>
      <c r="AB1564" s="54">
        <v>634.52409999999998</v>
      </c>
      <c r="AC1564" s="54">
        <v>77.171850000000006</v>
      </c>
      <c r="AD1564" s="36">
        <v>466.5498</v>
      </c>
    </row>
    <row r="1565" spans="1:30" s="37" customFormat="1" ht="15.75" customHeight="1" x14ac:dyDescent="0.2">
      <c r="A1565" s="26">
        <v>885</v>
      </c>
      <c r="B1565" s="27" t="s">
        <v>2648</v>
      </c>
      <c r="C1565" s="27" t="s">
        <v>26</v>
      </c>
      <c r="D1565" s="28">
        <v>0.06</v>
      </c>
      <c r="E1565" s="29">
        <v>25.98</v>
      </c>
      <c r="F1565" s="29">
        <v>14.36</v>
      </c>
      <c r="G1565" s="30" t="s">
        <v>27</v>
      </c>
      <c r="H1565" s="27" t="s">
        <v>94</v>
      </c>
      <c r="I1565" s="27" t="s">
        <v>29</v>
      </c>
      <c r="J1565" s="27" t="s">
        <v>109</v>
      </c>
      <c r="K1565" s="27" t="s">
        <v>58</v>
      </c>
      <c r="L1565" s="31" t="s">
        <v>784</v>
      </c>
      <c r="M1565" s="32">
        <v>0.6</v>
      </c>
      <c r="N1565" s="27" t="s">
        <v>33</v>
      </c>
      <c r="O1565" s="27" t="s">
        <v>53</v>
      </c>
      <c r="P1565" s="27" t="s">
        <v>187</v>
      </c>
      <c r="Q1565" s="27" t="s">
        <v>2649</v>
      </c>
      <c r="R1565" s="33">
        <v>79109</v>
      </c>
      <c r="S1565" s="34">
        <v>42148</v>
      </c>
      <c r="T1565" s="34">
        <v>42149</v>
      </c>
      <c r="U1565" s="29">
        <v>55.887999999999998</v>
      </c>
      <c r="V1565" s="26">
        <v>41</v>
      </c>
      <c r="W1565" s="29">
        <v>1033.56</v>
      </c>
      <c r="X1565" s="26">
        <v>89537</v>
      </c>
      <c r="Y1565" s="35">
        <v>12.229999999999999</v>
      </c>
      <c r="Z1565" s="1" t="s">
        <v>3012</v>
      </c>
      <c r="AA1565" s="36">
        <v>63.910800000000002</v>
      </c>
      <c r="AB1565" s="54">
        <v>413.42399999999998</v>
      </c>
      <c r="AC1565" s="54">
        <v>15.125268292682925</v>
      </c>
      <c r="AD1565" s="36">
        <v>899.40120000000002</v>
      </c>
    </row>
    <row r="1566" spans="1:30" s="37" customFormat="1" ht="15.75" customHeight="1" x14ac:dyDescent="0.2">
      <c r="A1566" s="26">
        <v>3366</v>
      </c>
      <c r="B1566" s="27" t="s">
        <v>2656</v>
      </c>
      <c r="C1566" s="27" t="s">
        <v>48</v>
      </c>
      <c r="D1566" s="28">
        <v>0.1</v>
      </c>
      <c r="E1566" s="29">
        <v>80.97</v>
      </c>
      <c r="F1566" s="29">
        <v>33.6</v>
      </c>
      <c r="G1566" s="30" t="s">
        <v>27</v>
      </c>
      <c r="H1566" s="27" t="s">
        <v>71</v>
      </c>
      <c r="I1566" s="27" t="s">
        <v>41</v>
      </c>
      <c r="J1566" s="27" t="s">
        <v>57</v>
      </c>
      <c r="K1566" s="27" t="s">
        <v>58</v>
      </c>
      <c r="L1566" s="31" t="s">
        <v>909</v>
      </c>
      <c r="M1566" s="32">
        <v>0.37</v>
      </c>
      <c r="N1566" s="27" t="s">
        <v>33</v>
      </c>
      <c r="O1566" s="27" t="s">
        <v>111</v>
      </c>
      <c r="P1566" s="27" t="s">
        <v>317</v>
      </c>
      <c r="Q1566" s="27" t="s">
        <v>581</v>
      </c>
      <c r="R1566" s="33">
        <v>45373</v>
      </c>
      <c r="S1566" s="34">
        <v>42148</v>
      </c>
      <c r="T1566" s="34">
        <v>42153</v>
      </c>
      <c r="U1566" s="29">
        <v>66.22</v>
      </c>
      <c r="V1566" s="26">
        <v>11</v>
      </c>
      <c r="W1566" s="29">
        <v>837.57</v>
      </c>
      <c r="X1566" s="26">
        <v>90501</v>
      </c>
      <c r="Y1566" s="35">
        <v>40.9</v>
      </c>
      <c r="Z1566" s="1" t="s">
        <v>3014</v>
      </c>
      <c r="AA1566" s="36">
        <v>89.066999999999993</v>
      </c>
      <c r="AB1566" s="54">
        <v>527.66910000000007</v>
      </c>
      <c r="AC1566" s="54">
        <v>28.172809090909091</v>
      </c>
      <c r="AD1566" s="36">
        <v>648.68299999999999</v>
      </c>
    </row>
    <row r="1567" spans="1:30" s="37" customFormat="1" ht="15.75" customHeight="1" x14ac:dyDescent="0.2">
      <c r="A1567" s="26">
        <v>1623</v>
      </c>
      <c r="B1567" s="27" t="s">
        <v>2650</v>
      </c>
      <c r="C1567" s="27" t="s">
        <v>38</v>
      </c>
      <c r="D1567" s="28">
        <v>0.09</v>
      </c>
      <c r="E1567" s="29">
        <v>40.479999999999997</v>
      </c>
      <c r="F1567" s="29">
        <v>19.989999999999998</v>
      </c>
      <c r="G1567" s="30" t="s">
        <v>39</v>
      </c>
      <c r="H1567" s="27" t="s">
        <v>3095</v>
      </c>
      <c r="I1567" s="27" t="s">
        <v>41</v>
      </c>
      <c r="J1567" s="27" t="s">
        <v>42</v>
      </c>
      <c r="K1567" s="27" t="s">
        <v>73</v>
      </c>
      <c r="L1567" s="31" t="s">
        <v>2054</v>
      </c>
      <c r="M1567" s="32">
        <v>0.77</v>
      </c>
      <c r="N1567" s="27" t="s">
        <v>33</v>
      </c>
      <c r="O1567" s="27" t="s">
        <v>53</v>
      </c>
      <c r="P1567" s="27" t="s">
        <v>54</v>
      </c>
      <c r="Q1567" s="27" t="s">
        <v>2652</v>
      </c>
      <c r="R1567" s="33">
        <v>46375</v>
      </c>
      <c r="S1567" s="34">
        <v>42148</v>
      </c>
      <c r="T1567" s="34">
        <v>42150</v>
      </c>
      <c r="U1567" s="29">
        <v>65.394000000000005</v>
      </c>
      <c r="V1567" s="26">
        <v>12</v>
      </c>
      <c r="W1567" s="29">
        <v>472.44</v>
      </c>
      <c r="X1567" s="26">
        <v>87611</v>
      </c>
      <c r="Y1567" s="35">
        <v>8.0399999999999991</v>
      </c>
      <c r="Z1567" s="1" t="s">
        <v>3012</v>
      </c>
      <c r="AA1567" s="36">
        <v>43.718399999999995</v>
      </c>
      <c r="AB1567" s="54">
        <v>108.66119999999999</v>
      </c>
      <c r="AC1567" s="54">
        <v>30.314899999999998</v>
      </c>
      <c r="AD1567" s="36">
        <v>343.33760000000001</v>
      </c>
    </row>
    <row r="1568" spans="1:30" s="37" customFormat="1" ht="15.75" customHeight="1" x14ac:dyDescent="0.2">
      <c r="A1568" s="26">
        <v>1623</v>
      </c>
      <c r="B1568" s="27" t="s">
        <v>2650</v>
      </c>
      <c r="C1568" s="27" t="s">
        <v>38</v>
      </c>
      <c r="D1568" s="28">
        <v>0.06</v>
      </c>
      <c r="E1568" s="29">
        <v>15.01</v>
      </c>
      <c r="F1568" s="29">
        <v>8.4</v>
      </c>
      <c r="G1568" s="30" t="s">
        <v>39</v>
      </c>
      <c r="H1568" s="27" t="s">
        <v>3095</v>
      </c>
      <c r="I1568" s="27" t="s">
        <v>49</v>
      </c>
      <c r="J1568" s="27" t="s">
        <v>72</v>
      </c>
      <c r="K1568" s="27" t="s">
        <v>73</v>
      </c>
      <c r="L1568" s="31" t="s">
        <v>2651</v>
      </c>
      <c r="M1568" s="32">
        <v>0.39</v>
      </c>
      <c r="N1568" s="27" t="s">
        <v>33</v>
      </c>
      <c r="O1568" s="27" t="s">
        <v>53</v>
      </c>
      <c r="P1568" s="27" t="s">
        <v>54</v>
      </c>
      <c r="Q1568" s="27" t="s">
        <v>2652</v>
      </c>
      <c r="R1568" s="33">
        <v>46375</v>
      </c>
      <c r="S1568" s="34">
        <v>42148</v>
      </c>
      <c r="T1568" s="34">
        <v>42150</v>
      </c>
      <c r="U1568" s="29">
        <v>1.6169</v>
      </c>
      <c r="V1568" s="26">
        <v>22</v>
      </c>
      <c r="W1568" s="29">
        <v>333.04</v>
      </c>
      <c r="X1568" s="26">
        <v>87611</v>
      </c>
      <c r="Y1568" s="35">
        <v>262.09000000000003</v>
      </c>
      <c r="Z1568" s="1" t="s">
        <v>3012</v>
      </c>
      <c r="AA1568" s="36">
        <v>19.813199999999998</v>
      </c>
      <c r="AB1568" s="54">
        <v>203.15440000000001</v>
      </c>
      <c r="AC1568" s="54">
        <v>5.9038909090909097</v>
      </c>
      <c r="AD1568" s="36">
        <v>303.2099</v>
      </c>
    </row>
    <row r="1569" spans="1:30" s="37" customFormat="1" ht="15.75" customHeight="1" x14ac:dyDescent="0.2">
      <c r="A1569" s="26">
        <v>3063</v>
      </c>
      <c r="B1569" s="27" t="s">
        <v>1391</v>
      </c>
      <c r="C1569" s="27" t="s">
        <v>3094</v>
      </c>
      <c r="D1569" s="28">
        <v>0.03</v>
      </c>
      <c r="E1569" s="29">
        <v>20.99</v>
      </c>
      <c r="F1569" s="29">
        <v>0.99</v>
      </c>
      <c r="G1569" s="30" t="s">
        <v>39</v>
      </c>
      <c r="H1569" s="27" t="s">
        <v>40</v>
      </c>
      <c r="I1569" s="27" t="s">
        <v>41</v>
      </c>
      <c r="J1569" s="27" t="s">
        <v>135</v>
      </c>
      <c r="K1569" s="27" t="s">
        <v>51</v>
      </c>
      <c r="L1569" s="31" t="s">
        <v>2331</v>
      </c>
      <c r="M1569" s="32">
        <v>0.56999999999999995</v>
      </c>
      <c r="N1569" s="27" t="s">
        <v>33</v>
      </c>
      <c r="O1569" s="27" t="s">
        <v>60</v>
      </c>
      <c r="P1569" s="27" t="s">
        <v>67</v>
      </c>
      <c r="Q1569" s="27" t="s">
        <v>1392</v>
      </c>
      <c r="R1569" s="33">
        <v>98034</v>
      </c>
      <c r="S1569" s="34">
        <v>42148</v>
      </c>
      <c r="T1569" s="34">
        <v>42150</v>
      </c>
      <c r="U1569" s="29">
        <v>4.1821999999999999</v>
      </c>
      <c r="V1569" s="26">
        <v>9</v>
      </c>
      <c r="W1569" s="29">
        <v>158.87</v>
      </c>
      <c r="X1569" s="26">
        <v>88449</v>
      </c>
      <c r="Y1569" s="35">
        <v>80.87</v>
      </c>
      <c r="Z1569" s="1" t="s">
        <v>3013</v>
      </c>
      <c r="AA1569" s="36">
        <v>5.6672999999999991</v>
      </c>
      <c r="AB1569" s="54">
        <v>68.31410000000001</v>
      </c>
      <c r="AC1569" s="54">
        <v>10.061766666666665</v>
      </c>
      <c r="AD1569" s="36">
        <v>148.03050000000002</v>
      </c>
    </row>
    <row r="1570" spans="1:30" s="37" customFormat="1" ht="15.75" customHeight="1" x14ac:dyDescent="0.2">
      <c r="A1570" s="26">
        <v>3096</v>
      </c>
      <c r="B1570" s="27" t="s">
        <v>2653</v>
      </c>
      <c r="C1570" s="27" t="s">
        <v>38</v>
      </c>
      <c r="D1570" s="28">
        <v>0.08</v>
      </c>
      <c r="E1570" s="29">
        <v>40.98</v>
      </c>
      <c r="F1570" s="29">
        <v>7.2</v>
      </c>
      <c r="G1570" s="30" t="s">
        <v>87</v>
      </c>
      <c r="H1570" s="27" t="s">
        <v>40</v>
      </c>
      <c r="I1570" s="27" t="s">
        <v>49</v>
      </c>
      <c r="J1570" s="27" t="s">
        <v>95</v>
      </c>
      <c r="K1570" s="27" t="s">
        <v>73</v>
      </c>
      <c r="L1570" s="31" t="s">
        <v>2654</v>
      </c>
      <c r="M1570" s="32">
        <v>0.6</v>
      </c>
      <c r="N1570" s="27" t="s">
        <v>33</v>
      </c>
      <c r="O1570" s="27" t="s">
        <v>111</v>
      </c>
      <c r="P1570" s="27" t="s">
        <v>317</v>
      </c>
      <c r="Q1570" s="27" t="s">
        <v>2440</v>
      </c>
      <c r="R1570" s="33">
        <v>43026</v>
      </c>
      <c r="S1570" s="34">
        <v>42148</v>
      </c>
      <c r="T1570" s="34">
        <v>42149</v>
      </c>
      <c r="U1570" s="29">
        <v>-16.64</v>
      </c>
      <c r="V1570" s="26">
        <v>3</v>
      </c>
      <c r="W1570" s="29">
        <v>119.86</v>
      </c>
      <c r="X1570" s="26">
        <v>86221</v>
      </c>
      <c r="Y1570" s="35">
        <v>6.4600000000000009</v>
      </c>
      <c r="Z1570" s="1" t="s">
        <v>3014</v>
      </c>
      <c r="AA1570" s="36">
        <v>9.8352000000000004</v>
      </c>
      <c r="AB1570" s="54">
        <v>47.944000000000003</v>
      </c>
      <c r="AC1570" s="54">
        <v>23.971999999999998</v>
      </c>
      <c r="AD1570" s="36">
        <v>119.4648</v>
      </c>
    </row>
    <row r="1571" spans="1:30" s="37" customFormat="1" ht="15.75" customHeight="1" x14ac:dyDescent="0.2">
      <c r="A1571" s="26">
        <v>3096</v>
      </c>
      <c r="B1571" s="27" t="s">
        <v>2653</v>
      </c>
      <c r="C1571" s="27" t="s">
        <v>38</v>
      </c>
      <c r="D1571" s="28">
        <v>0.08</v>
      </c>
      <c r="E1571" s="29">
        <v>8.1199999999999992</v>
      </c>
      <c r="F1571" s="29">
        <v>2.83</v>
      </c>
      <c r="G1571" s="30" t="s">
        <v>87</v>
      </c>
      <c r="H1571" s="27" t="s">
        <v>40</v>
      </c>
      <c r="I1571" s="27" t="s">
        <v>41</v>
      </c>
      <c r="J1571" s="27" t="s">
        <v>42</v>
      </c>
      <c r="K1571" s="27" t="s">
        <v>43</v>
      </c>
      <c r="L1571" s="31" t="s">
        <v>1698</v>
      </c>
      <c r="M1571" s="32">
        <v>0.77</v>
      </c>
      <c r="N1571" s="27" t="s">
        <v>33</v>
      </c>
      <c r="O1571" s="27" t="s">
        <v>111</v>
      </c>
      <c r="P1571" s="27" t="s">
        <v>317</v>
      </c>
      <c r="Q1571" s="27" t="s">
        <v>2440</v>
      </c>
      <c r="R1571" s="33">
        <v>43026</v>
      </c>
      <c r="S1571" s="34">
        <v>42148</v>
      </c>
      <c r="T1571" s="34">
        <v>42149</v>
      </c>
      <c r="U1571" s="29">
        <v>-59.73</v>
      </c>
      <c r="V1571" s="26">
        <v>12</v>
      </c>
      <c r="W1571" s="29">
        <v>98.77</v>
      </c>
      <c r="X1571" s="26">
        <v>86221</v>
      </c>
      <c r="Y1571" s="35">
        <v>217.98000000000002</v>
      </c>
      <c r="Z1571" s="1" t="s">
        <v>3014</v>
      </c>
      <c r="AA1571" s="36">
        <v>7.7951999999999995</v>
      </c>
      <c r="AB1571" s="54">
        <v>22.717099999999999</v>
      </c>
      <c r="AC1571" s="54">
        <v>6.3377416666666662</v>
      </c>
      <c r="AD1571" s="36">
        <v>147.87479999999999</v>
      </c>
    </row>
    <row r="1572" spans="1:30" s="37" customFormat="1" ht="15.75" customHeight="1" x14ac:dyDescent="0.2">
      <c r="A1572" s="26">
        <v>3366</v>
      </c>
      <c r="B1572" s="27" t="s">
        <v>2656</v>
      </c>
      <c r="C1572" s="27" t="s">
        <v>48</v>
      </c>
      <c r="D1572" s="28">
        <v>0.02</v>
      </c>
      <c r="E1572" s="29">
        <v>6.48</v>
      </c>
      <c r="F1572" s="29">
        <v>5.1100000000000003</v>
      </c>
      <c r="G1572" s="30" t="s">
        <v>39</v>
      </c>
      <c r="H1572" s="27" t="s">
        <v>71</v>
      </c>
      <c r="I1572" s="27" t="s">
        <v>49</v>
      </c>
      <c r="J1572" s="27" t="s">
        <v>88</v>
      </c>
      <c r="K1572" s="27" t="s">
        <v>73</v>
      </c>
      <c r="L1572" s="31" t="s">
        <v>2592</v>
      </c>
      <c r="M1572" s="32">
        <v>0.37</v>
      </c>
      <c r="N1572" s="27" t="s">
        <v>33</v>
      </c>
      <c r="O1572" s="27" t="s">
        <v>111</v>
      </c>
      <c r="P1572" s="27" t="s">
        <v>317</v>
      </c>
      <c r="Q1572" s="27" t="s">
        <v>581</v>
      </c>
      <c r="R1572" s="33">
        <v>45373</v>
      </c>
      <c r="S1572" s="34">
        <v>42148</v>
      </c>
      <c r="T1572" s="34">
        <v>42152</v>
      </c>
      <c r="U1572" s="29">
        <v>-23.53</v>
      </c>
      <c r="V1572" s="26">
        <v>8</v>
      </c>
      <c r="W1572" s="29">
        <v>56.22</v>
      </c>
      <c r="X1572" s="26">
        <v>90501</v>
      </c>
      <c r="Y1572" s="35">
        <v>150.92999999999998</v>
      </c>
      <c r="Z1572" s="1" t="s">
        <v>3014</v>
      </c>
      <c r="AA1572" s="36">
        <v>1.0368000000000002</v>
      </c>
      <c r="AB1572" s="54">
        <v>35.418599999999998</v>
      </c>
      <c r="AC1572" s="54">
        <v>2.6001750000000001</v>
      </c>
      <c r="AD1572" s="36">
        <v>73.603200000000001</v>
      </c>
    </row>
    <row r="1573" spans="1:30" s="37" customFormat="1" ht="15.75" customHeight="1" x14ac:dyDescent="0.2">
      <c r="A1573" s="26">
        <v>1623</v>
      </c>
      <c r="B1573" s="27" t="s">
        <v>2650</v>
      </c>
      <c r="C1573" s="27" t="s">
        <v>38</v>
      </c>
      <c r="D1573" s="28">
        <v>0.05</v>
      </c>
      <c r="E1573" s="29">
        <v>12.28</v>
      </c>
      <c r="F1573" s="29">
        <v>6.13</v>
      </c>
      <c r="G1573" s="30" t="s">
        <v>39</v>
      </c>
      <c r="H1573" s="27" t="s">
        <v>3095</v>
      </c>
      <c r="I1573" s="27" t="s">
        <v>49</v>
      </c>
      <c r="J1573" s="27" t="s">
        <v>78</v>
      </c>
      <c r="K1573" s="27" t="s">
        <v>73</v>
      </c>
      <c r="L1573" s="31" t="s">
        <v>2386</v>
      </c>
      <c r="M1573" s="32">
        <v>0.56999999999999995</v>
      </c>
      <c r="N1573" s="27" t="s">
        <v>33</v>
      </c>
      <c r="O1573" s="27" t="s">
        <v>53</v>
      </c>
      <c r="P1573" s="27" t="s">
        <v>54</v>
      </c>
      <c r="Q1573" s="27" t="s">
        <v>2652</v>
      </c>
      <c r="R1573" s="33">
        <v>46375</v>
      </c>
      <c r="S1573" s="34">
        <v>42148</v>
      </c>
      <c r="T1573" s="34">
        <v>42149</v>
      </c>
      <c r="U1573" s="29">
        <v>1.3360000000000001</v>
      </c>
      <c r="V1573" s="26">
        <v>1</v>
      </c>
      <c r="W1573" s="29">
        <v>18.73</v>
      </c>
      <c r="X1573" s="26">
        <v>87611</v>
      </c>
      <c r="Y1573" s="35">
        <v>20.959999999999997</v>
      </c>
      <c r="Z1573" s="1" t="s">
        <v>3012</v>
      </c>
      <c r="AA1573" s="36">
        <v>0.61399999999999999</v>
      </c>
      <c r="AB1573" s="54">
        <v>8.0539000000000005</v>
      </c>
      <c r="AC1573" s="54">
        <v>10.6761</v>
      </c>
      <c r="AD1573" s="36">
        <v>10.65</v>
      </c>
    </row>
    <row r="1574" spans="1:30" s="37" customFormat="1" ht="15.75" customHeight="1" x14ac:dyDescent="0.2">
      <c r="A1574" s="26">
        <v>1237</v>
      </c>
      <c r="B1574" s="27" t="s">
        <v>1916</v>
      </c>
      <c r="C1574" s="27" t="s">
        <v>116</v>
      </c>
      <c r="D1574" s="28">
        <v>0.05</v>
      </c>
      <c r="E1574" s="29">
        <v>300.98</v>
      </c>
      <c r="F1574" s="29">
        <v>13.99</v>
      </c>
      <c r="G1574" s="30" t="s">
        <v>39</v>
      </c>
      <c r="H1574" s="27" t="s">
        <v>94</v>
      </c>
      <c r="I1574" s="27" t="s">
        <v>41</v>
      </c>
      <c r="J1574" s="27" t="s">
        <v>57</v>
      </c>
      <c r="K1574" s="27" t="s">
        <v>144</v>
      </c>
      <c r="L1574" s="31" t="s">
        <v>2667</v>
      </c>
      <c r="M1574" s="32">
        <v>0.39</v>
      </c>
      <c r="N1574" s="27" t="s">
        <v>33</v>
      </c>
      <c r="O1574" s="27" t="s">
        <v>53</v>
      </c>
      <c r="P1574" s="27" t="s">
        <v>187</v>
      </c>
      <c r="Q1574" s="27" t="s">
        <v>1918</v>
      </c>
      <c r="R1574" s="33">
        <v>75007</v>
      </c>
      <c r="S1574" s="34">
        <v>42149</v>
      </c>
      <c r="T1574" s="34">
        <v>42150</v>
      </c>
      <c r="U1574" s="29">
        <v>3985.3089</v>
      </c>
      <c r="V1574" s="26">
        <v>20</v>
      </c>
      <c r="W1574" s="29">
        <v>5775.81</v>
      </c>
      <c r="X1574" s="26">
        <v>86077</v>
      </c>
      <c r="Y1574" s="35">
        <v>7.59</v>
      </c>
      <c r="Z1574" s="1" t="s">
        <v>3012</v>
      </c>
      <c r="AA1574" s="36">
        <v>300.98</v>
      </c>
      <c r="AB1574" s="54">
        <v>3523.2441000000003</v>
      </c>
      <c r="AC1574" s="54">
        <v>112.62829500000001</v>
      </c>
      <c r="AD1574" s="36">
        <v>1475.5311000000011</v>
      </c>
    </row>
    <row r="1575" spans="1:30" s="37" customFormat="1" ht="15.75" customHeight="1" x14ac:dyDescent="0.2">
      <c r="A1575" s="26">
        <v>744</v>
      </c>
      <c r="B1575" s="27" t="s">
        <v>586</v>
      </c>
      <c r="C1575" s="27" t="s">
        <v>48</v>
      </c>
      <c r="D1575" s="28">
        <v>0.09</v>
      </c>
      <c r="E1575" s="29">
        <v>125.99</v>
      </c>
      <c r="F1575" s="29">
        <v>8.99</v>
      </c>
      <c r="G1575" s="30" t="s">
        <v>39</v>
      </c>
      <c r="H1575" s="27" t="s">
        <v>40</v>
      </c>
      <c r="I1575" s="27" t="s">
        <v>41</v>
      </c>
      <c r="J1575" s="27" t="s">
        <v>135</v>
      </c>
      <c r="K1575" s="27" t="s">
        <v>73</v>
      </c>
      <c r="L1575" s="31" t="s">
        <v>1654</v>
      </c>
      <c r="M1575" s="32">
        <v>0.55000000000000004</v>
      </c>
      <c r="N1575" s="27" t="s">
        <v>33</v>
      </c>
      <c r="O1575" s="27" t="s">
        <v>60</v>
      </c>
      <c r="P1575" s="27" t="s">
        <v>588</v>
      </c>
      <c r="Q1575" s="27" t="s">
        <v>589</v>
      </c>
      <c r="R1575" s="33">
        <v>85737</v>
      </c>
      <c r="S1575" s="34">
        <v>42149</v>
      </c>
      <c r="T1575" s="34">
        <v>42157</v>
      </c>
      <c r="U1575" s="29">
        <v>916.68060000000003</v>
      </c>
      <c r="V1575" s="26">
        <v>20</v>
      </c>
      <c r="W1575" s="29">
        <v>2104.9899999999998</v>
      </c>
      <c r="X1575" s="26">
        <v>87727</v>
      </c>
      <c r="Y1575" s="35">
        <v>17.89</v>
      </c>
      <c r="Z1575" s="1" t="s">
        <v>3013</v>
      </c>
      <c r="AA1575" s="36">
        <v>226.78199999999998</v>
      </c>
      <c r="AB1575" s="54">
        <v>947.24549999999977</v>
      </c>
      <c r="AC1575" s="54">
        <v>57.887224999999994</v>
      </c>
      <c r="AD1575" s="36">
        <v>952.53739999999971</v>
      </c>
    </row>
    <row r="1576" spans="1:30" s="37" customFormat="1" ht="15.75" customHeight="1" x14ac:dyDescent="0.2">
      <c r="A1576" s="26">
        <v>1237</v>
      </c>
      <c r="B1576" s="27" t="s">
        <v>1916</v>
      </c>
      <c r="C1576" s="27" t="s">
        <v>116</v>
      </c>
      <c r="D1576" s="28">
        <v>0.04</v>
      </c>
      <c r="E1576" s="29">
        <v>205.99</v>
      </c>
      <c r="F1576" s="29">
        <v>5</v>
      </c>
      <c r="G1576" s="30" t="s">
        <v>87</v>
      </c>
      <c r="H1576" s="27" t="s">
        <v>94</v>
      </c>
      <c r="I1576" s="27" t="s">
        <v>41</v>
      </c>
      <c r="J1576" s="27" t="s">
        <v>135</v>
      </c>
      <c r="K1576" s="27" t="s">
        <v>73</v>
      </c>
      <c r="L1576" s="31" t="s">
        <v>2668</v>
      </c>
      <c r="M1576" s="32">
        <v>0.59</v>
      </c>
      <c r="N1576" s="27" t="s">
        <v>33</v>
      </c>
      <c r="O1576" s="27" t="s">
        <v>53</v>
      </c>
      <c r="P1576" s="27" t="s">
        <v>187</v>
      </c>
      <c r="Q1576" s="27" t="s">
        <v>1918</v>
      </c>
      <c r="R1576" s="33">
        <v>75007</v>
      </c>
      <c r="S1576" s="34">
        <v>42149</v>
      </c>
      <c r="T1576" s="34">
        <v>42150</v>
      </c>
      <c r="U1576" s="29">
        <v>13.956799999999999</v>
      </c>
      <c r="V1576" s="26">
        <v>11</v>
      </c>
      <c r="W1576" s="29">
        <v>1878.24</v>
      </c>
      <c r="X1576" s="26">
        <v>86077</v>
      </c>
      <c r="Y1576" s="35">
        <v>3.14</v>
      </c>
      <c r="Z1576" s="1" t="s">
        <v>3012</v>
      </c>
      <c r="AA1576" s="36">
        <v>90.635600000000011</v>
      </c>
      <c r="AB1576" s="54">
        <v>770.0784000000001</v>
      </c>
      <c r="AC1576" s="54">
        <v>100.74196363636364</v>
      </c>
      <c r="AD1576" s="36">
        <v>1768.6476</v>
      </c>
    </row>
    <row r="1577" spans="1:30" s="37" customFormat="1" ht="15.75" customHeight="1" x14ac:dyDescent="0.2">
      <c r="A1577" s="26">
        <v>1472</v>
      </c>
      <c r="B1577" s="27" t="s">
        <v>2669</v>
      </c>
      <c r="C1577" s="27" t="s">
        <v>116</v>
      </c>
      <c r="D1577" s="28">
        <v>0.05</v>
      </c>
      <c r="E1577" s="29">
        <v>20.27</v>
      </c>
      <c r="F1577" s="29">
        <v>3.99</v>
      </c>
      <c r="G1577" s="30" t="s">
        <v>39</v>
      </c>
      <c r="H1577" s="27" t="s">
        <v>71</v>
      </c>
      <c r="I1577" s="27" t="s">
        <v>49</v>
      </c>
      <c r="J1577" s="27" t="s">
        <v>95</v>
      </c>
      <c r="K1577" s="27" t="s">
        <v>73</v>
      </c>
      <c r="L1577" s="31" t="s">
        <v>1800</v>
      </c>
      <c r="M1577" s="32">
        <v>0.56999999999999995</v>
      </c>
      <c r="N1577" s="27" t="s">
        <v>33</v>
      </c>
      <c r="O1577" s="27" t="s">
        <v>111</v>
      </c>
      <c r="P1577" s="27" t="s">
        <v>317</v>
      </c>
      <c r="Q1577" s="27" t="s">
        <v>2670</v>
      </c>
      <c r="R1577" s="33">
        <v>44145</v>
      </c>
      <c r="S1577" s="34">
        <v>42149</v>
      </c>
      <c r="T1577" s="34">
        <v>42150</v>
      </c>
      <c r="U1577" s="29">
        <v>309.25400000000002</v>
      </c>
      <c r="V1577" s="26">
        <v>30</v>
      </c>
      <c r="W1577" s="29">
        <v>621.55999999999995</v>
      </c>
      <c r="X1577" s="26">
        <v>87079</v>
      </c>
      <c r="Y1577" s="35">
        <v>125.89999999999999</v>
      </c>
      <c r="Z1577" s="1" t="s">
        <v>3014</v>
      </c>
      <c r="AA1577" s="36">
        <v>30.405000000000001</v>
      </c>
      <c r="AB1577" s="54">
        <v>267.27080000000001</v>
      </c>
      <c r="AC1577" s="54">
        <v>11.809639999999998</v>
      </c>
      <c r="AD1577" s="36">
        <v>277.91099999999994</v>
      </c>
    </row>
    <row r="1578" spans="1:30" s="37" customFormat="1" ht="15.75" customHeight="1" x14ac:dyDescent="0.2">
      <c r="A1578" s="26">
        <v>3287</v>
      </c>
      <c r="B1578" s="27" t="s">
        <v>2664</v>
      </c>
      <c r="C1578" s="27" t="s">
        <v>48</v>
      </c>
      <c r="D1578" s="28">
        <v>0.08</v>
      </c>
      <c r="E1578" s="29">
        <v>30.56</v>
      </c>
      <c r="F1578" s="29">
        <v>2.99</v>
      </c>
      <c r="G1578" s="30" t="s">
        <v>39</v>
      </c>
      <c r="H1578" s="27" t="s">
        <v>3095</v>
      </c>
      <c r="I1578" s="27" t="s">
        <v>49</v>
      </c>
      <c r="J1578" s="27" t="s">
        <v>72</v>
      </c>
      <c r="K1578" s="27" t="s">
        <v>73</v>
      </c>
      <c r="L1578" s="31" t="s">
        <v>1053</v>
      </c>
      <c r="M1578" s="32">
        <v>0.35</v>
      </c>
      <c r="N1578" s="27" t="s">
        <v>33</v>
      </c>
      <c r="O1578" s="27" t="s">
        <v>60</v>
      </c>
      <c r="P1578" s="27" t="s">
        <v>90</v>
      </c>
      <c r="Q1578" s="27" t="s">
        <v>2665</v>
      </c>
      <c r="R1578" s="33">
        <v>95746</v>
      </c>
      <c r="S1578" s="34">
        <v>42149</v>
      </c>
      <c r="T1578" s="34">
        <v>42151</v>
      </c>
      <c r="U1578" s="29">
        <v>352.87979999999999</v>
      </c>
      <c r="V1578" s="26">
        <v>17</v>
      </c>
      <c r="W1578" s="29">
        <v>511.42</v>
      </c>
      <c r="X1578" s="26">
        <v>89897</v>
      </c>
      <c r="Y1578" s="35">
        <v>30.48</v>
      </c>
      <c r="Z1578" s="1" t="s">
        <v>3013</v>
      </c>
      <c r="AA1578" s="36">
        <v>41.561599999999999</v>
      </c>
      <c r="AB1578" s="54">
        <v>332.423</v>
      </c>
      <c r="AC1578" s="54">
        <v>10.529235294117647</v>
      </c>
      <c r="AD1578" s="36">
        <v>113.98860000000002</v>
      </c>
    </row>
    <row r="1579" spans="1:30" s="37" customFormat="1" ht="15.75" customHeight="1" x14ac:dyDescent="0.2">
      <c r="A1579" s="26">
        <v>444</v>
      </c>
      <c r="B1579" s="27" t="s">
        <v>2660</v>
      </c>
      <c r="C1579" s="27" t="s">
        <v>26</v>
      </c>
      <c r="D1579" s="28">
        <v>0</v>
      </c>
      <c r="E1579" s="29">
        <v>7.59</v>
      </c>
      <c r="F1579" s="29">
        <v>4</v>
      </c>
      <c r="G1579" s="30" t="s">
        <v>39</v>
      </c>
      <c r="H1579" s="27" t="s">
        <v>3095</v>
      </c>
      <c r="I1579" s="27" t="s">
        <v>29</v>
      </c>
      <c r="J1579" s="27" t="s">
        <v>126</v>
      </c>
      <c r="K1579" s="27" t="s">
        <v>51</v>
      </c>
      <c r="L1579" s="31" t="s">
        <v>1687</v>
      </c>
      <c r="M1579" s="32">
        <v>0.42</v>
      </c>
      <c r="N1579" s="27" t="s">
        <v>33</v>
      </c>
      <c r="O1579" s="27" t="s">
        <v>53</v>
      </c>
      <c r="P1579" s="27" t="s">
        <v>103</v>
      </c>
      <c r="Q1579" s="27" t="s">
        <v>2507</v>
      </c>
      <c r="R1579" s="33">
        <v>61801</v>
      </c>
      <c r="S1579" s="34">
        <v>42149</v>
      </c>
      <c r="T1579" s="34">
        <v>42152</v>
      </c>
      <c r="U1579" s="29">
        <v>86.438000000000002</v>
      </c>
      <c r="V1579" s="26">
        <v>43</v>
      </c>
      <c r="W1579" s="29">
        <v>355.92</v>
      </c>
      <c r="X1579" s="26">
        <v>88085</v>
      </c>
      <c r="Y1579" s="35">
        <v>6.9700000000000006</v>
      </c>
      <c r="Z1579" s="1" t="s">
        <v>3012</v>
      </c>
      <c r="AA1579" s="36">
        <v>0</v>
      </c>
      <c r="AB1579" s="54">
        <v>206.43360000000004</v>
      </c>
      <c r="AC1579" s="54">
        <v>3.4764279069767445</v>
      </c>
      <c r="AD1579" s="36">
        <v>265.48200000000003</v>
      </c>
    </row>
    <row r="1580" spans="1:30" s="37" customFormat="1" ht="15.75" customHeight="1" x14ac:dyDescent="0.2">
      <c r="A1580" s="26">
        <v>2391</v>
      </c>
      <c r="B1580" s="27" t="s">
        <v>2678</v>
      </c>
      <c r="C1580" s="27" t="s">
        <v>3094</v>
      </c>
      <c r="D1580" s="28">
        <v>0.1</v>
      </c>
      <c r="E1580" s="29">
        <v>27.18</v>
      </c>
      <c r="F1580" s="29">
        <v>8.23</v>
      </c>
      <c r="G1580" s="30" t="s">
        <v>39</v>
      </c>
      <c r="H1580" s="27" t="s">
        <v>94</v>
      </c>
      <c r="I1580" s="27" t="s">
        <v>49</v>
      </c>
      <c r="J1580" s="27" t="s">
        <v>345</v>
      </c>
      <c r="K1580" s="27" t="s">
        <v>73</v>
      </c>
      <c r="L1580" s="31" t="s">
        <v>2681</v>
      </c>
      <c r="M1580" s="32">
        <v>0.38</v>
      </c>
      <c r="N1580" s="27" t="s">
        <v>33</v>
      </c>
      <c r="O1580" s="27" t="s">
        <v>111</v>
      </c>
      <c r="P1580" s="27" t="s">
        <v>112</v>
      </c>
      <c r="Q1580" s="27" t="s">
        <v>2680</v>
      </c>
      <c r="R1580" s="33">
        <v>11572</v>
      </c>
      <c r="S1580" s="34">
        <v>42149</v>
      </c>
      <c r="T1580" s="34">
        <v>42151</v>
      </c>
      <c r="U1580" s="29">
        <v>204.49</v>
      </c>
      <c r="V1580" s="26">
        <v>12</v>
      </c>
      <c r="W1580" s="29">
        <v>314.06</v>
      </c>
      <c r="X1580" s="26">
        <v>91122</v>
      </c>
      <c r="Y1580" s="35">
        <v>300.93</v>
      </c>
      <c r="Z1580" s="1" t="s">
        <v>3014</v>
      </c>
      <c r="AA1580" s="36">
        <v>32.616</v>
      </c>
      <c r="AB1580" s="54">
        <v>194.71719999999999</v>
      </c>
      <c r="AC1580" s="54">
        <v>9.9452333333333343</v>
      </c>
      <c r="AD1580" s="36">
        <v>68.72399999999999</v>
      </c>
    </row>
    <row r="1581" spans="1:30" s="37" customFormat="1" ht="15.75" customHeight="1" x14ac:dyDescent="0.2">
      <c r="A1581" s="26">
        <v>129</v>
      </c>
      <c r="B1581" s="27" t="s">
        <v>831</v>
      </c>
      <c r="C1581" s="27" t="s">
        <v>3094</v>
      </c>
      <c r="D1581" s="28">
        <v>7.0000000000000007E-2</v>
      </c>
      <c r="E1581" s="29">
        <v>15.74</v>
      </c>
      <c r="F1581" s="29">
        <v>1.39</v>
      </c>
      <c r="G1581" s="30" t="s">
        <v>39</v>
      </c>
      <c r="H1581" s="27" t="s">
        <v>3095</v>
      </c>
      <c r="I1581" s="27" t="s">
        <v>49</v>
      </c>
      <c r="J1581" s="27" t="s">
        <v>345</v>
      </c>
      <c r="K1581" s="27" t="s">
        <v>73</v>
      </c>
      <c r="L1581" s="31" t="s">
        <v>2674</v>
      </c>
      <c r="M1581" s="32">
        <v>0.4</v>
      </c>
      <c r="N1581" s="27" t="s">
        <v>33</v>
      </c>
      <c r="O1581" s="27" t="s">
        <v>53</v>
      </c>
      <c r="P1581" s="27" t="s">
        <v>103</v>
      </c>
      <c r="Q1581" s="27" t="s">
        <v>832</v>
      </c>
      <c r="R1581" s="33">
        <v>62002</v>
      </c>
      <c r="S1581" s="34">
        <v>42149</v>
      </c>
      <c r="T1581" s="34">
        <v>42150</v>
      </c>
      <c r="U1581" s="29">
        <v>149.8887</v>
      </c>
      <c r="V1581" s="26">
        <v>14</v>
      </c>
      <c r="W1581" s="29">
        <v>217.23</v>
      </c>
      <c r="X1581" s="26">
        <v>86694</v>
      </c>
      <c r="Y1581" s="35">
        <v>205.95000000000002</v>
      </c>
      <c r="Z1581" s="1" t="s">
        <v>3012</v>
      </c>
      <c r="AA1581" s="36">
        <v>15.425200000000002</v>
      </c>
      <c r="AB1581" s="54">
        <v>130.33799999999999</v>
      </c>
      <c r="AC1581" s="54">
        <v>6.2065714285714293</v>
      </c>
      <c r="AD1581" s="36">
        <v>50.526100000000014</v>
      </c>
    </row>
    <row r="1582" spans="1:30" s="37" customFormat="1" ht="15.75" customHeight="1" x14ac:dyDescent="0.2">
      <c r="A1582" s="26">
        <v>526</v>
      </c>
      <c r="B1582" s="27" t="s">
        <v>612</v>
      </c>
      <c r="C1582" s="27" t="s">
        <v>38</v>
      </c>
      <c r="D1582" s="28">
        <v>0.09</v>
      </c>
      <c r="E1582" s="29">
        <v>17.98</v>
      </c>
      <c r="F1582" s="29">
        <v>8.51</v>
      </c>
      <c r="G1582" s="30" t="s">
        <v>39</v>
      </c>
      <c r="H1582" s="27" t="s">
        <v>71</v>
      </c>
      <c r="I1582" s="27" t="s">
        <v>41</v>
      </c>
      <c r="J1582" s="27" t="s">
        <v>57</v>
      </c>
      <c r="K1582" s="27" t="s">
        <v>144</v>
      </c>
      <c r="L1582" s="31" t="s">
        <v>1880</v>
      </c>
      <c r="M1582" s="32">
        <v>0.4</v>
      </c>
      <c r="N1582" s="27" t="s">
        <v>33</v>
      </c>
      <c r="O1582" s="27" t="s">
        <v>60</v>
      </c>
      <c r="P1582" s="27" t="s">
        <v>588</v>
      </c>
      <c r="Q1582" s="27" t="s">
        <v>614</v>
      </c>
      <c r="R1582" s="33">
        <v>85204</v>
      </c>
      <c r="S1582" s="34">
        <v>42149</v>
      </c>
      <c r="T1582" s="34">
        <v>42151</v>
      </c>
      <c r="U1582" s="29">
        <v>-6.6120000000000001</v>
      </c>
      <c r="V1582" s="26">
        <v>12</v>
      </c>
      <c r="W1582" s="29">
        <v>211.13</v>
      </c>
      <c r="X1582" s="26">
        <v>90026</v>
      </c>
      <c r="Y1582" s="35">
        <v>20.22</v>
      </c>
      <c r="Z1582" s="1" t="s">
        <v>3013</v>
      </c>
      <c r="AA1582" s="36">
        <v>19.418400000000002</v>
      </c>
      <c r="AB1582" s="54">
        <v>126.678</v>
      </c>
      <c r="AC1582" s="54">
        <v>7.0376666666666665</v>
      </c>
      <c r="AD1582" s="36">
        <v>189.81360000000001</v>
      </c>
    </row>
    <row r="1583" spans="1:30" s="37" customFormat="1" ht="15.75" customHeight="1" x14ac:dyDescent="0.2">
      <c r="A1583" s="26">
        <v>1054</v>
      </c>
      <c r="B1583" s="27" t="s">
        <v>2675</v>
      </c>
      <c r="C1583" s="27" t="s">
        <v>3094</v>
      </c>
      <c r="D1583" s="28">
        <v>0.08</v>
      </c>
      <c r="E1583" s="29">
        <v>26.38</v>
      </c>
      <c r="F1583" s="29">
        <v>5.58</v>
      </c>
      <c r="G1583" s="30" t="s">
        <v>39</v>
      </c>
      <c r="H1583" s="27" t="s">
        <v>94</v>
      </c>
      <c r="I1583" s="27" t="s">
        <v>49</v>
      </c>
      <c r="J1583" s="27" t="s">
        <v>88</v>
      </c>
      <c r="K1583" s="27" t="s">
        <v>73</v>
      </c>
      <c r="L1583" s="31" t="s">
        <v>2677</v>
      </c>
      <c r="M1583" s="32">
        <v>0.39</v>
      </c>
      <c r="N1583" s="27" t="s">
        <v>33</v>
      </c>
      <c r="O1583" s="27" t="s">
        <v>60</v>
      </c>
      <c r="P1583" s="27" t="s">
        <v>588</v>
      </c>
      <c r="Q1583" s="27" t="s">
        <v>2676</v>
      </c>
      <c r="R1583" s="33">
        <v>85374</v>
      </c>
      <c r="S1583" s="34">
        <v>42149</v>
      </c>
      <c r="T1583" s="34">
        <v>42150</v>
      </c>
      <c r="U1583" s="29">
        <v>144.7482</v>
      </c>
      <c r="V1583" s="26">
        <v>8</v>
      </c>
      <c r="W1583" s="29">
        <v>209.78</v>
      </c>
      <c r="X1583" s="26">
        <v>90069</v>
      </c>
      <c r="Y1583" s="35">
        <v>11.53</v>
      </c>
      <c r="Z1583" s="1" t="s">
        <v>3013</v>
      </c>
      <c r="AA1583" s="36">
        <v>16.883199999999999</v>
      </c>
      <c r="AB1583" s="54">
        <v>127.9658</v>
      </c>
      <c r="AC1583" s="54">
        <v>10.226775</v>
      </c>
      <c r="AD1583" s="36">
        <v>42.568600000000004</v>
      </c>
    </row>
    <row r="1584" spans="1:30" s="37" customFormat="1" ht="15.75" customHeight="1" x14ac:dyDescent="0.2">
      <c r="A1584" s="26">
        <v>2652</v>
      </c>
      <c r="B1584" s="27" t="s">
        <v>2673</v>
      </c>
      <c r="C1584" s="27" t="s">
        <v>116</v>
      </c>
      <c r="D1584" s="28">
        <v>0.06</v>
      </c>
      <c r="E1584" s="29">
        <v>47.9</v>
      </c>
      <c r="F1584" s="29">
        <v>5.86</v>
      </c>
      <c r="G1584" s="30" t="s">
        <v>39</v>
      </c>
      <c r="H1584" s="27" t="s">
        <v>40</v>
      </c>
      <c r="I1584" s="27" t="s">
        <v>49</v>
      </c>
      <c r="J1584" s="27" t="s">
        <v>88</v>
      </c>
      <c r="K1584" s="27" t="s">
        <v>73</v>
      </c>
      <c r="L1584" s="31" t="s">
        <v>1309</v>
      </c>
      <c r="M1584" s="32">
        <v>0.37</v>
      </c>
      <c r="N1584" s="27" t="s">
        <v>33</v>
      </c>
      <c r="O1584" s="27" t="s">
        <v>60</v>
      </c>
      <c r="P1584" s="27" t="s">
        <v>90</v>
      </c>
      <c r="Q1584" s="27" t="s">
        <v>1694</v>
      </c>
      <c r="R1584" s="33">
        <v>93309</v>
      </c>
      <c r="S1584" s="34">
        <v>42149</v>
      </c>
      <c r="T1584" s="34">
        <v>42151</v>
      </c>
      <c r="U1584" s="29">
        <v>21.78</v>
      </c>
      <c r="V1584" s="26">
        <v>2</v>
      </c>
      <c r="W1584" s="29">
        <v>94.2</v>
      </c>
      <c r="X1584" s="26">
        <v>89361</v>
      </c>
      <c r="Y1584" s="35">
        <v>47.839999999999996</v>
      </c>
      <c r="Z1584" s="1" t="s">
        <v>3013</v>
      </c>
      <c r="AA1584" s="36">
        <v>5.7479999999999993</v>
      </c>
      <c r="AB1584" s="54">
        <v>59.346000000000004</v>
      </c>
      <c r="AC1584" s="54">
        <v>17.427</v>
      </c>
      <c r="AD1584" s="36">
        <v>60.812000000000005</v>
      </c>
    </row>
    <row r="1585" spans="1:30" s="37" customFormat="1" ht="15.75" customHeight="1" x14ac:dyDescent="0.2">
      <c r="A1585" s="26">
        <v>2339</v>
      </c>
      <c r="B1585" s="27" t="s">
        <v>2671</v>
      </c>
      <c r="C1585" s="27" t="s">
        <v>116</v>
      </c>
      <c r="D1585" s="28">
        <v>0.05</v>
      </c>
      <c r="E1585" s="29">
        <v>11.58</v>
      </c>
      <c r="F1585" s="29">
        <v>6.97</v>
      </c>
      <c r="G1585" s="30" t="s">
        <v>39</v>
      </c>
      <c r="H1585" s="27" t="s">
        <v>71</v>
      </c>
      <c r="I1585" s="27" t="s">
        <v>49</v>
      </c>
      <c r="J1585" s="27" t="s">
        <v>345</v>
      </c>
      <c r="K1585" s="27" t="s">
        <v>73</v>
      </c>
      <c r="L1585" s="31" t="s">
        <v>624</v>
      </c>
      <c r="M1585" s="32">
        <v>0.35</v>
      </c>
      <c r="N1585" s="27" t="s">
        <v>33</v>
      </c>
      <c r="O1585" s="27" t="s">
        <v>53</v>
      </c>
      <c r="P1585" s="27" t="s">
        <v>187</v>
      </c>
      <c r="Q1585" s="27" t="s">
        <v>2672</v>
      </c>
      <c r="R1585" s="33">
        <v>77015</v>
      </c>
      <c r="S1585" s="34">
        <v>42149</v>
      </c>
      <c r="T1585" s="34">
        <v>42152</v>
      </c>
      <c r="U1585" s="29">
        <v>2.806</v>
      </c>
      <c r="V1585" s="26">
        <v>6</v>
      </c>
      <c r="W1585" s="29">
        <v>73.959999999999994</v>
      </c>
      <c r="X1585" s="26">
        <v>91482</v>
      </c>
      <c r="Y1585" s="35">
        <v>15.67</v>
      </c>
      <c r="Z1585" s="1" t="s">
        <v>3012</v>
      </c>
      <c r="AA1585" s="36">
        <v>3.4740000000000002</v>
      </c>
      <c r="AB1585" s="54">
        <v>48.073999999999998</v>
      </c>
      <c r="AC1585" s="54">
        <v>4.3143333333333329</v>
      </c>
      <c r="AD1585" s="36">
        <v>60.709999999999994</v>
      </c>
    </row>
    <row r="1586" spans="1:30" s="37" customFormat="1" ht="15.75" customHeight="1" x14ac:dyDescent="0.2">
      <c r="A1586" s="26">
        <v>2868</v>
      </c>
      <c r="B1586" s="27" t="s">
        <v>322</v>
      </c>
      <c r="C1586" s="27" t="s">
        <v>3094</v>
      </c>
      <c r="D1586" s="28">
        <v>0.08</v>
      </c>
      <c r="E1586" s="29">
        <v>15.99</v>
      </c>
      <c r="F1586" s="29">
        <v>13.18</v>
      </c>
      <c r="G1586" s="30" t="s">
        <v>87</v>
      </c>
      <c r="H1586" s="27" t="s">
        <v>94</v>
      </c>
      <c r="I1586" s="27" t="s">
        <v>49</v>
      </c>
      <c r="J1586" s="27" t="s">
        <v>72</v>
      </c>
      <c r="K1586" s="27" t="s">
        <v>73</v>
      </c>
      <c r="L1586" s="31" t="s">
        <v>295</v>
      </c>
      <c r="M1586" s="32">
        <v>0.37</v>
      </c>
      <c r="N1586" s="27" t="s">
        <v>33</v>
      </c>
      <c r="O1586" s="27" t="s">
        <v>60</v>
      </c>
      <c r="P1586" s="27" t="s">
        <v>67</v>
      </c>
      <c r="Q1586" s="27" t="s">
        <v>324</v>
      </c>
      <c r="R1586" s="33">
        <v>98026</v>
      </c>
      <c r="S1586" s="34">
        <v>42149</v>
      </c>
      <c r="T1586" s="34">
        <v>42151</v>
      </c>
      <c r="U1586" s="29">
        <v>-66.584999999999994</v>
      </c>
      <c r="V1586" s="26">
        <v>4</v>
      </c>
      <c r="W1586" s="29">
        <v>66.02</v>
      </c>
      <c r="X1586" s="26">
        <v>85828</v>
      </c>
      <c r="Y1586" s="35">
        <v>5.41</v>
      </c>
      <c r="Z1586" s="1" t="s">
        <v>3013</v>
      </c>
      <c r="AA1586" s="36">
        <v>5.1168000000000005</v>
      </c>
      <c r="AB1586" s="54">
        <v>41.592599999999997</v>
      </c>
      <c r="AC1586" s="54">
        <v>6.1068499999999997</v>
      </c>
      <c r="AD1586" s="36">
        <v>114.3082</v>
      </c>
    </row>
    <row r="1587" spans="1:30" s="37" customFormat="1" ht="15.75" customHeight="1" x14ac:dyDescent="0.2">
      <c r="A1587" s="26">
        <v>2391</v>
      </c>
      <c r="B1587" s="27" t="s">
        <v>2678</v>
      </c>
      <c r="C1587" s="27" t="s">
        <v>3094</v>
      </c>
      <c r="D1587" s="28">
        <v>0.06</v>
      </c>
      <c r="E1587" s="29">
        <v>4.7699999999999996</v>
      </c>
      <c r="F1587" s="29">
        <v>2.39</v>
      </c>
      <c r="G1587" s="30" t="s">
        <v>39</v>
      </c>
      <c r="H1587" s="27" t="s">
        <v>94</v>
      </c>
      <c r="I1587" s="27" t="s">
        <v>41</v>
      </c>
      <c r="J1587" s="27" t="s">
        <v>42</v>
      </c>
      <c r="K1587" s="27" t="s">
        <v>43</v>
      </c>
      <c r="L1587" s="31" t="s">
        <v>2679</v>
      </c>
      <c r="M1587" s="32">
        <v>0.72</v>
      </c>
      <c r="N1587" s="27" t="s">
        <v>33</v>
      </c>
      <c r="O1587" s="27" t="s">
        <v>111</v>
      </c>
      <c r="P1587" s="27" t="s">
        <v>112</v>
      </c>
      <c r="Q1587" s="27" t="s">
        <v>2680</v>
      </c>
      <c r="R1587" s="33">
        <v>11572</v>
      </c>
      <c r="S1587" s="34">
        <v>42149</v>
      </c>
      <c r="T1587" s="34">
        <v>42150</v>
      </c>
      <c r="U1587" s="29">
        <v>-45.64</v>
      </c>
      <c r="V1587" s="26">
        <v>9</v>
      </c>
      <c r="W1587" s="29">
        <v>42.46</v>
      </c>
      <c r="X1587" s="26">
        <v>91122</v>
      </c>
      <c r="Y1587" s="35">
        <v>26.3</v>
      </c>
      <c r="Z1587" s="1" t="s">
        <v>3014</v>
      </c>
      <c r="AA1587" s="36">
        <v>2.5757999999999996</v>
      </c>
      <c r="AB1587" s="54">
        <v>11.888800000000002</v>
      </c>
      <c r="AC1587" s="54">
        <v>3.3968000000000003</v>
      </c>
      <c r="AD1587" s="36">
        <v>83.134199999999993</v>
      </c>
    </row>
    <row r="1588" spans="1:30" s="37" customFormat="1" ht="15.75" customHeight="1" x14ac:dyDescent="0.2">
      <c r="A1588" s="26">
        <v>1054</v>
      </c>
      <c r="B1588" s="27" t="s">
        <v>2675</v>
      </c>
      <c r="C1588" s="27" t="s">
        <v>3094</v>
      </c>
      <c r="D1588" s="28">
        <v>0.03</v>
      </c>
      <c r="E1588" s="29">
        <v>5.44</v>
      </c>
      <c r="F1588" s="29">
        <v>7.46</v>
      </c>
      <c r="G1588" s="30" t="s">
        <v>87</v>
      </c>
      <c r="H1588" s="27" t="s">
        <v>94</v>
      </c>
      <c r="I1588" s="27" t="s">
        <v>49</v>
      </c>
      <c r="J1588" s="27" t="s">
        <v>72</v>
      </c>
      <c r="K1588" s="27" t="s">
        <v>73</v>
      </c>
      <c r="L1588" s="31" t="s">
        <v>1242</v>
      </c>
      <c r="M1588" s="32">
        <v>0.36</v>
      </c>
      <c r="N1588" s="27" t="s">
        <v>33</v>
      </c>
      <c r="O1588" s="27" t="s">
        <v>60</v>
      </c>
      <c r="P1588" s="27" t="s">
        <v>588</v>
      </c>
      <c r="Q1588" s="27" t="s">
        <v>2676</v>
      </c>
      <c r="R1588" s="33">
        <v>85374</v>
      </c>
      <c r="S1588" s="34">
        <v>42149</v>
      </c>
      <c r="T1588" s="34">
        <v>42151</v>
      </c>
      <c r="U1588" s="29">
        <v>-51.704000000000001</v>
      </c>
      <c r="V1588" s="26">
        <v>4</v>
      </c>
      <c r="W1588" s="29">
        <v>26.31</v>
      </c>
      <c r="X1588" s="26">
        <v>90069</v>
      </c>
      <c r="Y1588" s="35">
        <v>20.93</v>
      </c>
      <c r="Z1588" s="1" t="s">
        <v>3013</v>
      </c>
      <c r="AA1588" s="36">
        <v>0.65280000000000005</v>
      </c>
      <c r="AB1588" s="54">
        <v>16.8384</v>
      </c>
      <c r="AC1588" s="54">
        <v>2.3678999999999997</v>
      </c>
      <c r="AD1588" s="36">
        <v>69.901200000000003</v>
      </c>
    </row>
    <row r="1589" spans="1:30" s="37" customFormat="1" ht="15.75" customHeight="1" x14ac:dyDescent="0.2">
      <c r="A1589" s="26">
        <v>1008</v>
      </c>
      <c r="B1589" s="27" t="s">
        <v>2661</v>
      </c>
      <c r="C1589" s="27" t="s">
        <v>38</v>
      </c>
      <c r="D1589" s="28">
        <v>0.01</v>
      </c>
      <c r="E1589" s="29">
        <v>3.15</v>
      </c>
      <c r="F1589" s="29">
        <v>0.49</v>
      </c>
      <c r="G1589" s="30" t="s">
        <v>39</v>
      </c>
      <c r="H1589" s="27" t="s">
        <v>71</v>
      </c>
      <c r="I1589" s="27" t="s">
        <v>49</v>
      </c>
      <c r="J1589" s="27" t="s">
        <v>152</v>
      </c>
      <c r="K1589" s="27" t="s">
        <v>73</v>
      </c>
      <c r="L1589" s="31" t="s">
        <v>2662</v>
      </c>
      <c r="M1589" s="32">
        <v>0.37</v>
      </c>
      <c r="N1589" s="27" t="s">
        <v>33</v>
      </c>
      <c r="O1589" s="27" t="s">
        <v>111</v>
      </c>
      <c r="P1589" s="27" t="s">
        <v>331</v>
      </c>
      <c r="Q1589" s="27" t="s">
        <v>2663</v>
      </c>
      <c r="R1589" s="33">
        <v>4038</v>
      </c>
      <c r="S1589" s="34">
        <v>42149</v>
      </c>
      <c r="T1589" s="34">
        <v>42151</v>
      </c>
      <c r="U1589" s="29">
        <v>17.505299999999998</v>
      </c>
      <c r="V1589" s="26">
        <v>8</v>
      </c>
      <c r="W1589" s="29">
        <v>25.37</v>
      </c>
      <c r="X1589" s="26">
        <v>88371</v>
      </c>
      <c r="Y1589" s="35">
        <v>4.71</v>
      </c>
      <c r="Z1589" s="1" t="s">
        <v>3014</v>
      </c>
      <c r="AA1589" s="36">
        <v>0.252</v>
      </c>
      <c r="AB1589" s="54">
        <v>15.9831</v>
      </c>
      <c r="AC1589" s="54">
        <v>1.1733625000000001</v>
      </c>
      <c r="AD1589" s="36">
        <v>7.1227000000000054</v>
      </c>
    </row>
    <row r="1590" spans="1:30" s="37" customFormat="1" ht="15.75" customHeight="1" x14ac:dyDescent="0.2">
      <c r="A1590" s="26">
        <v>827</v>
      </c>
      <c r="B1590" s="27" t="s">
        <v>2666</v>
      </c>
      <c r="C1590" s="27" t="s">
        <v>116</v>
      </c>
      <c r="D1590" s="28">
        <v>0.01</v>
      </c>
      <c r="E1590" s="29">
        <v>6.98</v>
      </c>
      <c r="F1590" s="29">
        <v>1.6</v>
      </c>
      <c r="G1590" s="30" t="s">
        <v>39</v>
      </c>
      <c r="H1590" s="27" t="s">
        <v>71</v>
      </c>
      <c r="I1590" s="27" t="s">
        <v>49</v>
      </c>
      <c r="J1590" s="27" t="s">
        <v>88</v>
      </c>
      <c r="K1590" s="27" t="s">
        <v>51</v>
      </c>
      <c r="L1590" s="31" t="s">
        <v>722</v>
      </c>
      <c r="M1590" s="32">
        <v>0.38</v>
      </c>
      <c r="N1590" s="27" t="s">
        <v>33</v>
      </c>
      <c r="O1590" s="27" t="s">
        <v>53</v>
      </c>
      <c r="P1590" s="27" t="s">
        <v>187</v>
      </c>
      <c r="Q1590" s="27" t="s">
        <v>2649</v>
      </c>
      <c r="R1590" s="33">
        <v>79109</v>
      </c>
      <c r="S1590" s="34">
        <v>42149</v>
      </c>
      <c r="T1590" s="34">
        <v>42150</v>
      </c>
      <c r="U1590" s="29">
        <v>0.34599999999999997</v>
      </c>
      <c r="V1590" s="26">
        <v>3</v>
      </c>
      <c r="W1590" s="29">
        <v>21.93</v>
      </c>
      <c r="X1590" s="26">
        <v>89259</v>
      </c>
      <c r="Y1590" s="35">
        <v>27.08</v>
      </c>
      <c r="Z1590" s="1" t="s">
        <v>3012</v>
      </c>
      <c r="AA1590" s="36">
        <v>0.2094</v>
      </c>
      <c r="AB1590" s="54">
        <v>13.5966</v>
      </c>
      <c r="AC1590" s="54">
        <v>2.7778</v>
      </c>
      <c r="AD1590" s="36">
        <v>19.7746</v>
      </c>
    </row>
    <row r="1591" spans="1:30" s="37" customFormat="1" ht="15.75" customHeight="1" x14ac:dyDescent="0.2">
      <c r="A1591" s="26">
        <v>1054</v>
      </c>
      <c r="B1591" s="27" t="s">
        <v>2675</v>
      </c>
      <c r="C1591" s="27" t="s">
        <v>3094</v>
      </c>
      <c r="D1591" s="28">
        <v>0.06</v>
      </c>
      <c r="E1591" s="29">
        <v>20.99</v>
      </c>
      <c r="F1591" s="29">
        <v>2.5</v>
      </c>
      <c r="G1591" s="30" t="s">
        <v>39</v>
      </c>
      <c r="H1591" s="27" t="s">
        <v>94</v>
      </c>
      <c r="I1591" s="27" t="s">
        <v>41</v>
      </c>
      <c r="J1591" s="27" t="s">
        <v>135</v>
      </c>
      <c r="K1591" s="27" t="s">
        <v>51</v>
      </c>
      <c r="L1591" s="31" t="s">
        <v>1201</v>
      </c>
      <c r="M1591" s="32">
        <v>0.81</v>
      </c>
      <c r="N1591" s="27" t="s">
        <v>33</v>
      </c>
      <c r="O1591" s="27" t="s">
        <v>60</v>
      </c>
      <c r="P1591" s="27" t="s">
        <v>588</v>
      </c>
      <c r="Q1591" s="27" t="s">
        <v>2676</v>
      </c>
      <c r="R1591" s="33">
        <v>85374</v>
      </c>
      <c r="S1591" s="34">
        <v>42149</v>
      </c>
      <c r="T1591" s="34">
        <v>42151</v>
      </c>
      <c r="U1591" s="29">
        <v>-112.18899999999999</v>
      </c>
      <c r="V1591" s="26">
        <v>1</v>
      </c>
      <c r="W1591" s="29">
        <v>17.829999999999998</v>
      </c>
      <c r="X1591" s="26">
        <v>90069</v>
      </c>
      <c r="Y1591" s="35">
        <v>15.91</v>
      </c>
      <c r="Z1591" s="1" t="s">
        <v>3013</v>
      </c>
      <c r="AA1591" s="36">
        <v>1.2593999999999999</v>
      </c>
      <c r="AB1591" s="54">
        <v>3.3876999999999988</v>
      </c>
      <c r="AC1591" s="54">
        <v>14.442299999999999</v>
      </c>
      <c r="AD1591" s="36">
        <v>126.25959999999999</v>
      </c>
    </row>
    <row r="1592" spans="1:30" s="37" customFormat="1" ht="15.75" customHeight="1" x14ac:dyDescent="0.2">
      <c r="A1592" s="26">
        <v>2928</v>
      </c>
      <c r="B1592" s="27" t="s">
        <v>2684</v>
      </c>
      <c r="C1592" s="27" t="s">
        <v>26</v>
      </c>
      <c r="D1592" s="28">
        <v>0.02</v>
      </c>
      <c r="E1592" s="29">
        <v>54.1</v>
      </c>
      <c r="F1592" s="29">
        <v>19.989999999999998</v>
      </c>
      <c r="G1592" s="30" t="s">
        <v>39</v>
      </c>
      <c r="H1592" s="27" t="s">
        <v>40</v>
      </c>
      <c r="I1592" s="27" t="s">
        <v>49</v>
      </c>
      <c r="J1592" s="27" t="s">
        <v>78</v>
      </c>
      <c r="K1592" s="27" t="s">
        <v>73</v>
      </c>
      <c r="L1592" s="31" t="s">
        <v>1264</v>
      </c>
      <c r="M1592" s="32">
        <v>0.59</v>
      </c>
      <c r="N1592" s="27" t="s">
        <v>33</v>
      </c>
      <c r="O1592" s="27" t="s">
        <v>34</v>
      </c>
      <c r="P1592" s="27" t="s">
        <v>271</v>
      </c>
      <c r="Q1592" s="27" t="s">
        <v>2686</v>
      </c>
      <c r="R1592" s="33">
        <v>29418</v>
      </c>
      <c r="S1592" s="34">
        <v>42150</v>
      </c>
      <c r="T1592" s="34">
        <v>42151</v>
      </c>
      <c r="U1592" s="29">
        <v>-33.585999999999999</v>
      </c>
      <c r="V1592" s="26">
        <v>36</v>
      </c>
      <c r="W1592" s="29">
        <v>1944.87</v>
      </c>
      <c r="X1592" s="26">
        <v>90218</v>
      </c>
      <c r="Y1592" s="35">
        <v>11.31</v>
      </c>
      <c r="Z1592" s="1" t="s">
        <v>3011</v>
      </c>
      <c r="AA1592" s="36">
        <v>38.952000000000005</v>
      </c>
      <c r="AB1592" s="54">
        <v>797.39670000000001</v>
      </c>
      <c r="AC1592" s="54">
        <v>31.87425833333333</v>
      </c>
      <c r="AD1592" s="36">
        <v>1919.5139999999999</v>
      </c>
    </row>
    <row r="1593" spans="1:30" s="37" customFormat="1" ht="15.75" customHeight="1" x14ac:dyDescent="0.2">
      <c r="A1593" s="26">
        <v>241</v>
      </c>
      <c r="B1593" s="27" t="s">
        <v>2240</v>
      </c>
      <c r="C1593" s="27" t="s">
        <v>48</v>
      </c>
      <c r="D1593" s="28">
        <v>0.02</v>
      </c>
      <c r="E1593" s="29">
        <v>125.99</v>
      </c>
      <c r="F1593" s="29">
        <v>3</v>
      </c>
      <c r="G1593" s="30" t="s">
        <v>39</v>
      </c>
      <c r="H1593" s="27" t="s">
        <v>3095</v>
      </c>
      <c r="I1593" s="27" t="s">
        <v>41</v>
      </c>
      <c r="J1593" s="27" t="s">
        <v>135</v>
      </c>
      <c r="K1593" s="27" t="s">
        <v>73</v>
      </c>
      <c r="L1593" s="31" t="s">
        <v>2688</v>
      </c>
      <c r="M1593" s="32">
        <v>0.59</v>
      </c>
      <c r="N1593" s="27" t="s">
        <v>33</v>
      </c>
      <c r="O1593" s="27" t="s">
        <v>60</v>
      </c>
      <c r="P1593" s="27" t="s">
        <v>61</v>
      </c>
      <c r="Q1593" s="27" t="s">
        <v>2241</v>
      </c>
      <c r="R1593" s="33">
        <v>81503</v>
      </c>
      <c r="S1593" s="34">
        <v>42150</v>
      </c>
      <c r="T1593" s="34">
        <v>42150</v>
      </c>
      <c r="U1593" s="29">
        <v>398.358</v>
      </c>
      <c r="V1593" s="26">
        <v>8</v>
      </c>
      <c r="W1593" s="29">
        <v>873.18</v>
      </c>
      <c r="X1593" s="26">
        <v>90480</v>
      </c>
      <c r="Y1593" s="35">
        <v>15.66</v>
      </c>
      <c r="Z1593" s="1" t="s">
        <v>3013</v>
      </c>
      <c r="AA1593" s="36">
        <v>20.1584</v>
      </c>
      <c r="AB1593" s="54">
        <v>358.00380000000001</v>
      </c>
      <c r="AC1593" s="54">
        <v>64.397024999999999</v>
      </c>
      <c r="AD1593" s="36">
        <v>451.66359999999997</v>
      </c>
    </row>
    <row r="1594" spans="1:30" s="37" customFormat="1" ht="15.75" customHeight="1" x14ac:dyDescent="0.2">
      <c r="A1594" s="26">
        <v>2266</v>
      </c>
      <c r="B1594" s="27" t="s">
        <v>2682</v>
      </c>
      <c r="C1594" s="27" t="s">
        <v>26</v>
      </c>
      <c r="D1594" s="28">
        <v>0.01</v>
      </c>
      <c r="E1594" s="29">
        <v>15.67</v>
      </c>
      <c r="F1594" s="29">
        <v>1.39</v>
      </c>
      <c r="G1594" s="30" t="s">
        <v>39</v>
      </c>
      <c r="H1594" s="27" t="s">
        <v>94</v>
      </c>
      <c r="I1594" s="27" t="s">
        <v>49</v>
      </c>
      <c r="J1594" s="27" t="s">
        <v>345</v>
      </c>
      <c r="K1594" s="27" t="s">
        <v>73</v>
      </c>
      <c r="L1594" s="31" t="s">
        <v>2484</v>
      </c>
      <c r="M1594" s="32">
        <v>0.38</v>
      </c>
      <c r="N1594" s="27" t="s">
        <v>33</v>
      </c>
      <c r="O1594" s="27" t="s">
        <v>53</v>
      </c>
      <c r="P1594" s="27" t="s">
        <v>80</v>
      </c>
      <c r="Q1594" s="27" t="s">
        <v>2683</v>
      </c>
      <c r="R1594" s="33">
        <v>63122</v>
      </c>
      <c r="S1594" s="34">
        <v>42150</v>
      </c>
      <c r="T1594" s="34">
        <v>42151</v>
      </c>
      <c r="U1594" s="29">
        <v>171.26490000000001</v>
      </c>
      <c r="V1594" s="26">
        <v>16</v>
      </c>
      <c r="W1594" s="29">
        <v>248.21</v>
      </c>
      <c r="X1594" s="26">
        <v>86610</v>
      </c>
      <c r="Y1594" s="35">
        <v>5.5600000000000005</v>
      </c>
      <c r="Z1594" s="1" t="s">
        <v>3012</v>
      </c>
      <c r="AA1594" s="36">
        <v>2.5072000000000001</v>
      </c>
      <c r="AB1594" s="54">
        <v>153.89019999999999</v>
      </c>
      <c r="AC1594" s="54">
        <v>5.8949875</v>
      </c>
      <c r="AD1594" s="36">
        <v>73.047899999999998</v>
      </c>
    </row>
    <row r="1595" spans="1:30" s="37" customFormat="1" ht="15.75" customHeight="1" x14ac:dyDescent="0.2">
      <c r="A1595" s="26">
        <v>2928</v>
      </c>
      <c r="B1595" s="27" t="s">
        <v>2684</v>
      </c>
      <c r="C1595" s="27" t="s">
        <v>26</v>
      </c>
      <c r="D1595" s="28">
        <v>0.02</v>
      </c>
      <c r="E1595" s="29">
        <v>5.58</v>
      </c>
      <c r="F1595" s="29">
        <v>2.99</v>
      </c>
      <c r="G1595" s="30" t="s">
        <v>39</v>
      </c>
      <c r="H1595" s="27" t="s">
        <v>40</v>
      </c>
      <c r="I1595" s="27" t="s">
        <v>49</v>
      </c>
      <c r="J1595" s="27" t="s">
        <v>72</v>
      </c>
      <c r="K1595" s="27" t="s">
        <v>73</v>
      </c>
      <c r="L1595" s="31" t="s">
        <v>2685</v>
      </c>
      <c r="M1595" s="32">
        <v>0.37</v>
      </c>
      <c r="N1595" s="27" t="s">
        <v>33</v>
      </c>
      <c r="O1595" s="27" t="s">
        <v>34</v>
      </c>
      <c r="P1595" s="27" t="s">
        <v>271</v>
      </c>
      <c r="Q1595" s="27" t="s">
        <v>2686</v>
      </c>
      <c r="R1595" s="33">
        <v>29418</v>
      </c>
      <c r="S1595" s="34">
        <v>42150</v>
      </c>
      <c r="T1595" s="34">
        <v>42152</v>
      </c>
      <c r="U1595" s="29">
        <v>689.32799999999997</v>
      </c>
      <c r="V1595" s="26">
        <v>42</v>
      </c>
      <c r="W1595" s="29">
        <v>236.83</v>
      </c>
      <c r="X1595" s="26">
        <v>90218</v>
      </c>
      <c r="Y1595" s="35">
        <v>54.08</v>
      </c>
      <c r="Z1595" s="1" t="s">
        <v>3011</v>
      </c>
      <c r="AA1595" s="36">
        <v>4.6871999999999998</v>
      </c>
      <c r="AB1595" s="54">
        <v>149.2029</v>
      </c>
      <c r="AC1595" s="54">
        <v>2.0863595238095241</v>
      </c>
      <c r="AD1595" s="36">
        <v>-460.1751999999999</v>
      </c>
    </row>
    <row r="1596" spans="1:30" s="37" customFormat="1" ht="15.75" customHeight="1" x14ac:dyDescent="0.2">
      <c r="A1596" s="26">
        <v>241</v>
      </c>
      <c r="B1596" s="27" t="s">
        <v>2240</v>
      </c>
      <c r="C1596" s="27" t="s">
        <v>48</v>
      </c>
      <c r="D1596" s="28">
        <v>0.01</v>
      </c>
      <c r="E1596" s="29">
        <v>5.94</v>
      </c>
      <c r="F1596" s="29">
        <v>9.92</v>
      </c>
      <c r="G1596" s="30" t="s">
        <v>39</v>
      </c>
      <c r="H1596" s="27" t="s">
        <v>3095</v>
      </c>
      <c r="I1596" s="27" t="s">
        <v>49</v>
      </c>
      <c r="J1596" s="27" t="s">
        <v>72</v>
      </c>
      <c r="K1596" s="27" t="s">
        <v>73</v>
      </c>
      <c r="L1596" s="31" t="s">
        <v>2591</v>
      </c>
      <c r="M1596" s="32">
        <v>0.38</v>
      </c>
      <c r="N1596" s="27" t="s">
        <v>33</v>
      </c>
      <c r="O1596" s="27" t="s">
        <v>60</v>
      </c>
      <c r="P1596" s="27" t="s">
        <v>61</v>
      </c>
      <c r="Q1596" s="27" t="s">
        <v>2241</v>
      </c>
      <c r="R1596" s="33">
        <v>81503</v>
      </c>
      <c r="S1596" s="34">
        <v>42150</v>
      </c>
      <c r="T1596" s="34">
        <v>42157</v>
      </c>
      <c r="U1596" s="29">
        <v>-256.51900000000001</v>
      </c>
      <c r="V1596" s="26">
        <v>13</v>
      </c>
      <c r="W1596" s="29">
        <v>79.930000000000007</v>
      </c>
      <c r="X1596" s="26">
        <v>90480</v>
      </c>
      <c r="Y1596" s="35">
        <v>2.5700000000000003</v>
      </c>
      <c r="Z1596" s="1" t="s">
        <v>3013</v>
      </c>
      <c r="AA1596" s="36">
        <v>0.77220000000000011</v>
      </c>
      <c r="AB1596" s="54">
        <v>49.556600000000003</v>
      </c>
      <c r="AC1596" s="54">
        <v>2.3364153846153846</v>
      </c>
      <c r="AD1596" s="36">
        <v>325.7568</v>
      </c>
    </row>
    <row r="1597" spans="1:30" s="37" customFormat="1" ht="15.75" customHeight="1" x14ac:dyDescent="0.2">
      <c r="A1597" s="26">
        <v>2266</v>
      </c>
      <c r="B1597" s="27" t="s">
        <v>2682</v>
      </c>
      <c r="C1597" s="27" t="s">
        <v>26</v>
      </c>
      <c r="D1597" s="28">
        <v>0.02</v>
      </c>
      <c r="E1597" s="29">
        <v>11.33</v>
      </c>
      <c r="F1597" s="29">
        <v>6.12</v>
      </c>
      <c r="G1597" s="30" t="s">
        <v>39</v>
      </c>
      <c r="H1597" s="27" t="s">
        <v>94</v>
      </c>
      <c r="I1597" s="27" t="s">
        <v>49</v>
      </c>
      <c r="J1597" s="27" t="s">
        <v>95</v>
      </c>
      <c r="K1597" s="27" t="s">
        <v>144</v>
      </c>
      <c r="L1597" s="31" t="s">
        <v>1953</v>
      </c>
      <c r="M1597" s="32">
        <v>0.42</v>
      </c>
      <c r="N1597" s="27" t="s">
        <v>33</v>
      </c>
      <c r="O1597" s="27" t="s">
        <v>53</v>
      </c>
      <c r="P1597" s="27" t="s">
        <v>80</v>
      </c>
      <c r="Q1597" s="27" t="s">
        <v>2683</v>
      </c>
      <c r="R1597" s="33">
        <v>63122</v>
      </c>
      <c r="S1597" s="34">
        <v>42150</v>
      </c>
      <c r="T1597" s="34">
        <v>42152</v>
      </c>
      <c r="U1597" s="29">
        <v>-14.52</v>
      </c>
      <c r="V1597" s="26">
        <v>3</v>
      </c>
      <c r="W1597" s="29">
        <v>35.35</v>
      </c>
      <c r="X1597" s="26">
        <v>86610</v>
      </c>
      <c r="Y1597" s="35">
        <v>5.9300000000000006</v>
      </c>
      <c r="Z1597" s="1" t="s">
        <v>3012</v>
      </c>
      <c r="AA1597" s="36">
        <v>0.67979999999999996</v>
      </c>
      <c r="AB1597" s="54">
        <v>20.503000000000004</v>
      </c>
      <c r="AC1597" s="54">
        <v>4.9489999999999998</v>
      </c>
      <c r="AD1597" s="36">
        <v>43.0702</v>
      </c>
    </row>
    <row r="1598" spans="1:30" s="37" customFormat="1" ht="15.75" customHeight="1" x14ac:dyDescent="0.2">
      <c r="A1598" s="26">
        <v>2941</v>
      </c>
      <c r="B1598" s="27" t="s">
        <v>2687</v>
      </c>
      <c r="C1598" s="27" t="s">
        <v>26</v>
      </c>
      <c r="D1598" s="28">
        <v>0.05</v>
      </c>
      <c r="E1598" s="29">
        <v>2.62</v>
      </c>
      <c r="F1598" s="29">
        <v>0.8</v>
      </c>
      <c r="G1598" s="30" t="s">
        <v>39</v>
      </c>
      <c r="H1598" s="27" t="s">
        <v>3095</v>
      </c>
      <c r="I1598" s="27" t="s">
        <v>49</v>
      </c>
      <c r="J1598" s="27" t="s">
        <v>176</v>
      </c>
      <c r="K1598" s="27" t="s">
        <v>51</v>
      </c>
      <c r="L1598" s="31" t="s">
        <v>2124</v>
      </c>
      <c r="M1598" s="32">
        <v>0.39</v>
      </c>
      <c r="N1598" s="27" t="s">
        <v>33</v>
      </c>
      <c r="O1598" s="27" t="s">
        <v>111</v>
      </c>
      <c r="P1598" s="27" t="s">
        <v>397</v>
      </c>
      <c r="Q1598" s="27" t="s">
        <v>1641</v>
      </c>
      <c r="R1598" s="33">
        <v>7960</v>
      </c>
      <c r="S1598" s="34">
        <v>42150</v>
      </c>
      <c r="T1598" s="34">
        <v>42151</v>
      </c>
      <c r="U1598" s="29">
        <v>12.71</v>
      </c>
      <c r="V1598" s="26">
        <v>8</v>
      </c>
      <c r="W1598" s="29">
        <v>21.41</v>
      </c>
      <c r="X1598" s="26">
        <v>87618</v>
      </c>
      <c r="Y1598" s="35">
        <v>125.97</v>
      </c>
      <c r="Z1598" s="1" t="s">
        <v>3014</v>
      </c>
      <c r="AA1598" s="36">
        <v>1.048</v>
      </c>
      <c r="AB1598" s="54">
        <v>13.0601</v>
      </c>
      <c r="AC1598" s="54">
        <v>1.0437375</v>
      </c>
      <c r="AD1598" s="36">
        <v>6.8519999999999985</v>
      </c>
    </row>
    <row r="1599" spans="1:30" s="37" customFormat="1" ht="15.75" customHeight="1" x14ac:dyDescent="0.2">
      <c r="A1599" s="26">
        <v>451</v>
      </c>
      <c r="B1599" s="27" t="s">
        <v>219</v>
      </c>
      <c r="C1599" s="27" t="s">
        <v>26</v>
      </c>
      <c r="D1599" s="28">
        <v>0.04</v>
      </c>
      <c r="E1599" s="29">
        <v>37.700000000000003</v>
      </c>
      <c r="F1599" s="29">
        <v>2.99</v>
      </c>
      <c r="G1599" s="30" t="s">
        <v>39</v>
      </c>
      <c r="H1599" s="27" t="s">
        <v>71</v>
      </c>
      <c r="I1599" s="27" t="s">
        <v>49</v>
      </c>
      <c r="J1599" s="27" t="s">
        <v>72</v>
      </c>
      <c r="K1599" s="27" t="s">
        <v>73</v>
      </c>
      <c r="L1599" s="31" t="s">
        <v>2516</v>
      </c>
      <c r="M1599" s="32">
        <v>0.35</v>
      </c>
      <c r="N1599" s="27" t="s">
        <v>33</v>
      </c>
      <c r="O1599" s="27" t="s">
        <v>60</v>
      </c>
      <c r="P1599" s="27" t="s">
        <v>90</v>
      </c>
      <c r="Q1599" s="27" t="s">
        <v>221</v>
      </c>
      <c r="R1599" s="33">
        <v>94024</v>
      </c>
      <c r="S1599" s="34">
        <v>42151</v>
      </c>
      <c r="T1599" s="34">
        <v>42152</v>
      </c>
      <c r="U1599" s="29">
        <v>299.6739</v>
      </c>
      <c r="V1599" s="26">
        <v>12</v>
      </c>
      <c r="W1599" s="29">
        <v>434.31</v>
      </c>
      <c r="X1599" s="26">
        <v>86012</v>
      </c>
      <c r="Y1599" s="35">
        <v>37.660000000000004</v>
      </c>
      <c r="Z1599" s="1" t="s">
        <v>3013</v>
      </c>
      <c r="AA1599" s="36">
        <v>18.096000000000004</v>
      </c>
      <c r="AB1599" s="54">
        <v>282.30150000000003</v>
      </c>
      <c r="AC1599" s="54">
        <v>12.667375</v>
      </c>
      <c r="AD1599" s="36">
        <v>113.55009999999999</v>
      </c>
    </row>
    <row r="1600" spans="1:30" s="37" customFormat="1" ht="15.75" customHeight="1" x14ac:dyDescent="0.2">
      <c r="A1600" s="26">
        <v>865</v>
      </c>
      <c r="B1600" s="27" t="s">
        <v>1386</v>
      </c>
      <c r="C1600" s="27" t="s">
        <v>26</v>
      </c>
      <c r="D1600" s="28">
        <v>0.03</v>
      </c>
      <c r="E1600" s="29">
        <v>14.2</v>
      </c>
      <c r="F1600" s="29">
        <v>5.3</v>
      </c>
      <c r="G1600" s="30" t="s">
        <v>39</v>
      </c>
      <c r="H1600" s="27" t="s">
        <v>94</v>
      </c>
      <c r="I1600" s="27" t="s">
        <v>29</v>
      </c>
      <c r="J1600" s="27" t="s">
        <v>126</v>
      </c>
      <c r="K1600" s="27" t="s">
        <v>51</v>
      </c>
      <c r="L1600" s="31" t="s">
        <v>288</v>
      </c>
      <c r="M1600" s="32">
        <v>0.46</v>
      </c>
      <c r="N1600" s="27" t="s">
        <v>33</v>
      </c>
      <c r="O1600" s="27" t="s">
        <v>53</v>
      </c>
      <c r="P1600" s="27" t="s">
        <v>54</v>
      </c>
      <c r="Q1600" s="27" t="s">
        <v>1042</v>
      </c>
      <c r="R1600" s="33">
        <v>46312</v>
      </c>
      <c r="S1600" s="34">
        <v>42151</v>
      </c>
      <c r="T1600" s="34">
        <v>42152</v>
      </c>
      <c r="U1600" s="29">
        <v>122.21</v>
      </c>
      <c r="V1600" s="26">
        <v>18</v>
      </c>
      <c r="W1600" s="29">
        <v>267.2</v>
      </c>
      <c r="X1600" s="26">
        <v>90674</v>
      </c>
      <c r="Y1600" s="35">
        <v>55.980000000000004</v>
      </c>
      <c r="Z1600" s="1" t="s">
        <v>3012</v>
      </c>
      <c r="AA1600" s="36">
        <v>7.6680000000000001</v>
      </c>
      <c r="AB1600" s="54">
        <v>144.28800000000001</v>
      </c>
      <c r="AC1600" s="54">
        <v>6.8284444444444441</v>
      </c>
      <c r="AD1600" s="36">
        <v>132.02199999999999</v>
      </c>
    </row>
    <row r="1601" spans="1:30" s="37" customFormat="1" ht="15.75" customHeight="1" x14ac:dyDescent="0.2">
      <c r="A1601" s="26">
        <v>370</v>
      </c>
      <c r="B1601" s="27" t="s">
        <v>2691</v>
      </c>
      <c r="C1601" s="27" t="s">
        <v>3094</v>
      </c>
      <c r="D1601" s="28">
        <v>0.02</v>
      </c>
      <c r="E1601" s="29">
        <v>20.99</v>
      </c>
      <c r="F1601" s="29">
        <v>4.8099999999999996</v>
      </c>
      <c r="G1601" s="30" t="s">
        <v>39</v>
      </c>
      <c r="H1601" s="27" t="s">
        <v>94</v>
      </c>
      <c r="I1601" s="27" t="s">
        <v>41</v>
      </c>
      <c r="J1601" s="27" t="s">
        <v>135</v>
      </c>
      <c r="K1601" s="27" t="s">
        <v>144</v>
      </c>
      <c r="L1601" s="31" t="s">
        <v>1431</v>
      </c>
      <c r="M1601" s="32">
        <v>0.57999999999999996</v>
      </c>
      <c r="N1601" s="27" t="s">
        <v>33</v>
      </c>
      <c r="O1601" s="27" t="s">
        <v>111</v>
      </c>
      <c r="P1601" s="27" t="s">
        <v>331</v>
      </c>
      <c r="Q1601" s="27" t="s">
        <v>1658</v>
      </c>
      <c r="R1601" s="33">
        <v>4240</v>
      </c>
      <c r="S1601" s="34">
        <v>42151</v>
      </c>
      <c r="T1601" s="34">
        <v>42153</v>
      </c>
      <c r="U1601" s="29">
        <v>49.787999999999997</v>
      </c>
      <c r="V1601" s="26">
        <v>15</v>
      </c>
      <c r="W1601" s="29">
        <v>266.39</v>
      </c>
      <c r="X1601" s="26">
        <v>90291</v>
      </c>
      <c r="Y1601" s="35">
        <v>14.17</v>
      </c>
      <c r="Z1601" s="1" t="s">
        <v>3014</v>
      </c>
      <c r="AA1601" s="36">
        <v>6.2969999999999988</v>
      </c>
      <c r="AB1601" s="54">
        <v>111.88380000000001</v>
      </c>
      <c r="AC1601" s="54">
        <v>10.300413333333333</v>
      </c>
      <c r="AD1601" s="36">
        <v>205.495</v>
      </c>
    </row>
    <row r="1602" spans="1:30" s="37" customFormat="1" ht="15.75" customHeight="1" x14ac:dyDescent="0.2">
      <c r="A1602" s="26">
        <v>452</v>
      </c>
      <c r="B1602" s="27" t="s">
        <v>2689</v>
      </c>
      <c r="C1602" s="27" t="s">
        <v>26</v>
      </c>
      <c r="D1602" s="28">
        <v>0.01</v>
      </c>
      <c r="E1602" s="29">
        <v>55.99</v>
      </c>
      <c r="F1602" s="29">
        <v>5</v>
      </c>
      <c r="G1602" s="30" t="s">
        <v>39</v>
      </c>
      <c r="H1602" s="27" t="s">
        <v>71</v>
      </c>
      <c r="I1602" s="27" t="s">
        <v>41</v>
      </c>
      <c r="J1602" s="27" t="s">
        <v>135</v>
      </c>
      <c r="K1602" s="27" t="s">
        <v>43</v>
      </c>
      <c r="L1602" s="31" t="s">
        <v>1938</v>
      </c>
      <c r="M1602" s="32">
        <v>0.83</v>
      </c>
      <c r="N1602" s="27" t="s">
        <v>33</v>
      </c>
      <c r="O1602" s="27" t="s">
        <v>60</v>
      </c>
      <c r="P1602" s="27" t="s">
        <v>90</v>
      </c>
      <c r="Q1602" s="27" t="s">
        <v>2690</v>
      </c>
      <c r="R1602" s="33">
        <v>93635</v>
      </c>
      <c r="S1602" s="34">
        <v>42151</v>
      </c>
      <c r="T1602" s="34">
        <v>42152</v>
      </c>
      <c r="U1602" s="29">
        <v>-235.89500000000001</v>
      </c>
      <c r="V1602" s="26">
        <v>1</v>
      </c>
      <c r="W1602" s="29">
        <v>51.83</v>
      </c>
      <c r="X1602" s="26">
        <v>86012</v>
      </c>
      <c r="Y1602" s="35">
        <v>20.97</v>
      </c>
      <c r="Z1602" s="1" t="s">
        <v>3013</v>
      </c>
      <c r="AA1602" s="36">
        <v>0.55990000000000006</v>
      </c>
      <c r="AB1602" s="54">
        <v>8.8111000000000015</v>
      </c>
      <c r="AC1602" s="54">
        <v>43.018899999999995</v>
      </c>
      <c r="AD1602" s="36">
        <v>282.1651</v>
      </c>
    </row>
    <row r="1603" spans="1:30" s="37" customFormat="1" ht="15.75" customHeight="1" x14ac:dyDescent="0.2">
      <c r="A1603" s="26">
        <v>371</v>
      </c>
      <c r="B1603" s="27" t="s">
        <v>2692</v>
      </c>
      <c r="C1603" s="27" t="s">
        <v>3094</v>
      </c>
      <c r="D1603" s="28">
        <v>0.05</v>
      </c>
      <c r="E1603" s="29">
        <v>5.4</v>
      </c>
      <c r="F1603" s="29">
        <v>7.78</v>
      </c>
      <c r="G1603" s="30" t="s">
        <v>87</v>
      </c>
      <c r="H1603" s="27" t="s">
        <v>94</v>
      </c>
      <c r="I1603" s="27" t="s">
        <v>49</v>
      </c>
      <c r="J1603" s="27" t="s">
        <v>72</v>
      </c>
      <c r="K1603" s="27" t="s">
        <v>73</v>
      </c>
      <c r="L1603" s="31" t="s">
        <v>1484</v>
      </c>
      <c r="M1603" s="32">
        <v>0.37</v>
      </c>
      <c r="N1603" s="27" t="s">
        <v>33</v>
      </c>
      <c r="O1603" s="27" t="s">
        <v>111</v>
      </c>
      <c r="P1603" s="27" t="s">
        <v>403</v>
      </c>
      <c r="Q1603" s="27" t="s">
        <v>2693</v>
      </c>
      <c r="R1603" s="33">
        <v>2149</v>
      </c>
      <c r="S1603" s="34">
        <v>42151</v>
      </c>
      <c r="T1603" s="34">
        <v>42153</v>
      </c>
      <c r="U1603" s="29">
        <v>-132.62950000000001</v>
      </c>
      <c r="V1603" s="26">
        <v>9</v>
      </c>
      <c r="W1603" s="29">
        <v>51.82</v>
      </c>
      <c r="X1603" s="26">
        <v>90291</v>
      </c>
      <c r="Y1603" s="35">
        <v>5.3500000000000005</v>
      </c>
      <c r="Z1603" s="1" t="s">
        <v>3014</v>
      </c>
      <c r="AA1603" s="36">
        <v>2.4300000000000002</v>
      </c>
      <c r="AB1603" s="54">
        <v>32.646599999999999</v>
      </c>
      <c r="AC1603" s="54">
        <v>2.1303777777777779</v>
      </c>
      <c r="AD1603" s="36">
        <v>174.23949999999999</v>
      </c>
    </row>
    <row r="1604" spans="1:30" s="37" customFormat="1" ht="15.75" customHeight="1" x14ac:dyDescent="0.2">
      <c r="A1604" s="26">
        <v>250</v>
      </c>
      <c r="B1604" s="27" t="s">
        <v>2694</v>
      </c>
      <c r="C1604" s="27" t="s">
        <v>26</v>
      </c>
      <c r="D1604" s="28">
        <v>0.02</v>
      </c>
      <c r="E1604" s="29">
        <v>65.989999999999995</v>
      </c>
      <c r="F1604" s="29">
        <v>3.9</v>
      </c>
      <c r="G1604" s="30" t="s">
        <v>39</v>
      </c>
      <c r="H1604" s="27" t="s">
        <v>94</v>
      </c>
      <c r="I1604" s="27" t="s">
        <v>41</v>
      </c>
      <c r="J1604" s="27" t="s">
        <v>135</v>
      </c>
      <c r="K1604" s="27" t="s">
        <v>73</v>
      </c>
      <c r="L1604" s="31" t="s">
        <v>2697</v>
      </c>
      <c r="M1604" s="32">
        <v>0.55000000000000004</v>
      </c>
      <c r="N1604" s="27" t="s">
        <v>33</v>
      </c>
      <c r="O1604" s="27" t="s">
        <v>53</v>
      </c>
      <c r="P1604" s="27" t="s">
        <v>84</v>
      </c>
      <c r="Q1604" s="27" t="s">
        <v>2696</v>
      </c>
      <c r="R1604" s="33">
        <v>55423</v>
      </c>
      <c r="S1604" s="34">
        <v>42152</v>
      </c>
      <c r="T1604" s="34">
        <v>42153</v>
      </c>
      <c r="U1604" s="29">
        <v>1061.3789999999999</v>
      </c>
      <c r="V1604" s="26">
        <v>27</v>
      </c>
      <c r="W1604" s="29">
        <v>1543.55</v>
      </c>
      <c r="X1604" s="26">
        <v>87214</v>
      </c>
      <c r="Y1604" s="35">
        <v>2.56</v>
      </c>
      <c r="Z1604" s="1" t="s">
        <v>3012</v>
      </c>
      <c r="AA1604" s="36">
        <v>35.634599999999999</v>
      </c>
      <c r="AB1604" s="54">
        <v>694.59749999999985</v>
      </c>
      <c r="AC1604" s="54">
        <v>31.442685185185187</v>
      </c>
      <c r="AD1604" s="36">
        <v>442.63639999999987</v>
      </c>
    </row>
    <row r="1605" spans="1:30" s="37" customFormat="1" ht="15.75" customHeight="1" x14ac:dyDescent="0.2">
      <c r="A1605" s="26">
        <v>2709</v>
      </c>
      <c r="B1605" s="27" t="s">
        <v>2704</v>
      </c>
      <c r="C1605" s="27" t="s">
        <v>116</v>
      </c>
      <c r="D1605" s="28">
        <v>0</v>
      </c>
      <c r="E1605" s="29">
        <v>90.98</v>
      </c>
      <c r="F1605" s="29">
        <v>56.2</v>
      </c>
      <c r="G1605" s="30" t="s">
        <v>39</v>
      </c>
      <c r="H1605" s="27" t="s">
        <v>40</v>
      </c>
      <c r="I1605" s="27" t="s">
        <v>29</v>
      </c>
      <c r="J1605" s="27" t="s">
        <v>126</v>
      </c>
      <c r="K1605" s="27" t="s">
        <v>144</v>
      </c>
      <c r="L1605" s="31" t="s">
        <v>807</v>
      </c>
      <c r="M1605" s="32">
        <v>0.74</v>
      </c>
      <c r="N1605" s="27" t="s">
        <v>33</v>
      </c>
      <c r="O1605" s="27" t="s">
        <v>111</v>
      </c>
      <c r="P1605" s="27" t="s">
        <v>418</v>
      </c>
      <c r="Q1605" s="27" t="s">
        <v>2705</v>
      </c>
      <c r="R1605" s="33">
        <v>21042</v>
      </c>
      <c r="S1605" s="34">
        <v>42152</v>
      </c>
      <c r="T1605" s="34">
        <v>42154</v>
      </c>
      <c r="U1605" s="29">
        <v>-1014.11</v>
      </c>
      <c r="V1605" s="26">
        <v>15</v>
      </c>
      <c r="W1605" s="29">
        <v>1425.71</v>
      </c>
      <c r="X1605" s="26">
        <v>89240</v>
      </c>
      <c r="Y1605" s="35">
        <v>65.97</v>
      </c>
      <c r="Z1605" s="1" t="s">
        <v>3014</v>
      </c>
      <c r="AA1605" s="36">
        <v>0</v>
      </c>
      <c r="AB1605" s="54">
        <v>370.68460000000005</v>
      </c>
      <c r="AC1605" s="54">
        <v>70.335026666666678</v>
      </c>
      <c r="AD1605" s="36">
        <v>2383.62</v>
      </c>
    </row>
    <row r="1606" spans="1:30" s="37" customFormat="1" ht="15.75" customHeight="1" x14ac:dyDescent="0.2">
      <c r="A1606" s="26">
        <v>3206</v>
      </c>
      <c r="B1606" s="27" t="s">
        <v>1926</v>
      </c>
      <c r="C1606" s="27" t="s">
        <v>3094</v>
      </c>
      <c r="D1606" s="28">
        <v>0.05</v>
      </c>
      <c r="E1606" s="29">
        <v>35.44</v>
      </c>
      <c r="F1606" s="29">
        <v>5.09</v>
      </c>
      <c r="G1606" s="30" t="s">
        <v>39</v>
      </c>
      <c r="H1606" s="27" t="s">
        <v>40</v>
      </c>
      <c r="I1606" s="27" t="s">
        <v>49</v>
      </c>
      <c r="J1606" s="27" t="s">
        <v>88</v>
      </c>
      <c r="K1606" s="27" t="s">
        <v>73</v>
      </c>
      <c r="L1606" s="31" t="s">
        <v>2078</v>
      </c>
      <c r="M1606" s="32">
        <v>0.38</v>
      </c>
      <c r="N1606" s="27" t="s">
        <v>33</v>
      </c>
      <c r="O1606" s="27" t="s">
        <v>60</v>
      </c>
      <c r="P1606" s="27" t="s">
        <v>490</v>
      </c>
      <c r="Q1606" s="27" t="s">
        <v>1928</v>
      </c>
      <c r="R1606" s="33">
        <v>83301</v>
      </c>
      <c r="S1606" s="34">
        <v>42152</v>
      </c>
      <c r="T1606" s="34">
        <v>42153</v>
      </c>
      <c r="U1606" s="29">
        <v>553.33169999999996</v>
      </c>
      <c r="V1606" s="26">
        <v>23</v>
      </c>
      <c r="W1606" s="29">
        <v>801.93</v>
      </c>
      <c r="X1606" s="26">
        <v>87935</v>
      </c>
      <c r="Y1606" s="35">
        <v>5.95</v>
      </c>
      <c r="Z1606" s="1" t="s">
        <v>3013</v>
      </c>
      <c r="AA1606" s="36">
        <v>40.756</v>
      </c>
      <c r="AB1606" s="54">
        <v>497.19659999999999</v>
      </c>
      <c r="AC1606" s="54">
        <v>13.249278260869565</v>
      </c>
      <c r="AD1606" s="36">
        <v>202.75229999999999</v>
      </c>
    </row>
    <row r="1607" spans="1:30" s="37" customFormat="1" ht="15.75" customHeight="1" x14ac:dyDescent="0.2">
      <c r="A1607" s="26">
        <v>1627</v>
      </c>
      <c r="B1607" s="27" t="s">
        <v>2698</v>
      </c>
      <c r="C1607" s="27" t="s">
        <v>38</v>
      </c>
      <c r="D1607" s="28">
        <v>0.06</v>
      </c>
      <c r="E1607" s="29">
        <v>43.57</v>
      </c>
      <c r="F1607" s="29">
        <v>16.36</v>
      </c>
      <c r="G1607" s="30" t="s">
        <v>39</v>
      </c>
      <c r="H1607" s="27" t="s">
        <v>94</v>
      </c>
      <c r="I1607" s="27" t="s">
        <v>49</v>
      </c>
      <c r="J1607" s="27" t="s">
        <v>78</v>
      </c>
      <c r="K1607" s="27" t="s">
        <v>73</v>
      </c>
      <c r="L1607" s="31" t="s">
        <v>2699</v>
      </c>
      <c r="M1607" s="32">
        <v>0.55000000000000004</v>
      </c>
      <c r="N1607" s="27" t="s">
        <v>33</v>
      </c>
      <c r="O1607" s="27" t="s">
        <v>34</v>
      </c>
      <c r="P1607" s="27" t="s">
        <v>400</v>
      </c>
      <c r="Q1607" s="27" t="s">
        <v>2700</v>
      </c>
      <c r="R1607" s="33">
        <v>37743</v>
      </c>
      <c r="S1607" s="34">
        <v>42152</v>
      </c>
      <c r="T1607" s="34">
        <v>42154</v>
      </c>
      <c r="U1607" s="29">
        <v>-38.808</v>
      </c>
      <c r="V1607" s="26">
        <v>17</v>
      </c>
      <c r="W1607" s="29">
        <v>710.16</v>
      </c>
      <c r="X1607" s="26">
        <v>90602</v>
      </c>
      <c r="Y1607" s="35">
        <v>17.669999999999998</v>
      </c>
      <c r="Z1607" s="1" t="s">
        <v>3011</v>
      </c>
      <c r="AA1607" s="36">
        <v>44.441399999999994</v>
      </c>
      <c r="AB1607" s="54">
        <v>319.57199999999995</v>
      </c>
      <c r="AC1607" s="54">
        <v>22.975764705882355</v>
      </c>
      <c r="AD1607" s="36">
        <v>688.16660000000002</v>
      </c>
    </row>
    <row r="1608" spans="1:30" s="37" customFormat="1" ht="15.75" customHeight="1" x14ac:dyDescent="0.2">
      <c r="A1608" s="26">
        <v>15</v>
      </c>
      <c r="B1608" s="27" t="s">
        <v>2071</v>
      </c>
      <c r="C1608" s="27" t="s">
        <v>116</v>
      </c>
      <c r="D1608" s="28">
        <v>0.01</v>
      </c>
      <c r="E1608" s="29">
        <v>35.94</v>
      </c>
      <c r="F1608" s="29">
        <v>6.66</v>
      </c>
      <c r="G1608" s="30" t="s">
        <v>39</v>
      </c>
      <c r="H1608" s="27" t="s">
        <v>3095</v>
      </c>
      <c r="I1608" s="27" t="s">
        <v>49</v>
      </c>
      <c r="J1608" s="27" t="s">
        <v>345</v>
      </c>
      <c r="K1608" s="27" t="s">
        <v>73</v>
      </c>
      <c r="L1608" s="31" t="s">
        <v>2122</v>
      </c>
      <c r="M1608" s="32">
        <v>0.4</v>
      </c>
      <c r="N1608" s="27" t="s">
        <v>33</v>
      </c>
      <c r="O1608" s="27" t="s">
        <v>111</v>
      </c>
      <c r="P1608" s="27" t="s">
        <v>112</v>
      </c>
      <c r="Q1608" s="27" t="s">
        <v>2073</v>
      </c>
      <c r="R1608" s="33">
        <v>11787</v>
      </c>
      <c r="S1608" s="34">
        <v>42152</v>
      </c>
      <c r="T1608" s="34">
        <v>42152</v>
      </c>
      <c r="U1608" s="29">
        <v>261.87569999999999</v>
      </c>
      <c r="V1608" s="26">
        <v>10</v>
      </c>
      <c r="W1608" s="29">
        <v>379.53</v>
      </c>
      <c r="X1608" s="26">
        <v>86839</v>
      </c>
      <c r="Y1608" s="35">
        <v>43.51</v>
      </c>
      <c r="Z1608" s="1" t="s">
        <v>3014</v>
      </c>
      <c r="AA1608" s="36">
        <v>3.5939999999999999</v>
      </c>
      <c r="AB1608" s="54">
        <v>227.71799999999999</v>
      </c>
      <c r="AC1608" s="54">
        <v>15.181199999999999</v>
      </c>
      <c r="AD1608" s="36">
        <v>107.40029999999996</v>
      </c>
    </row>
    <row r="1609" spans="1:30" s="37" customFormat="1" ht="15.75" customHeight="1" x14ac:dyDescent="0.2">
      <c r="A1609" s="26">
        <v>3154</v>
      </c>
      <c r="B1609" s="27" t="s">
        <v>781</v>
      </c>
      <c r="C1609" s="27" t="s">
        <v>26</v>
      </c>
      <c r="D1609" s="28">
        <v>0.03</v>
      </c>
      <c r="E1609" s="29">
        <v>17.7</v>
      </c>
      <c r="F1609" s="29">
        <v>9.4700000000000006</v>
      </c>
      <c r="G1609" s="30" t="s">
        <v>39</v>
      </c>
      <c r="H1609" s="27" t="s">
        <v>40</v>
      </c>
      <c r="I1609" s="27" t="s">
        <v>49</v>
      </c>
      <c r="J1609" s="27" t="s">
        <v>78</v>
      </c>
      <c r="K1609" s="27" t="s">
        <v>73</v>
      </c>
      <c r="L1609" s="31" t="s">
        <v>1051</v>
      </c>
      <c r="M1609" s="32">
        <v>0.59</v>
      </c>
      <c r="N1609" s="27" t="s">
        <v>33</v>
      </c>
      <c r="O1609" s="27" t="s">
        <v>34</v>
      </c>
      <c r="P1609" s="27" t="s">
        <v>123</v>
      </c>
      <c r="Q1609" s="27" t="s">
        <v>783</v>
      </c>
      <c r="R1609" s="33">
        <v>33710</v>
      </c>
      <c r="S1609" s="34">
        <v>42152</v>
      </c>
      <c r="T1609" s="34">
        <v>42154</v>
      </c>
      <c r="U1609" s="29">
        <v>28.182600000000001</v>
      </c>
      <c r="V1609" s="26">
        <v>11</v>
      </c>
      <c r="W1609" s="29">
        <v>201.77</v>
      </c>
      <c r="X1609" s="26">
        <v>86900</v>
      </c>
      <c r="Y1609" s="35">
        <v>5.8199999999999994</v>
      </c>
      <c r="Z1609" s="1" t="s">
        <v>3011</v>
      </c>
      <c r="AA1609" s="36">
        <v>5.8409999999999993</v>
      </c>
      <c r="AB1609" s="54">
        <v>82.725700000000018</v>
      </c>
      <c r="AC1609" s="54">
        <v>10.822209090909091</v>
      </c>
      <c r="AD1609" s="36">
        <v>158.27640000000002</v>
      </c>
    </row>
    <row r="1610" spans="1:30" s="37" customFormat="1" ht="15.75" customHeight="1" x14ac:dyDescent="0.2">
      <c r="A1610" s="26">
        <v>250</v>
      </c>
      <c r="B1610" s="27" t="s">
        <v>2694</v>
      </c>
      <c r="C1610" s="27" t="s">
        <v>26</v>
      </c>
      <c r="D1610" s="28">
        <v>0.02</v>
      </c>
      <c r="E1610" s="29">
        <v>2.58</v>
      </c>
      <c r="F1610" s="29">
        <v>1.3</v>
      </c>
      <c r="G1610" s="30" t="s">
        <v>87</v>
      </c>
      <c r="H1610" s="27" t="s">
        <v>94</v>
      </c>
      <c r="I1610" s="27" t="s">
        <v>49</v>
      </c>
      <c r="J1610" s="27" t="s">
        <v>50</v>
      </c>
      <c r="K1610" s="27" t="s">
        <v>51</v>
      </c>
      <c r="L1610" s="31" t="s">
        <v>2695</v>
      </c>
      <c r="M1610" s="32">
        <v>0.59</v>
      </c>
      <c r="N1610" s="27" t="s">
        <v>33</v>
      </c>
      <c r="O1610" s="27" t="s">
        <v>53</v>
      </c>
      <c r="P1610" s="27" t="s">
        <v>84</v>
      </c>
      <c r="Q1610" s="27" t="s">
        <v>2696</v>
      </c>
      <c r="R1610" s="33">
        <v>55423</v>
      </c>
      <c r="S1610" s="34">
        <v>42152</v>
      </c>
      <c r="T1610" s="34">
        <v>42153</v>
      </c>
      <c r="U1610" s="29">
        <v>1.1080000000000001</v>
      </c>
      <c r="V1610" s="26">
        <v>39</v>
      </c>
      <c r="W1610" s="29">
        <v>109.74</v>
      </c>
      <c r="X1610" s="26">
        <v>87214</v>
      </c>
      <c r="Y1610" s="35">
        <v>35.93</v>
      </c>
      <c r="Z1610" s="1" t="s">
        <v>3012</v>
      </c>
      <c r="AA1610" s="36">
        <v>2.0124</v>
      </c>
      <c r="AB1610" s="54">
        <v>44.993400000000001</v>
      </c>
      <c r="AC1610" s="54">
        <v>1.6601692307692306</v>
      </c>
      <c r="AD1610" s="36">
        <v>105.31959999999999</v>
      </c>
    </row>
    <row r="1611" spans="1:30" s="37" customFormat="1" ht="15.75" customHeight="1" x14ac:dyDescent="0.2">
      <c r="A1611" s="26">
        <v>3011</v>
      </c>
      <c r="B1611" s="27" t="s">
        <v>2314</v>
      </c>
      <c r="C1611" s="27" t="s">
        <v>26</v>
      </c>
      <c r="D1611" s="28">
        <v>0.03</v>
      </c>
      <c r="E1611" s="29">
        <v>5.98</v>
      </c>
      <c r="F1611" s="29">
        <v>5.35</v>
      </c>
      <c r="G1611" s="30" t="s">
        <v>39</v>
      </c>
      <c r="H1611" s="27" t="s">
        <v>94</v>
      </c>
      <c r="I1611" s="27" t="s">
        <v>49</v>
      </c>
      <c r="J1611" s="27" t="s">
        <v>88</v>
      </c>
      <c r="K1611" s="27" t="s">
        <v>73</v>
      </c>
      <c r="L1611" s="31" t="s">
        <v>809</v>
      </c>
      <c r="M1611" s="32">
        <v>0.4</v>
      </c>
      <c r="N1611" s="27" t="s">
        <v>33</v>
      </c>
      <c r="O1611" s="27" t="s">
        <v>111</v>
      </c>
      <c r="P1611" s="27" t="s">
        <v>403</v>
      </c>
      <c r="Q1611" s="27" t="s">
        <v>788</v>
      </c>
      <c r="R1611" s="33">
        <v>2113</v>
      </c>
      <c r="S1611" s="34">
        <v>42152</v>
      </c>
      <c r="T1611" s="34">
        <v>42153</v>
      </c>
      <c r="U1611" s="29">
        <v>-23.5</v>
      </c>
      <c r="V1611" s="26">
        <v>16</v>
      </c>
      <c r="W1611" s="29">
        <v>107.08</v>
      </c>
      <c r="X1611" s="26">
        <v>56486</v>
      </c>
      <c r="Y1611" s="35">
        <v>60.9</v>
      </c>
      <c r="Z1611" s="1" t="s">
        <v>3014</v>
      </c>
      <c r="AA1611" s="36">
        <v>2.8704000000000001</v>
      </c>
      <c r="AB1611" s="54">
        <v>64.24799999999999</v>
      </c>
      <c r="AC1611" s="54">
        <v>2.677</v>
      </c>
      <c r="AD1611" s="36">
        <v>122.3596</v>
      </c>
    </row>
    <row r="1612" spans="1:30" s="37" customFormat="1" ht="15.75" customHeight="1" x14ac:dyDescent="0.2">
      <c r="A1612" s="26">
        <v>2709</v>
      </c>
      <c r="B1612" s="27" t="s">
        <v>2704</v>
      </c>
      <c r="C1612" s="27" t="s">
        <v>116</v>
      </c>
      <c r="D1612" s="28">
        <v>7.0000000000000007E-2</v>
      </c>
      <c r="E1612" s="29">
        <v>60.97</v>
      </c>
      <c r="F1612" s="29">
        <v>4.5</v>
      </c>
      <c r="G1612" s="30" t="s">
        <v>39</v>
      </c>
      <c r="H1612" s="27" t="s">
        <v>40</v>
      </c>
      <c r="I1612" s="27" t="s">
        <v>49</v>
      </c>
      <c r="J1612" s="27" t="s">
        <v>95</v>
      </c>
      <c r="K1612" s="27" t="s">
        <v>73</v>
      </c>
      <c r="L1612" s="31" t="s">
        <v>96</v>
      </c>
      <c r="M1612" s="32">
        <v>0.56000000000000005</v>
      </c>
      <c r="N1612" s="27" t="s">
        <v>33</v>
      </c>
      <c r="O1612" s="27" t="s">
        <v>111</v>
      </c>
      <c r="P1612" s="27" t="s">
        <v>418</v>
      </c>
      <c r="Q1612" s="27" t="s">
        <v>2705</v>
      </c>
      <c r="R1612" s="33">
        <v>21042</v>
      </c>
      <c r="S1612" s="34">
        <v>42152</v>
      </c>
      <c r="T1612" s="34">
        <v>42154</v>
      </c>
      <c r="U1612" s="29">
        <v>-41.77</v>
      </c>
      <c r="V1612" s="26">
        <v>1</v>
      </c>
      <c r="W1612" s="29">
        <v>57.84</v>
      </c>
      <c r="X1612" s="26">
        <v>89240</v>
      </c>
      <c r="Y1612" s="35">
        <v>90.98</v>
      </c>
      <c r="Z1612" s="1" t="s">
        <v>3014</v>
      </c>
      <c r="AA1612" s="36">
        <v>4.2679</v>
      </c>
      <c r="AB1612" s="54">
        <v>25.449599999999997</v>
      </c>
      <c r="AC1612" s="54">
        <v>32.390400000000007</v>
      </c>
      <c r="AD1612" s="36">
        <v>90.842100000000016</v>
      </c>
    </row>
    <row r="1613" spans="1:30" s="37" customFormat="1" ht="15.75" customHeight="1" x14ac:dyDescent="0.2">
      <c r="A1613" s="26">
        <v>2765</v>
      </c>
      <c r="B1613" s="27" t="s">
        <v>2701</v>
      </c>
      <c r="C1613" s="27" t="s">
        <v>48</v>
      </c>
      <c r="D1613" s="28">
        <v>0.03</v>
      </c>
      <c r="E1613" s="29">
        <v>5.85</v>
      </c>
      <c r="F1613" s="29">
        <v>2.27</v>
      </c>
      <c r="G1613" s="30" t="s">
        <v>39</v>
      </c>
      <c r="H1613" s="27" t="s">
        <v>94</v>
      </c>
      <c r="I1613" s="27" t="s">
        <v>49</v>
      </c>
      <c r="J1613" s="27" t="s">
        <v>50</v>
      </c>
      <c r="K1613" s="27" t="s">
        <v>51</v>
      </c>
      <c r="L1613" s="31" t="s">
        <v>2702</v>
      </c>
      <c r="M1613" s="32">
        <v>0.56000000000000005</v>
      </c>
      <c r="N1613" s="27" t="s">
        <v>33</v>
      </c>
      <c r="O1613" s="27" t="s">
        <v>111</v>
      </c>
      <c r="P1613" s="27" t="s">
        <v>397</v>
      </c>
      <c r="Q1613" s="27" t="s">
        <v>2703</v>
      </c>
      <c r="R1613" s="33">
        <v>8021</v>
      </c>
      <c r="S1613" s="34">
        <v>42152</v>
      </c>
      <c r="T1613" s="34">
        <v>42154</v>
      </c>
      <c r="U1613" s="29">
        <v>-5.08</v>
      </c>
      <c r="V1613" s="26">
        <v>7</v>
      </c>
      <c r="W1613" s="29">
        <v>41.4</v>
      </c>
      <c r="X1613" s="26">
        <v>90725</v>
      </c>
      <c r="Y1613" s="35">
        <v>35.39</v>
      </c>
      <c r="Z1613" s="1" t="s">
        <v>3014</v>
      </c>
      <c r="AA1613" s="36">
        <v>1.2284999999999999</v>
      </c>
      <c r="AB1613" s="54">
        <v>18.215999999999998</v>
      </c>
      <c r="AC1613" s="54">
        <v>3.3119999999999998</v>
      </c>
      <c r="AD1613" s="36">
        <v>42.981499999999997</v>
      </c>
    </row>
    <row r="1614" spans="1:30" s="37" customFormat="1" ht="15.75" customHeight="1" x14ac:dyDescent="0.2">
      <c r="A1614" s="26">
        <v>2670</v>
      </c>
      <c r="B1614" s="27" t="s">
        <v>2710</v>
      </c>
      <c r="C1614" s="27" t="s">
        <v>38</v>
      </c>
      <c r="D1614" s="28">
        <v>0.05</v>
      </c>
      <c r="E1614" s="29">
        <v>165.2</v>
      </c>
      <c r="F1614" s="29">
        <v>19.989999999999998</v>
      </c>
      <c r="G1614" s="30" t="s">
        <v>39</v>
      </c>
      <c r="H1614" s="27" t="s">
        <v>71</v>
      </c>
      <c r="I1614" s="27" t="s">
        <v>49</v>
      </c>
      <c r="J1614" s="27" t="s">
        <v>78</v>
      </c>
      <c r="K1614" s="27" t="s">
        <v>73</v>
      </c>
      <c r="L1614" s="31" t="s">
        <v>483</v>
      </c>
      <c r="M1614" s="32">
        <v>0.59</v>
      </c>
      <c r="N1614" s="27" t="s">
        <v>33</v>
      </c>
      <c r="O1614" s="27" t="s">
        <v>60</v>
      </c>
      <c r="P1614" s="27" t="s">
        <v>90</v>
      </c>
      <c r="Q1614" s="27" t="s">
        <v>100</v>
      </c>
      <c r="R1614" s="33">
        <v>90049</v>
      </c>
      <c r="S1614" s="34">
        <v>42153</v>
      </c>
      <c r="T1614" s="34">
        <v>42153</v>
      </c>
      <c r="U1614" s="29">
        <v>2008.71</v>
      </c>
      <c r="V1614" s="26">
        <v>167</v>
      </c>
      <c r="W1614" s="29">
        <v>27587.55</v>
      </c>
      <c r="X1614" s="26">
        <v>37924</v>
      </c>
      <c r="Y1614" s="35">
        <v>14.56</v>
      </c>
      <c r="Z1614" s="1" t="s">
        <v>3013</v>
      </c>
      <c r="AA1614" s="36">
        <v>1379.42</v>
      </c>
      <c r="AB1614" s="54">
        <v>11310.895500000001</v>
      </c>
      <c r="AC1614" s="54">
        <v>97.46499700598801</v>
      </c>
      <c r="AD1614" s="36">
        <v>24179.43</v>
      </c>
    </row>
    <row r="1615" spans="1:30" s="37" customFormat="1" ht="15.75" customHeight="1" x14ac:dyDescent="0.2">
      <c r="A1615" s="26">
        <v>2671</v>
      </c>
      <c r="B1615" s="27" t="s">
        <v>2712</v>
      </c>
      <c r="C1615" s="27" t="s">
        <v>38</v>
      </c>
      <c r="D1615" s="28">
        <v>0.05</v>
      </c>
      <c r="E1615" s="29">
        <v>165.2</v>
      </c>
      <c r="F1615" s="29">
        <v>19.989999999999998</v>
      </c>
      <c r="G1615" s="30" t="s">
        <v>39</v>
      </c>
      <c r="H1615" s="27" t="s">
        <v>71</v>
      </c>
      <c r="I1615" s="27" t="s">
        <v>49</v>
      </c>
      <c r="J1615" s="27" t="s">
        <v>78</v>
      </c>
      <c r="K1615" s="27" t="s">
        <v>73</v>
      </c>
      <c r="L1615" s="31" t="s">
        <v>483</v>
      </c>
      <c r="M1615" s="32">
        <v>0.59</v>
      </c>
      <c r="N1615" s="27" t="s">
        <v>33</v>
      </c>
      <c r="O1615" s="27" t="s">
        <v>34</v>
      </c>
      <c r="P1615" s="27" t="s">
        <v>400</v>
      </c>
      <c r="Q1615" s="27" t="s">
        <v>1736</v>
      </c>
      <c r="R1615" s="33">
        <v>37027</v>
      </c>
      <c r="S1615" s="34">
        <v>42153</v>
      </c>
      <c r="T1615" s="34">
        <v>42153</v>
      </c>
      <c r="U1615" s="29">
        <v>-48.957999999999998</v>
      </c>
      <c r="V1615" s="26">
        <v>42</v>
      </c>
      <c r="W1615" s="29">
        <v>6938.19</v>
      </c>
      <c r="X1615" s="26">
        <v>90551</v>
      </c>
      <c r="Y1615" s="35">
        <v>5.8800000000000008</v>
      </c>
      <c r="Z1615" s="1" t="s">
        <v>3011</v>
      </c>
      <c r="AA1615" s="36">
        <v>346.92</v>
      </c>
      <c r="AB1615" s="54">
        <v>2844.6579000000002</v>
      </c>
      <c r="AC1615" s="54">
        <v>97.465049999999991</v>
      </c>
      <c r="AD1615" s="36">
        <v>6620.2379999999994</v>
      </c>
    </row>
    <row r="1616" spans="1:30" s="37" customFormat="1" ht="15.75" customHeight="1" x14ac:dyDescent="0.2">
      <c r="A1616" s="26">
        <v>2670</v>
      </c>
      <c r="B1616" s="27" t="s">
        <v>2710</v>
      </c>
      <c r="C1616" s="27" t="s">
        <v>38</v>
      </c>
      <c r="D1616" s="28">
        <v>0.09</v>
      </c>
      <c r="E1616" s="29">
        <v>17.989999999999998</v>
      </c>
      <c r="F1616" s="29">
        <v>8.65</v>
      </c>
      <c r="G1616" s="30" t="s">
        <v>39</v>
      </c>
      <c r="H1616" s="27" t="s">
        <v>71</v>
      </c>
      <c r="I1616" s="27" t="s">
        <v>49</v>
      </c>
      <c r="J1616" s="27" t="s">
        <v>50</v>
      </c>
      <c r="K1616" s="27" t="s">
        <v>73</v>
      </c>
      <c r="L1616" s="31" t="s">
        <v>2711</v>
      </c>
      <c r="M1616" s="32">
        <v>0.56999999999999995</v>
      </c>
      <c r="N1616" s="27" t="s">
        <v>33</v>
      </c>
      <c r="O1616" s="27" t="s">
        <v>60</v>
      </c>
      <c r="P1616" s="27" t="s">
        <v>90</v>
      </c>
      <c r="Q1616" s="27" t="s">
        <v>100</v>
      </c>
      <c r="R1616" s="33">
        <v>90049</v>
      </c>
      <c r="S1616" s="34">
        <v>42153</v>
      </c>
      <c r="T1616" s="34">
        <v>42153</v>
      </c>
      <c r="U1616" s="29">
        <v>-80.53</v>
      </c>
      <c r="V1616" s="26">
        <v>71</v>
      </c>
      <c r="W1616" s="29">
        <v>1191.58</v>
      </c>
      <c r="X1616" s="26">
        <v>37924</v>
      </c>
      <c r="Y1616" s="35">
        <v>2.54</v>
      </c>
      <c r="Z1616" s="1" t="s">
        <v>3013</v>
      </c>
      <c r="AA1616" s="36">
        <v>114.95609999999998</v>
      </c>
      <c r="AB1616" s="54">
        <v>512.37940000000003</v>
      </c>
      <c r="AC1616" s="54">
        <v>9.5662056338028147</v>
      </c>
      <c r="AD1616" s="36">
        <v>1148.5038999999999</v>
      </c>
    </row>
    <row r="1617" spans="1:30" s="37" customFormat="1" ht="15.75" customHeight="1" x14ac:dyDescent="0.2">
      <c r="A1617" s="26">
        <v>1713</v>
      </c>
      <c r="B1617" s="27" t="s">
        <v>2708</v>
      </c>
      <c r="C1617" s="27" t="s">
        <v>38</v>
      </c>
      <c r="D1617" s="28">
        <v>0.01</v>
      </c>
      <c r="E1617" s="29">
        <v>23.99</v>
      </c>
      <c r="F1617" s="29">
        <v>6.3</v>
      </c>
      <c r="G1617" s="30" t="s">
        <v>39</v>
      </c>
      <c r="H1617" s="27" t="s">
        <v>94</v>
      </c>
      <c r="I1617" s="27" t="s">
        <v>41</v>
      </c>
      <c r="J1617" s="27" t="s">
        <v>57</v>
      </c>
      <c r="K1617" s="27" t="s">
        <v>144</v>
      </c>
      <c r="L1617" s="31" t="s">
        <v>2709</v>
      </c>
      <c r="M1617" s="32">
        <v>0.38</v>
      </c>
      <c r="N1617" s="27" t="s">
        <v>33</v>
      </c>
      <c r="O1617" s="27" t="s">
        <v>34</v>
      </c>
      <c r="P1617" s="27" t="s">
        <v>75</v>
      </c>
      <c r="Q1617" s="27" t="s">
        <v>1867</v>
      </c>
      <c r="R1617" s="33">
        <v>30265</v>
      </c>
      <c r="S1617" s="34">
        <v>42153</v>
      </c>
      <c r="T1617" s="34">
        <v>42155</v>
      </c>
      <c r="U1617" s="29">
        <v>-6.202</v>
      </c>
      <c r="V1617" s="26">
        <v>11</v>
      </c>
      <c r="W1617" s="29">
        <v>284.39</v>
      </c>
      <c r="X1617" s="26">
        <v>87748</v>
      </c>
      <c r="Y1617" s="35">
        <v>23.979999999999997</v>
      </c>
      <c r="Z1617" s="1" t="s">
        <v>3011</v>
      </c>
      <c r="AA1617" s="36">
        <v>2.6389</v>
      </c>
      <c r="AB1617" s="54">
        <v>176.3218</v>
      </c>
      <c r="AC1617" s="54">
        <v>9.8243818181818181</v>
      </c>
      <c r="AD1617" s="36">
        <v>281.65309999999999</v>
      </c>
    </row>
    <row r="1618" spans="1:30" s="37" customFormat="1" ht="15.75" customHeight="1" x14ac:dyDescent="0.2">
      <c r="A1618" s="26">
        <v>663</v>
      </c>
      <c r="B1618" s="27" t="s">
        <v>2706</v>
      </c>
      <c r="C1618" s="27" t="s">
        <v>26</v>
      </c>
      <c r="D1618" s="28">
        <v>0.02</v>
      </c>
      <c r="E1618" s="29">
        <v>14.58</v>
      </c>
      <c r="F1618" s="29">
        <v>7.4</v>
      </c>
      <c r="G1618" s="30" t="s">
        <v>39</v>
      </c>
      <c r="H1618" s="27" t="s">
        <v>71</v>
      </c>
      <c r="I1618" s="27" t="s">
        <v>29</v>
      </c>
      <c r="J1618" s="27" t="s">
        <v>126</v>
      </c>
      <c r="K1618" s="27" t="s">
        <v>73</v>
      </c>
      <c r="L1618" s="31" t="s">
        <v>2707</v>
      </c>
      <c r="M1618" s="32">
        <v>0.48</v>
      </c>
      <c r="N1618" s="27" t="s">
        <v>33</v>
      </c>
      <c r="O1618" s="27" t="s">
        <v>111</v>
      </c>
      <c r="P1618" s="27" t="s">
        <v>317</v>
      </c>
      <c r="Q1618" s="27" t="s">
        <v>2254</v>
      </c>
      <c r="R1618" s="33">
        <v>43952</v>
      </c>
      <c r="S1618" s="34">
        <v>42153</v>
      </c>
      <c r="T1618" s="34">
        <v>42156</v>
      </c>
      <c r="U1618" s="29">
        <v>10.802</v>
      </c>
      <c r="V1618" s="26">
        <v>17</v>
      </c>
      <c r="W1618" s="29">
        <v>261.33999999999997</v>
      </c>
      <c r="X1618" s="26">
        <v>90922</v>
      </c>
      <c r="Y1618" s="35">
        <v>165.14999999999998</v>
      </c>
      <c r="Z1618" s="1" t="s">
        <v>3014</v>
      </c>
      <c r="AA1618" s="36">
        <v>4.9572000000000003</v>
      </c>
      <c r="AB1618" s="54">
        <v>135.89679999999998</v>
      </c>
      <c r="AC1618" s="54">
        <v>7.379011764705881</v>
      </c>
      <c r="AD1618" s="36">
        <v>238.18079999999998</v>
      </c>
    </row>
    <row r="1619" spans="1:30" s="37" customFormat="1" ht="15.75" customHeight="1" x14ac:dyDescent="0.2">
      <c r="A1619" s="26">
        <v>649</v>
      </c>
      <c r="B1619" s="27" t="s">
        <v>2715</v>
      </c>
      <c r="C1619" s="27" t="s">
        <v>116</v>
      </c>
      <c r="D1619" s="28">
        <v>0.02</v>
      </c>
      <c r="E1619" s="29">
        <v>3.78</v>
      </c>
      <c r="F1619" s="29">
        <v>0.71</v>
      </c>
      <c r="G1619" s="30" t="s">
        <v>39</v>
      </c>
      <c r="H1619" s="27" t="s">
        <v>71</v>
      </c>
      <c r="I1619" s="27" t="s">
        <v>49</v>
      </c>
      <c r="J1619" s="27" t="s">
        <v>176</v>
      </c>
      <c r="K1619" s="27" t="s">
        <v>51</v>
      </c>
      <c r="L1619" s="31" t="s">
        <v>2716</v>
      </c>
      <c r="M1619" s="32">
        <v>0.39</v>
      </c>
      <c r="N1619" s="27" t="s">
        <v>33</v>
      </c>
      <c r="O1619" s="27" t="s">
        <v>53</v>
      </c>
      <c r="P1619" s="27" t="s">
        <v>103</v>
      </c>
      <c r="Q1619" s="27" t="s">
        <v>1399</v>
      </c>
      <c r="R1619" s="33">
        <v>60089</v>
      </c>
      <c r="S1619" s="34">
        <v>42153</v>
      </c>
      <c r="T1619" s="34">
        <v>42154</v>
      </c>
      <c r="U1619" s="29">
        <v>106.7499</v>
      </c>
      <c r="V1619" s="26">
        <v>40</v>
      </c>
      <c r="W1619" s="29">
        <v>154.71</v>
      </c>
      <c r="X1619" s="26">
        <v>91366</v>
      </c>
      <c r="Y1619" s="35">
        <v>17.899999999999999</v>
      </c>
      <c r="Z1619" s="1" t="s">
        <v>3012</v>
      </c>
      <c r="AA1619" s="36">
        <v>3.024</v>
      </c>
      <c r="AB1619" s="54">
        <v>94.373100000000008</v>
      </c>
      <c r="AC1619" s="54">
        <v>1.5084225</v>
      </c>
      <c r="AD1619" s="36">
        <v>44.226100000000017</v>
      </c>
    </row>
    <row r="1620" spans="1:30" s="37" customFormat="1" ht="15.75" customHeight="1" x14ac:dyDescent="0.2">
      <c r="A1620" s="26">
        <v>1026</v>
      </c>
      <c r="B1620" s="27" t="s">
        <v>1055</v>
      </c>
      <c r="C1620" s="27" t="s">
        <v>38</v>
      </c>
      <c r="D1620" s="28">
        <v>0.1</v>
      </c>
      <c r="E1620" s="29">
        <v>5.98</v>
      </c>
      <c r="F1620" s="29">
        <v>3.85</v>
      </c>
      <c r="G1620" s="30" t="s">
        <v>39</v>
      </c>
      <c r="H1620" s="27" t="s">
        <v>3095</v>
      </c>
      <c r="I1620" s="27" t="s">
        <v>41</v>
      </c>
      <c r="J1620" s="27" t="s">
        <v>42</v>
      </c>
      <c r="K1620" s="27" t="s">
        <v>43</v>
      </c>
      <c r="L1620" s="31" t="s">
        <v>1098</v>
      </c>
      <c r="M1620" s="32">
        <v>0.68</v>
      </c>
      <c r="N1620" s="27" t="s">
        <v>33</v>
      </c>
      <c r="O1620" s="27" t="s">
        <v>111</v>
      </c>
      <c r="P1620" s="27" t="s">
        <v>112</v>
      </c>
      <c r="Q1620" s="27" t="s">
        <v>1057</v>
      </c>
      <c r="R1620" s="33">
        <v>11722</v>
      </c>
      <c r="S1620" s="34">
        <v>42153</v>
      </c>
      <c r="T1620" s="34">
        <v>42154</v>
      </c>
      <c r="U1620" s="29">
        <v>18.922000000000001</v>
      </c>
      <c r="V1620" s="26">
        <v>26</v>
      </c>
      <c r="W1620" s="29">
        <v>151.55000000000001</v>
      </c>
      <c r="X1620" s="26">
        <v>89008</v>
      </c>
      <c r="Y1620" s="35">
        <v>165.14999999999998</v>
      </c>
      <c r="Z1620" s="1" t="s">
        <v>3014</v>
      </c>
      <c r="AA1620" s="36">
        <v>15.548000000000002</v>
      </c>
      <c r="AB1620" s="54">
        <v>48.495999999999995</v>
      </c>
      <c r="AC1620" s="54">
        <v>3.9636153846153852</v>
      </c>
      <c r="AD1620" s="36">
        <v>113.23</v>
      </c>
    </row>
    <row r="1621" spans="1:30" s="37" customFormat="1" ht="15.75" customHeight="1" x14ac:dyDescent="0.2">
      <c r="A1621" s="26">
        <v>759</v>
      </c>
      <c r="B1621" s="27" t="s">
        <v>2713</v>
      </c>
      <c r="C1621" s="27" t="s">
        <v>48</v>
      </c>
      <c r="D1621" s="28">
        <v>0</v>
      </c>
      <c r="E1621" s="29">
        <v>20.99</v>
      </c>
      <c r="F1621" s="29">
        <v>3.3</v>
      </c>
      <c r="G1621" s="30" t="s">
        <v>39</v>
      </c>
      <c r="H1621" s="27" t="s">
        <v>3095</v>
      </c>
      <c r="I1621" s="27" t="s">
        <v>41</v>
      </c>
      <c r="J1621" s="27" t="s">
        <v>135</v>
      </c>
      <c r="K1621" s="27" t="s">
        <v>43</v>
      </c>
      <c r="L1621" s="31" t="s">
        <v>1583</v>
      </c>
      <c r="M1621" s="32">
        <v>0.81</v>
      </c>
      <c r="N1621" s="27" t="s">
        <v>33</v>
      </c>
      <c r="O1621" s="27" t="s">
        <v>53</v>
      </c>
      <c r="P1621" s="27" t="s">
        <v>103</v>
      </c>
      <c r="Q1621" s="27" t="s">
        <v>2714</v>
      </c>
      <c r="R1621" s="33">
        <v>62301</v>
      </c>
      <c r="S1621" s="34">
        <v>42153</v>
      </c>
      <c r="T1621" s="34">
        <v>42160</v>
      </c>
      <c r="U1621" s="29">
        <v>-92.960999999999999</v>
      </c>
      <c r="V1621" s="26">
        <v>5</v>
      </c>
      <c r="W1621" s="29">
        <v>92.96</v>
      </c>
      <c r="X1621" s="26">
        <v>86639</v>
      </c>
      <c r="Y1621" s="35">
        <v>20.99</v>
      </c>
      <c r="Z1621" s="1" t="s">
        <v>3012</v>
      </c>
      <c r="AA1621" s="36">
        <v>0</v>
      </c>
      <c r="AB1621" s="54">
        <v>17.662399999999995</v>
      </c>
      <c r="AC1621" s="54">
        <v>15.059519999999999</v>
      </c>
      <c r="AD1621" s="36">
        <v>182.62099999999998</v>
      </c>
    </row>
    <row r="1622" spans="1:30" s="37" customFormat="1" ht="15.75" customHeight="1" x14ac:dyDescent="0.2">
      <c r="A1622" s="26">
        <v>1026</v>
      </c>
      <c r="B1622" s="27" t="s">
        <v>1055</v>
      </c>
      <c r="C1622" s="27" t="s">
        <v>38</v>
      </c>
      <c r="D1622" s="28">
        <v>7.0000000000000007E-2</v>
      </c>
      <c r="E1622" s="29">
        <v>2.61</v>
      </c>
      <c r="F1622" s="29">
        <v>0.5</v>
      </c>
      <c r="G1622" s="30" t="s">
        <v>39</v>
      </c>
      <c r="H1622" s="27" t="s">
        <v>3095</v>
      </c>
      <c r="I1622" s="27" t="s">
        <v>49</v>
      </c>
      <c r="J1622" s="27" t="s">
        <v>152</v>
      </c>
      <c r="K1622" s="27" t="s">
        <v>73</v>
      </c>
      <c r="L1622" s="31" t="s">
        <v>1367</v>
      </c>
      <c r="M1622" s="32">
        <v>0.39</v>
      </c>
      <c r="N1622" s="27" t="s">
        <v>33</v>
      </c>
      <c r="O1622" s="27" t="s">
        <v>111</v>
      </c>
      <c r="P1622" s="27" t="s">
        <v>112</v>
      </c>
      <c r="Q1622" s="27" t="s">
        <v>1057</v>
      </c>
      <c r="R1622" s="33">
        <v>11722</v>
      </c>
      <c r="S1622" s="34">
        <v>42153</v>
      </c>
      <c r="T1622" s="34">
        <v>42156</v>
      </c>
      <c r="U1622" s="29">
        <v>39.350700000000003</v>
      </c>
      <c r="V1622" s="26">
        <v>22</v>
      </c>
      <c r="W1622" s="29">
        <v>57.03</v>
      </c>
      <c r="X1622" s="26">
        <v>89008</v>
      </c>
      <c r="Y1622" s="35">
        <v>3.76</v>
      </c>
      <c r="Z1622" s="1" t="s">
        <v>3014</v>
      </c>
      <c r="AA1622" s="36">
        <v>4.0194000000000001</v>
      </c>
      <c r="AB1622" s="54">
        <v>34.7883</v>
      </c>
      <c r="AC1622" s="54">
        <v>1.0109863636363636</v>
      </c>
      <c r="AD1622" s="36">
        <v>13.1599</v>
      </c>
    </row>
    <row r="1623" spans="1:30" s="37" customFormat="1" ht="15.75" customHeight="1" x14ac:dyDescent="0.2">
      <c r="A1623" s="26">
        <v>2393</v>
      </c>
      <c r="B1623" s="27" t="s">
        <v>193</v>
      </c>
      <c r="C1623" s="27" t="s">
        <v>116</v>
      </c>
      <c r="D1623" s="28">
        <v>0.02</v>
      </c>
      <c r="E1623" s="29">
        <v>6.48</v>
      </c>
      <c r="F1623" s="29">
        <v>7.91</v>
      </c>
      <c r="G1623" s="30" t="s">
        <v>39</v>
      </c>
      <c r="H1623" s="27" t="s">
        <v>94</v>
      </c>
      <c r="I1623" s="27" t="s">
        <v>49</v>
      </c>
      <c r="J1623" s="27" t="s">
        <v>88</v>
      </c>
      <c r="K1623" s="27" t="s">
        <v>73</v>
      </c>
      <c r="L1623" s="31" t="s">
        <v>1620</v>
      </c>
      <c r="M1623" s="32">
        <v>0.37</v>
      </c>
      <c r="N1623" s="27" t="s">
        <v>33</v>
      </c>
      <c r="O1623" s="27" t="s">
        <v>34</v>
      </c>
      <c r="P1623" s="27" t="s">
        <v>75</v>
      </c>
      <c r="Q1623" s="27" t="s">
        <v>195</v>
      </c>
      <c r="R1623" s="33">
        <v>30076</v>
      </c>
      <c r="S1623" s="34">
        <v>42153</v>
      </c>
      <c r="T1623" s="34">
        <v>42155</v>
      </c>
      <c r="U1623" s="29">
        <v>-1191.5260000000001</v>
      </c>
      <c r="V1623" s="26">
        <v>2</v>
      </c>
      <c r="W1623" s="29">
        <v>16.5</v>
      </c>
      <c r="X1623" s="26">
        <v>86950</v>
      </c>
      <c r="Y1623" s="35">
        <v>6.4600000000000009</v>
      </c>
      <c r="Z1623" s="1" t="s">
        <v>3011</v>
      </c>
      <c r="AA1623" s="36">
        <v>0.25920000000000004</v>
      </c>
      <c r="AB1623" s="54">
        <v>10.395</v>
      </c>
      <c r="AC1623" s="54">
        <v>3.0524999999999998</v>
      </c>
      <c r="AD1623" s="36">
        <v>1199.8568</v>
      </c>
    </row>
    <row r="1624" spans="1:30" s="37" customFormat="1" ht="15.75" customHeight="1" x14ac:dyDescent="0.2">
      <c r="A1624" s="26">
        <v>1935</v>
      </c>
      <c r="B1624" s="27" t="s">
        <v>2074</v>
      </c>
      <c r="C1624" s="27" t="s">
        <v>48</v>
      </c>
      <c r="D1624" s="28">
        <v>0.01</v>
      </c>
      <c r="E1624" s="29">
        <v>110.98</v>
      </c>
      <c r="F1624" s="29">
        <v>13.99</v>
      </c>
      <c r="G1624" s="30" t="s">
        <v>39</v>
      </c>
      <c r="H1624" s="27" t="s">
        <v>71</v>
      </c>
      <c r="I1624" s="27" t="s">
        <v>29</v>
      </c>
      <c r="J1624" s="27" t="s">
        <v>126</v>
      </c>
      <c r="K1624" s="27" t="s">
        <v>144</v>
      </c>
      <c r="L1624" s="31" t="s">
        <v>545</v>
      </c>
      <c r="M1624" s="32">
        <v>0.69</v>
      </c>
      <c r="N1624" s="27" t="s">
        <v>33</v>
      </c>
      <c r="O1624" s="27" t="s">
        <v>53</v>
      </c>
      <c r="P1624" s="27" t="s">
        <v>187</v>
      </c>
      <c r="Q1624" s="27" t="s">
        <v>2075</v>
      </c>
      <c r="R1624" s="33">
        <v>75051</v>
      </c>
      <c r="S1624" s="34">
        <v>42154</v>
      </c>
      <c r="T1624" s="34">
        <v>42159</v>
      </c>
      <c r="U1624" s="29">
        <v>1448.7309</v>
      </c>
      <c r="V1624" s="26">
        <v>19</v>
      </c>
      <c r="W1624" s="29">
        <v>2099.61</v>
      </c>
      <c r="X1624" s="26">
        <v>86688</v>
      </c>
      <c r="Y1624" s="35">
        <v>6.2299999999999995</v>
      </c>
      <c r="Z1624" s="1" t="s">
        <v>3012</v>
      </c>
      <c r="AA1624" s="36">
        <v>21.086200000000002</v>
      </c>
      <c r="AB1624" s="54">
        <v>650.87910000000011</v>
      </c>
      <c r="AC1624" s="54">
        <v>76.248994736842107</v>
      </c>
      <c r="AD1624" s="36">
        <v>615.80290000000014</v>
      </c>
    </row>
    <row r="1625" spans="1:30" s="37" customFormat="1" ht="15.75" customHeight="1" x14ac:dyDescent="0.2">
      <c r="A1625" s="26">
        <v>3124</v>
      </c>
      <c r="B1625" s="27" t="s">
        <v>2720</v>
      </c>
      <c r="C1625" s="27" t="s">
        <v>3094</v>
      </c>
      <c r="D1625" s="28">
        <v>0.05</v>
      </c>
      <c r="E1625" s="29">
        <v>120.98</v>
      </c>
      <c r="F1625" s="29">
        <v>9.07</v>
      </c>
      <c r="G1625" s="30" t="s">
        <v>39</v>
      </c>
      <c r="H1625" s="27" t="s">
        <v>71</v>
      </c>
      <c r="I1625" s="27" t="s">
        <v>49</v>
      </c>
      <c r="J1625" s="27" t="s">
        <v>72</v>
      </c>
      <c r="K1625" s="27" t="s">
        <v>73</v>
      </c>
      <c r="L1625" s="31" t="s">
        <v>1423</v>
      </c>
      <c r="M1625" s="32">
        <v>0.35</v>
      </c>
      <c r="N1625" s="27" t="s">
        <v>33</v>
      </c>
      <c r="O1625" s="27" t="s">
        <v>53</v>
      </c>
      <c r="P1625" s="27" t="s">
        <v>103</v>
      </c>
      <c r="Q1625" s="27" t="s">
        <v>2721</v>
      </c>
      <c r="R1625" s="33">
        <v>61265</v>
      </c>
      <c r="S1625" s="34">
        <v>42154</v>
      </c>
      <c r="T1625" s="34">
        <v>42155</v>
      </c>
      <c r="U1625" s="29">
        <v>881.04719999999998</v>
      </c>
      <c r="V1625" s="26">
        <v>11</v>
      </c>
      <c r="W1625" s="29">
        <v>1276.8800000000001</v>
      </c>
      <c r="X1625" s="26">
        <v>87286</v>
      </c>
      <c r="Y1625" s="35">
        <v>22.34</v>
      </c>
      <c r="Z1625" s="1" t="s">
        <v>3012</v>
      </c>
      <c r="AA1625" s="36">
        <v>66.539000000000001</v>
      </c>
      <c r="AB1625" s="54">
        <v>829.97200000000009</v>
      </c>
      <c r="AC1625" s="54">
        <v>40.628</v>
      </c>
      <c r="AD1625" s="36">
        <v>320.2238000000001</v>
      </c>
    </row>
    <row r="1626" spans="1:30" s="37" customFormat="1" ht="15.75" customHeight="1" x14ac:dyDescent="0.2">
      <c r="A1626" s="26">
        <v>1934</v>
      </c>
      <c r="B1626" s="27" t="s">
        <v>2718</v>
      </c>
      <c r="C1626" s="27" t="s">
        <v>48</v>
      </c>
      <c r="D1626" s="28">
        <v>0.04</v>
      </c>
      <c r="E1626" s="29">
        <v>180.98</v>
      </c>
      <c r="F1626" s="29">
        <v>30</v>
      </c>
      <c r="G1626" s="30" t="s">
        <v>27</v>
      </c>
      <c r="H1626" s="27" t="s">
        <v>71</v>
      </c>
      <c r="I1626" s="27" t="s">
        <v>29</v>
      </c>
      <c r="J1626" s="27" t="s">
        <v>109</v>
      </c>
      <c r="K1626" s="27" t="s">
        <v>58</v>
      </c>
      <c r="L1626" s="31" t="s">
        <v>945</v>
      </c>
      <c r="M1626" s="32">
        <v>0.69</v>
      </c>
      <c r="N1626" s="27" t="s">
        <v>33</v>
      </c>
      <c r="O1626" s="27" t="s">
        <v>53</v>
      </c>
      <c r="P1626" s="27" t="s">
        <v>187</v>
      </c>
      <c r="Q1626" s="27" t="s">
        <v>1404</v>
      </c>
      <c r="R1626" s="33">
        <v>78626</v>
      </c>
      <c r="S1626" s="34">
        <v>42154</v>
      </c>
      <c r="T1626" s="34">
        <v>42154</v>
      </c>
      <c r="U1626" s="29">
        <v>52.988</v>
      </c>
      <c r="V1626" s="26">
        <v>3</v>
      </c>
      <c r="W1626" s="29">
        <v>561.65</v>
      </c>
      <c r="X1626" s="26">
        <v>86688</v>
      </c>
      <c r="Y1626" s="35">
        <v>17.720000000000002</v>
      </c>
      <c r="Z1626" s="1" t="s">
        <v>3012</v>
      </c>
      <c r="AA1626" s="36">
        <v>21.717599999999997</v>
      </c>
      <c r="AB1626" s="54">
        <v>174.11150000000004</v>
      </c>
      <c r="AC1626" s="54">
        <v>129.17949999999999</v>
      </c>
      <c r="AD1626" s="36">
        <v>456.94439999999997</v>
      </c>
    </row>
    <row r="1627" spans="1:30" s="37" customFormat="1" ht="15.75" customHeight="1" x14ac:dyDescent="0.2">
      <c r="A1627" s="26">
        <v>1062</v>
      </c>
      <c r="B1627" s="27" t="s">
        <v>1827</v>
      </c>
      <c r="C1627" s="27" t="s">
        <v>48</v>
      </c>
      <c r="D1627" s="28">
        <v>0.04</v>
      </c>
      <c r="E1627" s="29">
        <v>22.38</v>
      </c>
      <c r="F1627" s="29">
        <v>15.1</v>
      </c>
      <c r="G1627" s="30" t="s">
        <v>39</v>
      </c>
      <c r="H1627" s="27" t="s">
        <v>3095</v>
      </c>
      <c r="I1627" s="27" t="s">
        <v>49</v>
      </c>
      <c r="J1627" s="27" t="s">
        <v>72</v>
      </c>
      <c r="K1627" s="27" t="s">
        <v>73</v>
      </c>
      <c r="L1627" s="31" t="s">
        <v>1085</v>
      </c>
      <c r="M1627" s="32">
        <v>0.38</v>
      </c>
      <c r="N1627" s="27" t="s">
        <v>33</v>
      </c>
      <c r="O1627" s="27" t="s">
        <v>111</v>
      </c>
      <c r="P1627" s="27" t="s">
        <v>112</v>
      </c>
      <c r="Q1627" s="27" t="s">
        <v>1828</v>
      </c>
      <c r="R1627" s="33">
        <v>11727</v>
      </c>
      <c r="S1627" s="34">
        <v>42154</v>
      </c>
      <c r="T1627" s="34">
        <v>42162</v>
      </c>
      <c r="U1627" s="29">
        <v>16.021799999999999</v>
      </c>
      <c r="V1627" s="26">
        <v>18</v>
      </c>
      <c r="W1627" s="29">
        <v>403.53</v>
      </c>
      <c r="X1627" s="26">
        <v>91355</v>
      </c>
      <c r="Y1627" s="35">
        <v>180.94</v>
      </c>
      <c r="Z1627" s="1" t="s">
        <v>3014</v>
      </c>
      <c r="AA1627" s="36">
        <v>16.113599999999998</v>
      </c>
      <c r="AB1627" s="54">
        <v>250.18859999999998</v>
      </c>
      <c r="AC1627" s="54">
        <v>8.5189666666666675</v>
      </c>
      <c r="AD1627" s="36">
        <v>356.29459999999995</v>
      </c>
    </row>
    <row r="1628" spans="1:30" s="37" customFormat="1" ht="15.75" customHeight="1" x14ac:dyDescent="0.2">
      <c r="A1628" s="26">
        <v>1060</v>
      </c>
      <c r="B1628" s="27" t="s">
        <v>1825</v>
      </c>
      <c r="C1628" s="27" t="s">
        <v>48</v>
      </c>
      <c r="D1628" s="28">
        <v>7.0000000000000007E-2</v>
      </c>
      <c r="E1628" s="29">
        <v>6.3</v>
      </c>
      <c r="F1628" s="29">
        <v>0.5</v>
      </c>
      <c r="G1628" s="30" t="s">
        <v>39</v>
      </c>
      <c r="H1628" s="27" t="s">
        <v>3095</v>
      </c>
      <c r="I1628" s="27" t="s">
        <v>49</v>
      </c>
      <c r="J1628" s="27" t="s">
        <v>152</v>
      </c>
      <c r="K1628" s="27" t="s">
        <v>73</v>
      </c>
      <c r="L1628" s="31" t="s">
        <v>422</v>
      </c>
      <c r="M1628" s="32">
        <v>0.39</v>
      </c>
      <c r="N1628" s="27" t="s">
        <v>33</v>
      </c>
      <c r="O1628" s="27" t="s">
        <v>34</v>
      </c>
      <c r="P1628" s="27" t="s">
        <v>75</v>
      </c>
      <c r="Q1628" s="27" t="s">
        <v>361</v>
      </c>
      <c r="R1628" s="33">
        <v>30318</v>
      </c>
      <c r="S1628" s="34">
        <v>42154</v>
      </c>
      <c r="T1628" s="34">
        <v>42154</v>
      </c>
      <c r="U1628" s="29">
        <v>4.1673999999999998</v>
      </c>
      <c r="V1628" s="26">
        <v>20</v>
      </c>
      <c r="W1628" s="29">
        <v>121.87</v>
      </c>
      <c r="X1628" s="26">
        <v>57061</v>
      </c>
      <c r="Y1628" s="35">
        <v>3.19</v>
      </c>
      <c r="Z1628" s="1" t="s">
        <v>3011</v>
      </c>
      <c r="AA1628" s="36">
        <v>8.82</v>
      </c>
      <c r="AB1628" s="54">
        <v>74.340699999999998</v>
      </c>
      <c r="AC1628" s="54">
        <v>2.3764650000000005</v>
      </c>
      <c r="AD1628" s="36">
        <v>108.3826</v>
      </c>
    </row>
    <row r="1629" spans="1:30" s="37" customFormat="1" ht="15.75" customHeight="1" x14ac:dyDescent="0.2">
      <c r="A1629" s="26">
        <v>2980</v>
      </c>
      <c r="B1629" s="27" t="s">
        <v>821</v>
      </c>
      <c r="C1629" s="27" t="s">
        <v>48</v>
      </c>
      <c r="D1629" s="28">
        <v>0.04</v>
      </c>
      <c r="E1629" s="29">
        <v>2.88</v>
      </c>
      <c r="F1629" s="29">
        <v>1.01</v>
      </c>
      <c r="G1629" s="30" t="s">
        <v>39</v>
      </c>
      <c r="H1629" s="27" t="s">
        <v>94</v>
      </c>
      <c r="I1629" s="27" t="s">
        <v>49</v>
      </c>
      <c r="J1629" s="27" t="s">
        <v>50</v>
      </c>
      <c r="K1629" s="27" t="s">
        <v>51</v>
      </c>
      <c r="L1629" s="31" t="s">
        <v>991</v>
      </c>
      <c r="M1629" s="32">
        <v>0.55000000000000004</v>
      </c>
      <c r="N1629" s="27" t="s">
        <v>33</v>
      </c>
      <c r="O1629" s="27" t="s">
        <v>111</v>
      </c>
      <c r="P1629" s="27" t="s">
        <v>317</v>
      </c>
      <c r="Q1629" s="27" t="s">
        <v>823</v>
      </c>
      <c r="R1629" s="33">
        <v>44870</v>
      </c>
      <c r="S1629" s="34">
        <v>42154</v>
      </c>
      <c r="T1629" s="34">
        <v>42159</v>
      </c>
      <c r="U1629" s="29">
        <v>15.246</v>
      </c>
      <c r="V1629" s="26">
        <v>39</v>
      </c>
      <c r="W1629" s="29">
        <v>111.92</v>
      </c>
      <c r="X1629" s="26">
        <v>86548</v>
      </c>
      <c r="Y1629" s="35">
        <v>110.97</v>
      </c>
      <c r="Z1629" s="1" t="s">
        <v>3014</v>
      </c>
      <c r="AA1629" s="36">
        <v>4.4927999999999999</v>
      </c>
      <c r="AB1629" s="54">
        <v>50.363999999999997</v>
      </c>
      <c r="AC1629" s="54">
        <v>1.5783589743589745</v>
      </c>
      <c r="AD1629" s="36">
        <v>91.171199999999999</v>
      </c>
    </row>
    <row r="1630" spans="1:30" s="37" customFormat="1" ht="15.75" customHeight="1" x14ac:dyDescent="0.2">
      <c r="A1630" s="26">
        <v>1935</v>
      </c>
      <c r="B1630" s="27" t="s">
        <v>2074</v>
      </c>
      <c r="C1630" s="27" t="s">
        <v>48</v>
      </c>
      <c r="D1630" s="28">
        <v>0.05</v>
      </c>
      <c r="E1630" s="29">
        <v>3.95</v>
      </c>
      <c r="F1630" s="29">
        <v>2</v>
      </c>
      <c r="G1630" s="30" t="s">
        <v>87</v>
      </c>
      <c r="H1630" s="27" t="s">
        <v>71</v>
      </c>
      <c r="I1630" s="27" t="s">
        <v>49</v>
      </c>
      <c r="J1630" s="27" t="s">
        <v>176</v>
      </c>
      <c r="K1630" s="27" t="s">
        <v>51</v>
      </c>
      <c r="L1630" s="31" t="s">
        <v>1829</v>
      </c>
      <c r="M1630" s="32">
        <v>0.53</v>
      </c>
      <c r="N1630" s="27" t="s">
        <v>33</v>
      </c>
      <c r="O1630" s="27" t="s">
        <v>53</v>
      </c>
      <c r="P1630" s="27" t="s">
        <v>187</v>
      </c>
      <c r="Q1630" s="27" t="s">
        <v>2075</v>
      </c>
      <c r="R1630" s="33">
        <v>75051</v>
      </c>
      <c r="S1630" s="34">
        <v>42154</v>
      </c>
      <c r="T1630" s="34">
        <v>42162</v>
      </c>
      <c r="U1630" s="29">
        <v>1.004</v>
      </c>
      <c r="V1630" s="26">
        <v>23</v>
      </c>
      <c r="W1630" s="29">
        <v>96.6</v>
      </c>
      <c r="X1630" s="26">
        <v>86688</v>
      </c>
      <c r="Y1630" s="35">
        <v>3.9000000000000004</v>
      </c>
      <c r="Z1630" s="1" t="s">
        <v>3012</v>
      </c>
      <c r="AA1630" s="36">
        <v>4.5425000000000004</v>
      </c>
      <c r="AB1630" s="54">
        <v>45.401999999999994</v>
      </c>
      <c r="AC1630" s="54">
        <v>2.2260000000000004</v>
      </c>
      <c r="AD1630" s="36">
        <v>89.0535</v>
      </c>
    </row>
    <row r="1631" spans="1:30" s="37" customFormat="1" ht="15.75" customHeight="1" x14ac:dyDescent="0.2">
      <c r="A1631" s="26">
        <v>1935</v>
      </c>
      <c r="B1631" s="27" t="s">
        <v>2074</v>
      </c>
      <c r="C1631" s="27" t="s">
        <v>48</v>
      </c>
      <c r="D1631" s="28">
        <v>0.06</v>
      </c>
      <c r="E1631" s="29">
        <v>3.25</v>
      </c>
      <c r="F1631" s="29">
        <v>49</v>
      </c>
      <c r="G1631" s="30" t="s">
        <v>39</v>
      </c>
      <c r="H1631" s="27" t="s">
        <v>71</v>
      </c>
      <c r="I1631" s="27" t="s">
        <v>49</v>
      </c>
      <c r="J1631" s="27" t="s">
        <v>95</v>
      </c>
      <c r="K1631" s="27" t="s">
        <v>65</v>
      </c>
      <c r="L1631" s="31" t="s">
        <v>2719</v>
      </c>
      <c r="M1631" s="32">
        <v>0.56000000000000005</v>
      </c>
      <c r="N1631" s="27" t="s">
        <v>33</v>
      </c>
      <c r="O1631" s="27" t="s">
        <v>53</v>
      </c>
      <c r="P1631" s="27" t="s">
        <v>187</v>
      </c>
      <c r="Q1631" s="27" t="s">
        <v>2075</v>
      </c>
      <c r="R1631" s="33">
        <v>75051</v>
      </c>
      <c r="S1631" s="34">
        <v>42154</v>
      </c>
      <c r="T1631" s="34">
        <v>42160</v>
      </c>
      <c r="U1631" s="29">
        <v>10.507999999999999</v>
      </c>
      <c r="V1631" s="26">
        <v>2</v>
      </c>
      <c r="W1631" s="29">
        <v>55.6</v>
      </c>
      <c r="X1631" s="26">
        <v>86688</v>
      </c>
      <c r="Y1631" s="35">
        <v>2.84</v>
      </c>
      <c r="Z1631" s="1" t="s">
        <v>3012</v>
      </c>
      <c r="AA1631" s="36">
        <v>0.39</v>
      </c>
      <c r="AB1631" s="54">
        <v>24.463999999999999</v>
      </c>
      <c r="AC1631" s="54">
        <v>15.568000000000001</v>
      </c>
      <c r="AD1631" s="36">
        <v>-4.2979999999999947</v>
      </c>
    </row>
    <row r="1632" spans="1:30" s="37" customFormat="1" ht="15.75" customHeight="1" x14ac:dyDescent="0.2">
      <c r="A1632" s="26">
        <v>1062</v>
      </c>
      <c r="B1632" s="27" t="s">
        <v>1827</v>
      </c>
      <c r="C1632" s="27" t="s">
        <v>48</v>
      </c>
      <c r="D1632" s="28">
        <v>0.06</v>
      </c>
      <c r="E1632" s="29">
        <v>17.78</v>
      </c>
      <c r="F1632" s="29">
        <v>5.03</v>
      </c>
      <c r="G1632" s="30" t="s">
        <v>39</v>
      </c>
      <c r="H1632" s="27" t="s">
        <v>3095</v>
      </c>
      <c r="I1632" s="27" t="s">
        <v>29</v>
      </c>
      <c r="J1632" s="27" t="s">
        <v>126</v>
      </c>
      <c r="K1632" s="27" t="s">
        <v>73</v>
      </c>
      <c r="L1632" s="31" t="s">
        <v>2717</v>
      </c>
      <c r="M1632" s="32">
        <v>0.54</v>
      </c>
      <c r="N1632" s="27" t="s">
        <v>33</v>
      </c>
      <c r="O1632" s="27" t="s">
        <v>111</v>
      </c>
      <c r="P1632" s="27" t="s">
        <v>112</v>
      </c>
      <c r="Q1632" s="27" t="s">
        <v>1828</v>
      </c>
      <c r="R1632" s="33">
        <v>11727</v>
      </c>
      <c r="S1632" s="34">
        <v>42154</v>
      </c>
      <c r="T1632" s="34">
        <v>42157</v>
      </c>
      <c r="U1632" s="29">
        <v>38.067300000000003</v>
      </c>
      <c r="V1632" s="26">
        <v>3</v>
      </c>
      <c r="W1632" s="29">
        <v>55.17</v>
      </c>
      <c r="X1632" s="26">
        <v>91355</v>
      </c>
      <c r="Y1632" s="35">
        <v>120.93</v>
      </c>
      <c r="Z1632" s="1" t="s">
        <v>3014</v>
      </c>
      <c r="AA1632" s="36">
        <v>3.2004000000000001</v>
      </c>
      <c r="AB1632" s="54">
        <v>25.3782</v>
      </c>
      <c r="AC1632" s="54">
        <v>9.9306000000000001</v>
      </c>
      <c r="AD1632" s="36">
        <v>8.8722999999999956</v>
      </c>
    </row>
    <row r="1633" spans="1:30" s="37" customFormat="1" ht="15.75" customHeight="1" x14ac:dyDescent="0.2">
      <c r="A1633" s="26">
        <v>1690</v>
      </c>
      <c r="B1633" s="27" t="s">
        <v>750</v>
      </c>
      <c r="C1633" s="27" t="s">
        <v>3094</v>
      </c>
      <c r="D1633" s="28">
        <v>0.09</v>
      </c>
      <c r="E1633" s="29">
        <v>95.43</v>
      </c>
      <c r="F1633" s="29">
        <v>19.989999999999998</v>
      </c>
      <c r="G1633" s="30" t="s">
        <v>39</v>
      </c>
      <c r="H1633" s="27" t="s">
        <v>94</v>
      </c>
      <c r="I1633" s="27" t="s">
        <v>49</v>
      </c>
      <c r="J1633" s="27" t="s">
        <v>78</v>
      </c>
      <c r="K1633" s="27" t="s">
        <v>73</v>
      </c>
      <c r="L1633" s="31" t="s">
        <v>1437</v>
      </c>
      <c r="M1633" s="32">
        <v>0.79</v>
      </c>
      <c r="N1633" s="27" t="s">
        <v>33</v>
      </c>
      <c r="O1633" s="27" t="s">
        <v>111</v>
      </c>
      <c r="P1633" s="27" t="s">
        <v>320</v>
      </c>
      <c r="Q1633" s="27" t="s">
        <v>752</v>
      </c>
      <c r="R1633" s="33">
        <v>17112</v>
      </c>
      <c r="S1633" s="34">
        <v>42156</v>
      </c>
      <c r="T1633" s="34">
        <v>42157</v>
      </c>
      <c r="U1633" s="29">
        <v>-143.23500000000001</v>
      </c>
      <c r="V1633" s="26">
        <v>22</v>
      </c>
      <c r="W1633" s="29">
        <v>2053.6</v>
      </c>
      <c r="X1633" s="26">
        <v>91078</v>
      </c>
      <c r="Y1633" s="35">
        <v>3.64</v>
      </c>
      <c r="Z1633" s="1" t="s">
        <v>3014</v>
      </c>
      <c r="AA1633" s="36">
        <v>188.95140000000004</v>
      </c>
      <c r="AB1633" s="54">
        <v>431.25599999999991</v>
      </c>
      <c r="AC1633" s="54">
        <v>73.742909090909095</v>
      </c>
      <c r="AD1633" s="36">
        <v>1987.8935999999999</v>
      </c>
    </row>
    <row r="1634" spans="1:30" s="37" customFormat="1" ht="15.75" customHeight="1" x14ac:dyDescent="0.2">
      <c r="A1634" s="26">
        <v>3069</v>
      </c>
      <c r="B1634" s="27" t="s">
        <v>1168</v>
      </c>
      <c r="C1634" s="27" t="s">
        <v>38</v>
      </c>
      <c r="D1634" s="28">
        <v>0.03</v>
      </c>
      <c r="E1634" s="29">
        <v>120.98</v>
      </c>
      <c r="F1634" s="29">
        <v>30</v>
      </c>
      <c r="G1634" s="30" t="s">
        <v>27</v>
      </c>
      <c r="H1634" s="27" t="s">
        <v>40</v>
      </c>
      <c r="I1634" s="27" t="s">
        <v>29</v>
      </c>
      <c r="J1634" s="27" t="s">
        <v>109</v>
      </c>
      <c r="K1634" s="27" t="s">
        <v>58</v>
      </c>
      <c r="L1634" s="31" t="s">
        <v>1125</v>
      </c>
      <c r="M1634" s="32">
        <v>0.64</v>
      </c>
      <c r="N1634" s="27" t="s">
        <v>33</v>
      </c>
      <c r="O1634" s="27" t="s">
        <v>53</v>
      </c>
      <c r="P1634" s="27" t="s">
        <v>84</v>
      </c>
      <c r="Q1634" s="27" t="s">
        <v>1170</v>
      </c>
      <c r="R1634" s="33">
        <v>55128</v>
      </c>
      <c r="S1634" s="34">
        <v>42156</v>
      </c>
      <c r="T1634" s="34">
        <v>42158</v>
      </c>
      <c r="U1634" s="29">
        <v>638.02800000000002</v>
      </c>
      <c r="V1634" s="26">
        <v>15</v>
      </c>
      <c r="W1634" s="29">
        <v>1894.45</v>
      </c>
      <c r="X1634" s="26">
        <v>88191</v>
      </c>
      <c r="Y1634" s="35">
        <v>4.66</v>
      </c>
      <c r="Z1634" s="1" t="s">
        <v>3012</v>
      </c>
      <c r="AA1634" s="36">
        <v>54.441000000000003</v>
      </c>
      <c r="AB1634" s="54">
        <v>682.00199999999995</v>
      </c>
      <c r="AC1634" s="54">
        <v>80.829866666666675</v>
      </c>
      <c r="AD1634" s="36">
        <v>1171.981</v>
      </c>
    </row>
    <row r="1635" spans="1:30" s="37" customFormat="1" ht="15.75" customHeight="1" x14ac:dyDescent="0.2">
      <c r="A1635" s="26">
        <v>797</v>
      </c>
      <c r="B1635" s="27" t="s">
        <v>1524</v>
      </c>
      <c r="C1635" s="27" t="s">
        <v>3094</v>
      </c>
      <c r="D1635" s="28">
        <v>7.0000000000000007E-2</v>
      </c>
      <c r="E1635" s="29">
        <v>64.650000000000006</v>
      </c>
      <c r="F1635" s="29">
        <v>35</v>
      </c>
      <c r="G1635" s="30" t="s">
        <v>39</v>
      </c>
      <c r="H1635" s="27" t="s">
        <v>94</v>
      </c>
      <c r="I1635" s="27" t="s">
        <v>49</v>
      </c>
      <c r="J1635" s="27" t="s">
        <v>78</v>
      </c>
      <c r="K1635" s="27" t="s">
        <v>65</v>
      </c>
      <c r="L1635" s="31" t="s">
        <v>1013</v>
      </c>
      <c r="M1635" s="32">
        <v>0.8</v>
      </c>
      <c r="N1635" s="27" t="s">
        <v>33</v>
      </c>
      <c r="O1635" s="27" t="s">
        <v>60</v>
      </c>
      <c r="P1635" s="27" t="s">
        <v>146</v>
      </c>
      <c r="Q1635" s="27" t="s">
        <v>1526</v>
      </c>
      <c r="R1635" s="33">
        <v>84067</v>
      </c>
      <c r="S1635" s="34">
        <v>42156</v>
      </c>
      <c r="T1635" s="34">
        <v>42158</v>
      </c>
      <c r="U1635" s="29">
        <v>-717.072</v>
      </c>
      <c r="V1635" s="26">
        <v>13</v>
      </c>
      <c r="W1635" s="29">
        <v>834.08</v>
      </c>
      <c r="X1635" s="26">
        <v>86868</v>
      </c>
      <c r="Y1635" s="35">
        <v>55.95</v>
      </c>
      <c r="Z1635" s="1" t="s">
        <v>3013</v>
      </c>
      <c r="AA1635" s="36">
        <v>58.831500000000013</v>
      </c>
      <c r="AB1635" s="54">
        <v>166.81599999999997</v>
      </c>
      <c r="AC1635" s="54">
        <v>51.328000000000003</v>
      </c>
      <c r="AD1635" s="36">
        <v>1457.3205</v>
      </c>
    </row>
    <row r="1636" spans="1:30" s="37" customFormat="1" ht="15.75" customHeight="1" x14ac:dyDescent="0.2">
      <c r="A1636" s="26">
        <v>3141</v>
      </c>
      <c r="B1636" s="27" t="s">
        <v>2728</v>
      </c>
      <c r="C1636" s="27" t="s">
        <v>48</v>
      </c>
      <c r="D1636" s="28">
        <v>7.0000000000000007E-2</v>
      </c>
      <c r="E1636" s="29">
        <v>48.91</v>
      </c>
      <c r="F1636" s="29">
        <v>35</v>
      </c>
      <c r="G1636" s="30" t="s">
        <v>87</v>
      </c>
      <c r="H1636" s="27" t="s">
        <v>40</v>
      </c>
      <c r="I1636" s="27" t="s">
        <v>49</v>
      </c>
      <c r="J1636" s="27" t="s">
        <v>78</v>
      </c>
      <c r="K1636" s="27" t="s">
        <v>65</v>
      </c>
      <c r="L1636" s="31" t="s">
        <v>1821</v>
      </c>
      <c r="M1636" s="32">
        <v>0.83</v>
      </c>
      <c r="N1636" s="27" t="s">
        <v>33</v>
      </c>
      <c r="O1636" s="27" t="s">
        <v>53</v>
      </c>
      <c r="P1636" s="27" t="s">
        <v>187</v>
      </c>
      <c r="Q1636" s="27" t="s">
        <v>366</v>
      </c>
      <c r="R1636" s="33">
        <v>77506</v>
      </c>
      <c r="S1636" s="34">
        <v>42156</v>
      </c>
      <c r="T1636" s="34">
        <v>42158</v>
      </c>
      <c r="U1636" s="29">
        <v>-485.68</v>
      </c>
      <c r="V1636" s="26">
        <v>15</v>
      </c>
      <c r="W1636" s="29">
        <v>736.86</v>
      </c>
      <c r="X1636" s="26">
        <v>86369</v>
      </c>
      <c r="Y1636" s="35">
        <v>120.95</v>
      </c>
      <c r="Z1636" s="1" t="s">
        <v>3012</v>
      </c>
      <c r="AA1636" s="36">
        <v>51.355500000000006</v>
      </c>
      <c r="AB1636" s="54">
        <v>125.26620000000003</v>
      </c>
      <c r="AC1636" s="54">
        <v>40.772919999999999</v>
      </c>
      <c r="AD1636" s="36">
        <v>1136.1845000000001</v>
      </c>
    </row>
    <row r="1637" spans="1:30" s="37" customFormat="1" ht="15.75" customHeight="1" x14ac:dyDescent="0.2">
      <c r="A1637" s="26">
        <v>2828</v>
      </c>
      <c r="B1637" s="27" t="s">
        <v>1259</v>
      </c>
      <c r="C1637" s="27" t="s">
        <v>116</v>
      </c>
      <c r="D1637" s="28">
        <v>7.0000000000000007E-2</v>
      </c>
      <c r="E1637" s="29">
        <v>39.479999999999997</v>
      </c>
      <c r="F1637" s="29">
        <v>1.99</v>
      </c>
      <c r="G1637" s="30" t="s">
        <v>39</v>
      </c>
      <c r="H1637" s="27" t="s">
        <v>94</v>
      </c>
      <c r="I1637" s="27" t="s">
        <v>41</v>
      </c>
      <c r="J1637" s="27" t="s">
        <v>42</v>
      </c>
      <c r="K1637" s="27" t="s">
        <v>43</v>
      </c>
      <c r="L1637" s="31" t="s">
        <v>1257</v>
      </c>
      <c r="M1637" s="32">
        <v>0.54</v>
      </c>
      <c r="N1637" s="27" t="s">
        <v>33</v>
      </c>
      <c r="O1637" s="27" t="s">
        <v>60</v>
      </c>
      <c r="P1637" s="27" t="s">
        <v>90</v>
      </c>
      <c r="Q1637" s="27" t="s">
        <v>1261</v>
      </c>
      <c r="R1637" s="33">
        <v>92243</v>
      </c>
      <c r="S1637" s="34">
        <v>42156</v>
      </c>
      <c r="T1637" s="34">
        <v>42157</v>
      </c>
      <c r="U1637" s="29">
        <v>322.25069999999999</v>
      </c>
      <c r="V1637" s="26">
        <v>12</v>
      </c>
      <c r="W1637" s="29">
        <v>467.03</v>
      </c>
      <c r="X1637" s="26">
        <v>87721</v>
      </c>
      <c r="Y1637" s="35">
        <v>15.67</v>
      </c>
      <c r="Z1637" s="1" t="s">
        <v>3013</v>
      </c>
      <c r="AA1637" s="36">
        <v>33.163199999999996</v>
      </c>
      <c r="AB1637" s="54">
        <v>214.83379999999997</v>
      </c>
      <c r="AC1637" s="54">
        <v>21.016349999999999</v>
      </c>
      <c r="AD1637" s="36">
        <v>109.62609999999995</v>
      </c>
    </row>
    <row r="1638" spans="1:30" s="37" customFormat="1" ht="15.75" customHeight="1" x14ac:dyDescent="0.2">
      <c r="A1638" s="26">
        <v>3069</v>
      </c>
      <c r="B1638" s="27" t="s">
        <v>1168</v>
      </c>
      <c r="C1638" s="27" t="s">
        <v>38</v>
      </c>
      <c r="D1638" s="28">
        <v>0.01</v>
      </c>
      <c r="E1638" s="29">
        <v>15.68</v>
      </c>
      <c r="F1638" s="29">
        <v>3.73</v>
      </c>
      <c r="G1638" s="30" t="s">
        <v>39</v>
      </c>
      <c r="H1638" s="27" t="s">
        <v>40</v>
      </c>
      <c r="I1638" s="27" t="s">
        <v>29</v>
      </c>
      <c r="J1638" s="27" t="s">
        <v>126</v>
      </c>
      <c r="K1638" s="27" t="s">
        <v>43</v>
      </c>
      <c r="L1638" s="31" t="s">
        <v>2727</v>
      </c>
      <c r="M1638" s="32">
        <v>0.46</v>
      </c>
      <c r="N1638" s="27" t="s">
        <v>33</v>
      </c>
      <c r="O1638" s="27" t="s">
        <v>53</v>
      </c>
      <c r="P1638" s="27" t="s">
        <v>84</v>
      </c>
      <c r="Q1638" s="27" t="s">
        <v>1170</v>
      </c>
      <c r="R1638" s="33">
        <v>55128</v>
      </c>
      <c r="S1638" s="34">
        <v>42156</v>
      </c>
      <c r="T1638" s="34">
        <v>42158</v>
      </c>
      <c r="U1638" s="29">
        <v>138.49680000000001</v>
      </c>
      <c r="V1638" s="26">
        <v>12</v>
      </c>
      <c r="W1638" s="29">
        <v>200.72</v>
      </c>
      <c r="X1638" s="26">
        <v>88191</v>
      </c>
      <c r="Y1638" s="35">
        <v>6.75</v>
      </c>
      <c r="Z1638" s="1" t="s">
        <v>3012</v>
      </c>
      <c r="AA1638" s="36">
        <v>1.8815999999999999</v>
      </c>
      <c r="AB1638" s="54">
        <v>108.3888</v>
      </c>
      <c r="AC1638" s="54">
        <v>7.6942666666666666</v>
      </c>
      <c r="AD1638" s="36">
        <v>56.61160000000001</v>
      </c>
    </row>
    <row r="1639" spans="1:30" s="37" customFormat="1" ht="15.75" customHeight="1" x14ac:dyDescent="0.2">
      <c r="A1639" s="26">
        <v>1556</v>
      </c>
      <c r="B1639" s="27" t="s">
        <v>2730</v>
      </c>
      <c r="C1639" s="27" t="s">
        <v>3094</v>
      </c>
      <c r="D1639" s="28">
        <v>0.08</v>
      </c>
      <c r="E1639" s="29">
        <v>22.84</v>
      </c>
      <c r="F1639" s="29">
        <v>11.54</v>
      </c>
      <c r="G1639" s="30" t="s">
        <v>39</v>
      </c>
      <c r="H1639" s="27" t="s">
        <v>40</v>
      </c>
      <c r="I1639" s="27" t="s">
        <v>49</v>
      </c>
      <c r="J1639" s="27" t="s">
        <v>88</v>
      </c>
      <c r="K1639" s="27" t="s">
        <v>73</v>
      </c>
      <c r="L1639" s="31" t="s">
        <v>1841</v>
      </c>
      <c r="M1639" s="32">
        <v>0.39</v>
      </c>
      <c r="N1639" s="27" t="s">
        <v>33</v>
      </c>
      <c r="O1639" s="27" t="s">
        <v>34</v>
      </c>
      <c r="P1639" s="27" t="s">
        <v>242</v>
      </c>
      <c r="Q1639" s="27" t="s">
        <v>2732</v>
      </c>
      <c r="R1639" s="33">
        <v>22304</v>
      </c>
      <c r="S1639" s="34">
        <v>42156</v>
      </c>
      <c r="T1639" s="34">
        <v>42158</v>
      </c>
      <c r="U1639" s="29">
        <v>-477.37200000000001</v>
      </c>
      <c r="V1639" s="26">
        <v>9</v>
      </c>
      <c r="W1639" s="29">
        <v>195.16</v>
      </c>
      <c r="X1639" s="26">
        <v>87425</v>
      </c>
      <c r="Y1639" s="35">
        <v>48.839999999999996</v>
      </c>
      <c r="Z1639" s="1" t="s">
        <v>3011</v>
      </c>
      <c r="AA1639" s="36">
        <v>16.444800000000001</v>
      </c>
      <c r="AB1639" s="54">
        <v>119.04759999999999</v>
      </c>
      <c r="AC1639" s="54">
        <v>8.4569333333333336</v>
      </c>
      <c r="AD1639" s="36">
        <v>644.54719999999998</v>
      </c>
    </row>
    <row r="1640" spans="1:30" s="37" customFormat="1" ht="15.75" customHeight="1" x14ac:dyDescent="0.2">
      <c r="A1640" s="26">
        <v>2737</v>
      </c>
      <c r="B1640" s="27" t="s">
        <v>2270</v>
      </c>
      <c r="C1640" s="27" t="s">
        <v>116</v>
      </c>
      <c r="D1640" s="28">
        <v>0.03</v>
      </c>
      <c r="E1640" s="29">
        <v>15.31</v>
      </c>
      <c r="F1640" s="29">
        <v>8.7799999999999994</v>
      </c>
      <c r="G1640" s="30" t="s">
        <v>39</v>
      </c>
      <c r="H1640" s="27" t="s">
        <v>3095</v>
      </c>
      <c r="I1640" s="27" t="s">
        <v>49</v>
      </c>
      <c r="J1640" s="27" t="s">
        <v>78</v>
      </c>
      <c r="K1640" s="27" t="s">
        <v>73</v>
      </c>
      <c r="L1640" s="31" t="s">
        <v>2434</v>
      </c>
      <c r="M1640" s="32">
        <v>0.56999999999999995</v>
      </c>
      <c r="N1640" s="27" t="s">
        <v>33</v>
      </c>
      <c r="O1640" s="27" t="s">
        <v>111</v>
      </c>
      <c r="P1640" s="27" t="s">
        <v>633</v>
      </c>
      <c r="Q1640" s="27" t="s">
        <v>1946</v>
      </c>
      <c r="R1640" s="33">
        <v>5701</v>
      </c>
      <c r="S1640" s="34">
        <v>42156</v>
      </c>
      <c r="T1640" s="34">
        <v>42157</v>
      </c>
      <c r="U1640" s="29">
        <v>-57.56</v>
      </c>
      <c r="V1640" s="26">
        <v>12</v>
      </c>
      <c r="W1640" s="29">
        <v>194.08</v>
      </c>
      <c r="X1640" s="26">
        <v>89019</v>
      </c>
      <c r="Y1640" s="35">
        <v>15.280000000000001</v>
      </c>
      <c r="Z1640" s="1" t="s">
        <v>3014</v>
      </c>
      <c r="AA1640" s="36">
        <v>5.5115999999999996</v>
      </c>
      <c r="AB1640" s="54">
        <v>83.454400000000021</v>
      </c>
      <c r="AC1640" s="54">
        <v>9.2187999999999999</v>
      </c>
      <c r="AD1640" s="36">
        <v>237.34840000000003</v>
      </c>
    </row>
    <row r="1641" spans="1:30" s="37" customFormat="1" ht="15.75" customHeight="1" x14ac:dyDescent="0.2">
      <c r="A1641" s="26">
        <v>2817</v>
      </c>
      <c r="B1641" s="27" t="s">
        <v>2723</v>
      </c>
      <c r="C1641" s="27" t="s">
        <v>38</v>
      </c>
      <c r="D1641" s="28">
        <v>0.04</v>
      </c>
      <c r="E1641" s="29">
        <v>55.99</v>
      </c>
      <c r="F1641" s="29">
        <v>1.25</v>
      </c>
      <c r="G1641" s="30" t="s">
        <v>87</v>
      </c>
      <c r="H1641" s="27" t="s">
        <v>94</v>
      </c>
      <c r="I1641" s="27" t="s">
        <v>41</v>
      </c>
      <c r="J1641" s="27" t="s">
        <v>135</v>
      </c>
      <c r="K1641" s="27" t="s">
        <v>43</v>
      </c>
      <c r="L1641" s="31" t="s">
        <v>2726</v>
      </c>
      <c r="M1641" s="32">
        <v>0.35</v>
      </c>
      <c r="N1641" s="27" t="s">
        <v>33</v>
      </c>
      <c r="O1641" s="27" t="s">
        <v>111</v>
      </c>
      <c r="P1641" s="27" t="s">
        <v>317</v>
      </c>
      <c r="Q1641" s="27" t="s">
        <v>2725</v>
      </c>
      <c r="R1641" s="33">
        <v>43055</v>
      </c>
      <c r="S1641" s="34">
        <v>42156</v>
      </c>
      <c r="T1641" s="34">
        <v>42157</v>
      </c>
      <c r="U1641" s="29">
        <v>-18.3216</v>
      </c>
      <c r="V1641" s="26">
        <v>3</v>
      </c>
      <c r="W1641" s="29">
        <v>147.56</v>
      </c>
      <c r="X1641" s="26">
        <v>89743</v>
      </c>
      <c r="Y1641" s="35">
        <v>39.409999999999997</v>
      </c>
      <c r="Z1641" s="1" t="s">
        <v>3014</v>
      </c>
      <c r="AA1641" s="36">
        <v>6.7188000000000008</v>
      </c>
      <c r="AB1641" s="54">
        <v>95.914000000000001</v>
      </c>
      <c r="AC1641" s="54">
        <v>17.215333333333334</v>
      </c>
      <c r="AD1641" s="36">
        <v>157.9128</v>
      </c>
    </row>
    <row r="1642" spans="1:30" s="37" customFormat="1" ht="15.75" customHeight="1" x14ac:dyDescent="0.2">
      <c r="A1642" s="26">
        <v>3141</v>
      </c>
      <c r="B1642" s="27" t="s">
        <v>2728</v>
      </c>
      <c r="C1642" s="27" t="s">
        <v>48</v>
      </c>
      <c r="D1642" s="28">
        <v>0.09</v>
      </c>
      <c r="E1642" s="29">
        <v>6.84</v>
      </c>
      <c r="F1642" s="29">
        <v>8.3699999999999992</v>
      </c>
      <c r="G1642" s="30" t="s">
        <v>39</v>
      </c>
      <c r="H1642" s="27" t="s">
        <v>40</v>
      </c>
      <c r="I1642" s="27" t="s">
        <v>49</v>
      </c>
      <c r="J1642" s="27" t="s">
        <v>568</v>
      </c>
      <c r="K1642" s="27" t="s">
        <v>43</v>
      </c>
      <c r="L1642" s="31" t="s">
        <v>736</v>
      </c>
      <c r="M1642" s="32">
        <v>0.57999999999999996</v>
      </c>
      <c r="N1642" s="27" t="s">
        <v>33</v>
      </c>
      <c r="O1642" s="27" t="s">
        <v>53</v>
      </c>
      <c r="P1642" s="27" t="s">
        <v>187</v>
      </c>
      <c r="Q1642" s="27" t="s">
        <v>366</v>
      </c>
      <c r="R1642" s="33">
        <v>77506</v>
      </c>
      <c r="S1642" s="34">
        <v>42156</v>
      </c>
      <c r="T1642" s="34">
        <v>42163</v>
      </c>
      <c r="U1642" s="29">
        <v>-88.584999999999994</v>
      </c>
      <c r="V1642" s="26">
        <v>13</v>
      </c>
      <c r="W1642" s="29">
        <v>87.1</v>
      </c>
      <c r="X1642" s="26">
        <v>86369</v>
      </c>
      <c r="Y1642" s="35">
        <v>9.07</v>
      </c>
      <c r="Z1642" s="1" t="s">
        <v>3012</v>
      </c>
      <c r="AA1642" s="36">
        <v>8.0027999999999988</v>
      </c>
      <c r="AB1642" s="54">
        <v>36.582000000000001</v>
      </c>
      <c r="AC1642" s="54">
        <v>3.8859999999999992</v>
      </c>
      <c r="AD1642" s="36">
        <v>159.31219999999999</v>
      </c>
    </row>
    <row r="1643" spans="1:30" s="37" customFormat="1" ht="15.75" customHeight="1" x14ac:dyDescent="0.2">
      <c r="A1643" s="26">
        <v>1802</v>
      </c>
      <c r="B1643" s="27" t="s">
        <v>2722</v>
      </c>
      <c r="C1643" s="27" t="s">
        <v>26</v>
      </c>
      <c r="D1643" s="28">
        <v>0.04</v>
      </c>
      <c r="E1643" s="29">
        <v>3.68</v>
      </c>
      <c r="F1643" s="29">
        <v>1.32</v>
      </c>
      <c r="G1643" s="30" t="s">
        <v>39</v>
      </c>
      <c r="H1643" s="27" t="s">
        <v>94</v>
      </c>
      <c r="I1643" s="27" t="s">
        <v>49</v>
      </c>
      <c r="J1643" s="27" t="s">
        <v>568</v>
      </c>
      <c r="K1643" s="27" t="s">
        <v>51</v>
      </c>
      <c r="L1643" s="31" t="s">
        <v>2526</v>
      </c>
      <c r="M1643" s="32">
        <v>0.83</v>
      </c>
      <c r="N1643" s="27" t="s">
        <v>33</v>
      </c>
      <c r="O1643" s="27" t="s">
        <v>34</v>
      </c>
      <c r="P1643" s="27" t="s">
        <v>123</v>
      </c>
      <c r="Q1643" s="27" t="s">
        <v>713</v>
      </c>
      <c r="R1643" s="33">
        <v>34698</v>
      </c>
      <c r="S1643" s="34">
        <v>42156</v>
      </c>
      <c r="T1643" s="34">
        <v>42157</v>
      </c>
      <c r="U1643" s="29">
        <v>300.92579999999998</v>
      </c>
      <c r="V1643" s="26">
        <v>11</v>
      </c>
      <c r="W1643" s="29">
        <v>41.29</v>
      </c>
      <c r="X1643" s="26">
        <v>91543</v>
      </c>
      <c r="Y1643" s="35">
        <v>64.580000000000013</v>
      </c>
      <c r="Z1643" s="1" t="s">
        <v>3011</v>
      </c>
      <c r="AA1643" s="36">
        <v>1.6192</v>
      </c>
      <c r="AB1643" s="54">
        <v>7.0193000000000012</v>
      </c>
      <c r="AC1643" s="54">
        <v>3.1155181818181816</v>
      </c>
      <c r="AD1643" s="36">
        <v>-262.57499999999993</v>
      </c>
    </row>
    <row r="1644" spans="1:30" s="37" customFormat="1" ht="15.75" customHeight="1" x14ac:dyDescent="0.2">
      <c r="A1644" s="26">
        <v>2443</v>
      </c>
      <c r="B1644" s="27" t="s">
        <v>621</v>
      </c>
      <c r="C1644" s="27" t="s">
        <v>3094</v>
      </c>
      <c r="D1644" s="28">
        <v>0.06</v>
      </c>
      <c r="E1644" s="29">
        <v>2.2799999999999998</v>
      </c>
      <c r="F1644" s="29">
        <v>5.2</v>
      </c>
      <c r="G1644" s="30" t="s">
        <v>39</v>
      </c>
      <c r="H1644" s="27" t="s">
        <v>94</v>
      </c>
      <c r="I1644" s="27" t="s">
        <v>49</v>
      </c>
      <c r="J1644" s="27" t="s">
        <v>50</v>
      </c>
      <c r="K1644" s="27" t="s">
        <v>51</v>
      </c>
      <c r="L1644" s="31" t="s">
        <v>2733</v>
      </c>
      <c r="M1644" s="32">
        <v>0.41</v>
      </c>
      <c r="N1644" s="27" t="s">
        <v>33</v>
      </c>
      <c r="O1644" s="27" t="s">
        <v>34</v>
      </c>
      <c r="P1644" s="27" t="s">
        <v>123</v>
      </c>
      <c r="Q1644" s="27" t="s">
        <v>128</v>
      </c>
      <c r="R1644" s="33">
        <v>33142</v>
      </c>
      <c r="S1644" s="34">
        <v>42156</v>
      </c>
      <c r="T1644" s="34">
        <v>42158</v>
      </c>
      <c r="U1644" s="29">
        <v>-2002.6314</v>
      </c>
      <c r="V1644" s="26">
        <v>13</v>
      </c>
      <c r="W1644" s="29">
        <v>30.47</v>
      </c>
      <c r="X1644" s="26">
        <v>89301</v>
      </c>
      <c r="Y1644" s="35">
        <v>2.83</v>
      </c>
      <c r="Z1644" s="1" t="s">
        <v>3011</v>
      </c>
      <c r="AA1644" s="36">
        <v>1.7783999999999998</v>
      </c>
      <c r="AB1644" s="54">
        <v>17.977300000000003</v>
      </c>
      <c r="AC1644" s="54">
        <v>0.96097692307692295</v>
      </c>
      <c r="AD1644" s="36">
        <v>2026.123</v>
      </c>
    </row>
    <row r="1645" spans="1:30" s="37" customFormat="1" ht="15.75" customHeight="1" x14ac:dyDescent="0.2">
      <c r="A1645" s="26">
        <v>797</v>
      </c>
      <c r="B1645" s="27" t="s">
        <v>1524</v>
      </c>
      <c r="C1645" s="27" t="s">
        <v>3094</v>
      </c>
      <c r="D1645" s="28">
        <v>0.04</v>
      </c>
      <c r="E1645" s="29">
        <v>9.11</v>
      </c>
      <c r="F1645" s="29">
        <v>2.25</v>
      </c>
      <c r="G1645" s="30" t="s">
        <v>39</v>
      </c>
      <c r="H1645" s="27" t="s">
        <v>94</v>
      </c>
      <c r="I1645" s="27" t="s">
        <v>49</v>
      </c>
      <c r="J1645" s="27" t="s">
        <v>50</v>
      </c>
      <c r="K1645" s="27" t="s">
        <v>51</v>
      </c>
      <c r="L1645" s="31" t="s">
        <v>2729</v>
      </c>
      <c r="M1645" s="32">
        <v>0.52</v>
      </c>
      <c r="N1645" s="27" t="s">
        <v>33</v>
      </c>
      <c r="O1645" s="27" t="s">
        <v>60</v>
      </c>
      <c r="P1645" s="27" t="s">
        <v>146</v>
      </c>
      <c r="Q1645" s="27" t="s">
        <v>1526</v>
      </c>
      <c r="R1645" s="33">
        <v>84067</v>
      </c>
      <c r="S1645" s="34">
        <v>42156</v>
      </c>
      <c r="T1645" s="34">
        <v>42159</v>
      </c>
      <c r="U1645" s="29">
        <v>-3.496</v>
      </c>
      <c r="V1645" s="26">
        <v>2</v>
      </c>
      <c r="W1645" s="29">
        <v>18.59</v>
      </c>
      <c r="X1645" s="26">
        <v>86868</v>
      </c>
      <c r="Y1645" s="35">
        <v>22.76</v>
      </c>
      <c r="Z1645" s="1" t="s">
        <v>3013</v>
      </c>
      <c r="AA1645" s="36">
        <v>0.7288</v>
      </c>
      <c r="AB1645" s="54">
        <v>8.9231999999999996</v>
      </c>
      <c r="AC1645" s="54">
        <v>4.8334000000000001</v>
      </c>
      <c r="AD1645" s="36">
        <v>19.107199999999999</v>
      </c>
    </row>
    <row r="1646" spans="1:30" s="37" customFormat="1" ht="15.75" customHeight="1" x14ac:dyDescent="0.2">
      <c r="A1646" s="26">
        <v>1556</v>
      </c>
      <c r="B1646" s="27" t="s">
        <v>2730</v>
      </c>
      <c r="C1646" s="27" t="s">
        <v>3094</v>
      </c>
      <c r="D1646" s="28">
        <v>0.06</v>
      </c>
      <c r="E1646" s="29">
        <v>2.89</v>
      </c>
      <c r="F1646" s="29">
        <v>0.99</v>
      </c>
      <c r="G1646" s="30" t="s">
        <v>39</v>
      </c>
      <c r="H1646" s="27" t="s">
        <v>40</v>
      </c>
      <c r="I1646" s="27" t="s">
        <v>49</v>
      </c>
      <c r="J1646" s="27" t="s">
        <v>152</v>
      </c>
      <c r="K1646" s="27" t="s">
        <v>73</v>
      </c>
      <c r="L1646" s="31" t="s">
        <v>2731</v>
      </c>
      <c r="M1646" s="32">
        <v>0.38</v>
      </c>
      <c r="N1646" s="27" t="s">
        <v>33</v>
      </c>
      <c r="O1646" s="27" t="s">
        <v>34</v>
      </c>
      <c r="P1646" s="27" t="s">
        <v>242</v>
      </c>
      <c r="Q1646" s="27" t="s">
        <v>2732</v>
      </c>
      <c r="R1646" s="33">
        <v>22304</v>
      </c>
      <c r="S1646" s="34">
        <v>42156</v>
      </c>
      <c r="T1646" s="34">
        <v>42158</v>
      </c>
      <c r="U1646" s="29">
        <v>-2.0097</v>
      </c>
      <c r="V1646" s="26">
        <v>6</v>
      </c>
      <c r="W1646" s="29">
        <v>16.670000000000002</v>
      </c>
      <c r="X1646" s="26">
        <v>87425</v>
      </c>
      <c r="Y1646" s="35">
        <v>95.34</v>
      </c>
      <c r="Z1646" s="1" t="s">
        <v>3011</v>
      </c>
      <c r="AA1646" s="36">
        <v>1.0404</v>
      </c>
      <c r="AB1646" s="54">
        <v>10.335400000000002</v>
      </c>
      <c r="AC1646" s="54">
        <v>1.0557666666666667</v>
      </c>
      <c r="AD1646" s="36">
        <v>16.6493</v>
      </c>
    </row>
    <row r="1647" spans="1:30" s="37" customFormat="1" ht="15.75" customHeight="1" x14ac:dyDescent="0.2">
      <c r="A1647" s="26">
        <v>2817</v>
      </c>
      <c r="B1647" s="27" t="s">
        <v>2723</v>
      </c>
      <c r="C1647" s="27" t="s">
        <v>38</v>
      </c>
      <c r="D1647" s="28">
        <v>0.05</v>
      </c>
      <c r="E1647" s="29">
        <v>4.71</v>
      </c>
      <c r="F1647" s="29">
        <v>0.7</v>
      </c>
      <c r="G1647" s="30" t="s">
        <v>87</v>
      </c>
      <c r="H1647" s="27" t="s">
        <v>94</v>
      </c>
      <c r="I1647" s="27" t="s">
        <v>49</v>
      </c>
      <c r="J1647" s="27" t="s">
        <v>176</v>
      </c>
      <c r="K1647" s="27" t="s">
        <v>51</v>
      </c>
      <c r="L1647" s="31" t="s">
        <v>2724</v>
      </c>
      <c r="M1647" s="32">
        <v>0.8</v>
      </c>
      <c r="N1647" s="27" t="s">
        <v>33</v>
      </c>
      <c r="O1647" s="27" t="s">
        <v>111</v>
      </c>
      <c r="P1647" s="27" t="s">
        <v>317</v>
      </c>
      <c r="Q1647" s="27" t="s">
        <v>2725</v>
      </c>
      <c r="R1647" s="33">
        <v>43055</v>
      </c>
      <c r="S1647" s="34">
        <v>42156</v>
      </c>
      <c r="T1647" s="34">
        <v>42157</v>
      </c>
      <c r="U1647" s="29">
        <v>-2.3759999999999999</v>
      </c>
      <c r="V1647" s="26">
        <v>2</v>
      </c>
      <c r="W1647" s="29">
        <v>12.16</v>
      </c>
      <c r="X1647" s="26">
        <v>89743</v>
      </c>
      <c r="Y1647" s="35">
        <v>2.2199999999999998</v>
      </c>
      <c r="Z1647" s="1" t="s">
        <v>3014</v>
      </c>
      <c r="AA1647" s="36">
        <v>0.47100000000000003</v>
      </c>
      <c r="AB1647" s="54">
        <v>2.4319999999999995</v>
      </c>
      <c r="AC1647" s="54">
        <v>4.8640000000000008</v>
      </c>
      <c r="AD1647" s="36">
        <v>13.365</v>
      </c>
    </row>
    <row r="1648" spans="1:30" s="37" customFormat="1" ht="15.75" customHeight="1" x14ac:dyDescent="0.2">
      <c r="A1648" s="26">
        <v>3374</v>
      </c>
      <c r="B1648" s="27" t="s">
        <v>2742</v>
      </c>
      <c r="C1648" s="27" t="s">
        <v>116</v>
      </c>
      <c r="D1648" s="28">
        <v>0.01</v>
      </c>
      <c r="E1648" s="29">
        <v>179.29</v>
      </c>
      <c r="F1648" s="29">
        <v>29.21</v>
      </c>
      <c r="G1648" s="30" t="s">
        <v>27</v>
      </c>
      <c r="H1648" s="27" t="s">
        <v>94</v>
      </c>
      <c r="I1648" s="27" t="s">
        <v>29</v>
      </c>
      <c r="J1648" s="27" t="s">
        <v>30</v>
      </c>
      <c r="K1648" s="27" t="s">
        <v>31</v>
      </c>
      <c r="L1648" s="31" t="s">
        <v>543</v>
      </c>
      <c r="M1648" s="32">
        <v>0.76</v>
      </c>
      <c r="N1648" s="27" t="s">
        <v>33</v>
      </c>
      <c r="O1648" s="27" t="s">
        <v>111</v>
      </c>
      <c r="P1648" s="27" t="s">
        <v>418</v>
      </c>
      <c r="Q1648" s="27" t="s">
        <v>2743</v>
      </c>
      <c r="R1648" s="33">
        <v>21113</v>
      </c>
      <c r="S1648" s="34">
        <v>42157</v>
      </c>
      <c r="T1648" s="34">
        <v>42159</v>
      </c>
      <c r="U1648" s="29">
        <v>66.362219999999994</v>
      </c>
      <c r="V1648" s="26">
        <v>8</v>
      </c>
      <c r="W1648" s="29">
        <v>1487.9</v>
      </c>
      <c r="X1648" s="26">
        <v>87473</v>
      </c>
      <c r="Y1648" s="35">
        <v>22.81</v>
      </c>
      <c r="Z1648" s="1" t="s">
        <v>3014</v>
      </c>
      <c r="AA1648" s="36">
        <v>14.3432</v>
      </c>
      <c r="AB1648" s="54">
        <v>357.096</v>
      </c>
      <c r="AC1648" s="54">
        <v>141.35050000000001</v>
      </c>
      <c r="AD1648" s="36">
        <v>1377.9845800000001</v>
      </c>
    </row>
    <row r="1649" spans="1:30" s="37" customFormat="1" ht="15.75" customHeight="1" x14ac:dyDescent="0.2">
      <c r="A1649" s="26">
        <v>2487</v>
      </c>
      <c r="B1649" s="27" t="s">
        <v>2746</v>
      </c>
      <c r="C1649" s="27" t="s">
        <v>3094</v>
      </c>
      <c r="D1649" s="28">
        <v>0.02</v>
      </c>
      <c r="E1649" s="29">
        <v>136.97999999999999</v>
      </c>
      <c r="F1649" s="29">
        <v>24.49</v>
      </c>
      <c r="G1649" s="30" t="s">
        <v>87</v>
      </c>
      <c r="H1649" s="27" t="s">
        <v>3095</v>
      </c>
      <c r="I1649" s="27" t="s">
        <v>29</v>
      </c>
      <c r="J1649" s="27" t="s">
        <v>126</v>
      </c>
      <c r="K1649" s="27" t="s">
        <v>65</v>
      </c>
      <c r="L1649" s="31" t="s">
        <v>429</v>
      </c>
      <c r="M1649" s="32">
        <v>0.59</v>
      </c>
      <c r="N1649" s="27" t="s">
        <v>33</v>
      </c>
      <c r="O1649" s="27" t="s">
        <v>34</v>
      </c>
      <c r="P1649" s="27" t="s">
        <v>75</v>
      </c>
      <c r="Q1649" s="27" t="s">
        <v>2747</v>
      </c>
      <c r="R1649" s="33">
        <v>30084</v>
      </c>
      <c r="S1649" s="34">
        <v>42157</v>
      </c>
      <c r="T1649" s="34">
        <v>42158</v>
      </c>
      <c r="U1649" s="29">
        <v>88.56</v>
      </c>
      <c r="V1649" s="26">
        <v>8</v>
      </c>
      <c r="W1649" s="29">
        <v>1140.95</v>
      </c>
      <c r="X1649" s="26">
        <v>91417</v>
      </c>
      <c r="Y1649" s="35">
        <v>10.93</v>
      </c>
      <c r="Z1649" s="1" t="s">
        <v>3011</v>
      </c>
      <c r="AA1649" s="36">
        <v>21.916799999999999</v>
      </c>
      <c r="AB1649" s="54">
        <v>467.78950000000003</v>
      </c>
      <c r="AC1649" s="54">
        <v>84.145062499999995</v>
      </c>
      <c r="AD1649" s="36">
        <v>1005.9832</v>
      </c>
    </row>
    <row r="1650" spans="1:30" s="37" customFormat="1" ht="15.75" customHeight="1" x14ac:dyDescent="0.2">
      <c r="A1650" s="26">
        <v>1170</v>
      </c>
      <c r="B1650" s="27" t="s">
        <v>2744</v>
      </c>
      <c r="C1650" s="27" t="s">
        <v>3094</v>
      </c>
      <c r="D1650" s="28">
        <v>0</v>
      </c>
      <c r="E1650" s="29">
        <v>200.99</v>
      </c>
      <c r="F1650" s="29">
        <v>8.08</v>
      </c>
      <c r="G1650" s="30" t="s">
        <v>39</v>
      </c>
      <c r="H1650" s="27" t="s">
        <v>40</v>
      </c>
      <c r="I1650" s="27" t="s">
        <v>41</v>
      </c>
      <c r="J1650" s="27" t="s">
        <v>135</v>
      </c>
      <c r="K1650" s="27" t="s">
        <v>73</v>
      </c>
      <c r="L1650" s="31" t="s">
        <v>2745</v>
      </c>
      <c r="M1650" s="32">
        <v>0.59</v>
      </c>
      <c r="N1650" s="27" t="s">
        <v>33</v>
      </c>
      <c r="O1650" s="27" t="s">
        <v>111</v>
      </c>
      <c r="P1650" s="27" t="s">
        <v>1608</v>
      </c>
      <c r="Q1650" s="27" t="s">
        <v>2725</v>
      </c>
      <c r="R1650" s="33">
        <v>19711</v>
      </c>
      <c r="S1650" s="34">
        <v>42157</v>
      </c>
      <c r="T1650" s="34">
        <v>42159</v>
      </c>
      <c r="U1650" s="29">
        <v>281.53440000000001</v>
      </c>
      <c r="V1650" s="26">
        <v>6</v>
      </c>
      <c r="W1650" s="29">
        <v>1076.3</v>
      </c>
      <c r="X1650" s="26">
        <v>87520</v>
      </c>
      <c r="Y1650" s="35">
        <v>12.899999999999999</v>
      </c>
      <c r="Z1650" s="1" t="s">
        <v>3014</v>
      </c>
      <c r="AA1650" s="36">
        <v>0</v>
      </c>
      <c r="AB1650" s="54">
        <v>441.28300000000002</v>
      </c>
      <c r="AC1650" s="54">
        <v>105.83616666666666</v>
      </c>
      <c r="AD1650" s="36">
        <v>786.68560000000002</v>
      </c>
    </row>
    <row r="1651" spans="1:30" s="37" customFormat="1" ht="15.75" customHeight="1" x14ac:dyDescent="0.2">
      <c r="A1651" s="26">
        <v>142</v>
      </c>
      <c r="B1651" s="27" t="s">
        <v>2734</v>
      </c>
      <c r="C1651" s="27" t="s">
        <v>26</v>
      </c>
      <c r="D1651" s="28">
        <v>0.03</v>
      </c>
      <c r="E1651" s="29">
        <v>22.84</v>
      </c>
      <c r="F1651" s="29">
        <v>11.54</v>
      </c>
      <c r="G1651" s="30" t="s">
        <v>39</v>
      </c>
      <c r="H1651" s="27" t="s">
        <v>3095</v>
      </c>
      <c r="I1651" s="27" t="s">
        <v>49</v>
      </c>
      <c r="J1651" s="27" t="s">
        <v>88</v>
      </c>
      <c r="K1651" s="27" t="s">
        <v>73</v>
      </c>
      <c r="L1651" s="31" t="s">
        <v>1841</v>
      </c>
      <c r="M1651" s="32">
        <v>0.39</v>
      </c>
      <c r="N1651" s="27" t="s">
        <v>33</v>
      </c>
      <c r="O1651" s="27" t="s">
        <v>111</v>
      </c>
      <c r="P1651" s="27" t="s">
        <v>248</v>
      </c>
      <c r="Q1651" s="27" t="s">
        <v>2735</v>
      </c>
      <c r="R1651" s="33">
        <v>6401</v>
      </c>
      <c r="S1651" s="34">
        <v>42157</v>
      </c>
      <c r="T1651" s="34">
        <v>42158</v>
      </c>
      <c r="U1651" s="29">
        <v>91.956000000000003</v>
      </c>
      <c r="V1651" s="26">
        <v>13</v>
      </c>
      <c r="W1651" s="29">
        <v>312.58999999999997</v>
      </c>
      <c r="X1651" s="26">
        <v>91087</v>
      </c>
      <c r="Y1651" s="35">
        <v>24.92</v>
      </c>
      <c r="Z1651" s="1" t="s">
        <v>3014</v>
      </c>
      <c r="AA1651" s="36">
        <v>8.9075999999999986</v>
      </c>
      <c r="AB1651" s="54">
        <v>190.67989999999998</v>
      </c>
      <c r="AC1651" s="54">
        <v>9.377699999999999</v>
      </c>
      <c r="AD1651" s="36">
        <v>200.18639999999996</v>
      </c>
    </row>
    <row r="1652" spans="1:30" s="37" customFormat="1" ht="15.75" customHeight="1" x14ac:dyDescent="0.2">
      <c r="A1652" s="26">
        <v>1461</v>
      </c>
      <c r="B1652" s="27" t="s">
        <v>2738</v>
      </c>
      <c r="C1652" s="27" t="s">
        <v>38</v>
      </c>
      <c r="D1652" s="28">
        <v>0.05</v>
      </c>
      <c r="E1652" s="29">
        <v>12.95</v>
      </c>
      <c r="F1652" s="29">
        <v>4.9800000000000004</v>
      </c>
      <c r="G1652" s="30" t="s">
        <v>39</v>
      </c>
      <c r="H1652" s="27" t="s">
        <v>40</v>
      </c>
      <c r="I1652" s="27" t="s">
        <v>49</v>
      </c>
      <c r="J1652" s="27" t="s">
        <v>72</v>
      </c>
      <c r="K1652" s="27" t="s">
        <v>73</v>
      </c>
      <c r="L1652" s="31" t="s">
        <v>2739</v>
      </c>
      <c r="M1652" s="32">
        <v>0.4</v>
      </c>
      <c r="N1652" s="27" t="s">
        <v>33</v>
      </c>
      <c r="O1652" s="27" t="s">
        <v>53</v>
      </c>
      <c r="P1652" s="27" t="s">
        <v>54</v>
      </c>
      <c r="Q1652" s="27" t="s">
        <v>2029</v>
      </c>
      <c r="R1652" s="33">
        <v>47905</v>
      </c>
      <c r="S1652" s="34">
        <v>42157</v>
      </c>
      <c r="T1652" s="34">
        <v>42159</v>
      </c>
      <c r="U1652" s="29">
        <v>134.16825</v>
      </c>
      <c r="V1652" s="26">
        <v>19</v>
      </c>
      <c r="W1652" s="29">
        <v>252.36</v>
      </c>
      <c r="X1652" s="26">
        <v>86397</v>
      </c>
      <c r="Y1652" s="35">
        <v>3.68</v>
      </c>
      <c r="Z1652" s="1" t="s">
        <v>3012</v>
      </c>
      <c r="AA1652" s="36">
        <v>12.302499999999998</v>
      </c>
      <c r="AB1652" s="54">
        <v>151.416</v>
      </c>
      <c r="AC1652" s="54">
        <v>5.312842105263158</v>
      </c>
      <c r="AD1652" s="36">
        <v>100.90925000000001</v>
      </c>
    </row>
    <row r="1653" spans="1:30" s="37" customFormat="1" ht="15.75" customHeight="1" x14ac:dyDescent="0.2">
      <c r="A1653" s="26">
        <v>1170</v>
      </c>
      <c r="B1653" s="27" t="s">
        <v>2744</v>
      </c>
      <c r="C1653" s="27" t="s">
        <v>3094</v>
      </c>
      <c r="D1653" s="28">
        <v>0.09</v>
      </c>
      <c r="E1653" s="29">
        <v>9.7799999999999994</v>
      </c>
      <c r="F1653" s="29">
        <v>1.39</v>
      </c>
      <c r="G1653" s="30" t="s">
        <v>39</v>
      </c>
      <c r="H1653" s="27" t="s">
        <v>40</v>
      </c>
      <c r="I1653" s="27" t="s">
        <v>49</v>
      </c>
      <c r="J1653" s="27" t="s">
        <v>345</v>
      </c>
      <c r="K1653" s="27" t="s">
        <v>73</v>
      </c>
      <c r="L1653" s="31" t="s">
        <v>1511</v>
      </c>
      <c r="M1653" s="32">
        <v>0.39</v>
      </c>
      <c r="N1653" s="27" t="s">
        <v>33</v>
      </c>
      <c r="O1653" s="27" t="s">
        <v>111</v>
      </c>
      <c r="P1653" s="27" t="s">
        <v>1608</v>
      </c>
      <c r="Q1653" s="27" t="s">
        <v>2725</v>
      </c>
      <c r="R1653" s="33">
        <v>19711</v>
      </c>
      <c r="S1653" s="34">
        <v>42157</v>
      </c>
      <c r="T1653" s="34">
        <v>42158</v>
      </c>
      <c r="U1653" s="29">
        <v>125.20740000000001</v>
      </c>
      <c r="V1653" s="26">
        <v>19</v>
      </c>
      <c r="W1653" s="29">
        <v>181.46</v>
      </c>
      <c r="X1653" s="26">
        <v>87520</v>
      </c>
      <c r="Y1653" s="35">
        <v>5.3100000000000005</v>
      </c>
      <c r="Z1653" s="1" t="s">
        <v>3014</v>
      </c>
      <c r="AA1653" s="36">
        <v>16.723799999999997</v>
      </c>
      <c r="AB1653" s="54">
        <v>110.6906</v>
      </c>
      <c r="AC1653" s="54">
        <v>3.7247052631578952</v>
      </c>
      <c r="AD1653" s="36">
        <v>38.138800000000003</v>
      </c>
    </row>
    <row r="1654" spans="1:30" s="37" customFormat="1" ht="15.75" customHeight="1" x14ac:dyDescent="0.2">
      <c r="A1654" s="26">
        <v>210</v>
      </c>
      <c r="B1654" s="27" t="s">
        <v>579</v>
      </c>
      <c r="C1654" s="27" t="s">
        <v>116</v>
      </c>
      <c r="D1654" s="28">
        <v>0.02</v>
      </c>
      <c r="E1654" s="29">
        <v>20.28</v>
      </c>
      <c r="F1654" s="29">
        <v>6.68</v>
      </c>
      <c r="G1654" s="30" t="s">
        <v>39</v>
      </c>
      <c r="H1654" s="27" t="s">
        <v>71</v>
      </c>
      <c r="I1654" s="27" t="s">
        <v>29</v>
      </c>
      <c r="J1654" s="27" t="s">
        <v>126</v>
      </c>
      <c r="K1654" s="27" t="s">
        <v>73</v>
      </c>
      <c r="L1654" s="31" t="s">
        <v>2741</v>
      </c>
      <c r="M1654" s="32">
        <v>0.53</v>
      </c>
      <c r="N1654" s="27" t="s">
        <v>33</v>
      </c>
      <c r="O1654" s="27" t="s">
        <v>111</v>
      </c>
      <c r="P1654" s="27" t="s">
        <v>112</v>
      </c>
      <c r="Q1654" s="27" t="s">
        <v>581</v>
      </c>
      <c r="R1654" s="33">
        <v>12180</v>
      </c>
      <c r="S1654" s="34">
        <v>42157</v>
      </c>
      <c r="T1654" s="34">
        <v>42157</v>
      </c>
      <c r="U1654" s="29">
        <v>44.677500000000002</v>
      </c>
      <c r="V1654" s="26">
        <v>3</v>
      </c>
      <c r="W1654" s="29">
        <v>64.75</v>
      </c>
      <c r="X1654" s="26">
        <v>85966</v>
      </c>
      <c r="Y1654" s="35">
        <v>20.260000000000002</v>
      </c>
      <c r="Z1654" s="1" t="s">
        <v>3014</v>
      </c>
      <c r="AA1654" s="36">
        <v>1.2168000000000001</v>
      </c>
      <c r="AB1654" s="54">
        <v>30.432499999999997</v>
      </c>
      <c r="AC1654" s="54">
        <v>11.439166666666667</v>
      </c>
      <c r="AD1654" s="36">
        <v>12.175699999999999</v>
      </c>
    </row>
    <row r="1655" spans="1:30" s="37" customFormat="1" ht="15.75" customHeight="1" x14ac:dyDescent="0.2">
      <c r="A1655" s="26">
        <v>144</v>
      </c>
      <c r="B1655" s="27" t="s">
        <v>2736</v>
      </c>
      <c r="C1655" s="27" t="s">
        <v>26</v>
      </c>
      <c r="D1655" s="28">
        <v>0.05</v>
      </c>
      <c r="E1655" s="29">
        <v>10.98</v>
      </c>
      <c r="F1655" s="29">
        <v>3.37</v>
      </c>
      <c r="G1655" s="30" t="s">
        <v>39</v>
      </c>
      <c r="H1655" s="27" t="s">
        <v>3095</v>
      </c>
      <c r="I1655" s="27" t="s">
        <v>49</v>
      </c>
      <c r="J1655" s="27" t="s">
        <v>568</v>
      </c>
      <c r="K1655" s="27" t="s">
        <v>43</v>
      </c>
      <c r="L1655" s="31" t="s">
        <v>2129</v>
      </c>
      <c r="M1655" s="32">
        <v>0.56999999999999995</v>
      </c>
      <c r="N1655" s="27" t="s">
        <v>33</v>
      </c>
      <c r="O1655" s="27" t="s">
        <v>111</v>
      </c>
      <c r="P1655" s="27" t="s">
        <v>403</v>
      </c>
      <c r="Q1655" s="27" t="s">
        <v>2737</v>
      </c>
      <c r="R1655" s="33">
        <v>2664</v>
      </c>
      <c r="S1655" s="34">
        <v>42157</v>
      </c>
      <c r="T1655" s="34">
        <v>42158</v>
      </c>
      <c r="U1655" s="29">
        <v>-2.544</v>
      </c>
      <c r="V1655" s="26">
        <v>6</v>
      </c>
      <c r="W1655" s="29">
        <v>64.400000000000006</v>
      </c>
      <c r="X1655" s="26">
        <v>91087</v>
      </c>
      <c r="Y1655" s="35">
        <v>11.55</v>
      </c>
      <c r="Z1655" s="1" t="s">
        <v>3014</v>
      </c>
      <c r="AA1655" s="36">
        <v>3.2940000000000005</v>
      </c>
      <c r="AB1655" s="54">
        <v>27.692000000000007</v>
      </c>
      <c r="AC1655" s="54">
        <v>6.1180000000000003</v>
      </c>
      <c r="AD1655" s="36">
        <v>60.28</v>
      </c>
    </row>
    <row r="1656" spans="1:30" s="37" customFormat="1" ht="15.75" customHeight="1" x14ac:dyDescent="0.2">
      <c r="A1656" s="26">
        <v>210</v>
      </c>
      <c r="B1656" s="27" t="s">
        <v>579</v>
      </c>
      <c r="C1656" s="27" t="s">
        <v>116</v>
      </c>
      <c r="D1656" s="28">
        <v>0</v>
      </c>
      <c r="E1656" s="29">
        <v>11.55</v>
      </c>
      <c r="F1656" s="29">
        <v>2.36</v>
      </c>
      <c r="G1656" s="30" t="s">
        <v>39</v>
      </c>
      <c r="H1656" s="27" t="s">
        <v>71</v>
      </c>
      <c r="I1656" s="27" t="s">
        <v>49</v>
      </c>
      <c r="J1656" s="27" t="s">
        <v>50</v>
      </c>
      <c r="K1656" s="27" t="s">
        <v>51</v>
      </c>
      <c r="L1656" s="31" t="s">
        <v>380</v>
      </c>
      <c r="M1656" s="32">
        <v>0.55000000000000004</v>
      </c>
      <c r="N1656" s="27" t="s">
        <v>33</v>
      </c>
      <c r="O1656" s="27" t="s">
        <v>111</v>
      </c>
      <c r="P1656" s="27" t="s">
        <v>112</v>
      </c>
      <c r="Q1656" s="27" t="s">
        <v>581</v>
      </c>
      <c r="R1656" s="33">
        <v>12180</v>
      </c>
      <c r="S1656" s="34">
        <v>42157</v>
      </c>
      <c r="T1656" s="34">
        <v>42158</v>
      </c>
      <c r="U1656" s="29">
        <v>23.594999999999999</v>
      </c>
      <c r="V1656" s="26">
        <v>5</v>
      </c>
      <c r="W1656" s="29">
        <v>62.98</v>
      </c>
      <c r="X1656" s="26">
        <v>85966</v>
      </c>
      <c r="Y1656" s="35">
        <v>2.0300000000000002</v>
      </c>
      <c r="Z1656" s="1" t="s">
        <v>3014</v>
      </c>
      <c r="AA1656" s="36">
        <v>0</v>
      </c>
      <c r="AB1656" s="54">
        <v>28.340999999999998</v>
      </c>
      <c r="AC1656" s="54">
        <v>6.9278000000000004</v>
      </c>
      <c r="AD1656" s="36">
        <v>37.024999999999999</v>
      </c>
    </row>
    <row r="1657" spans="1:30" s="37" customFormat="1" ht="15.75" customHeight="1" x14ac:dyDescent="0.2">
      <c r="A1657" s="26">
        <v>2334</v>
      </c>
      <c r="B1657" s="27" t="s">
        <v>2038</v>
      </c>
      <c r="C1657" s="27" t="s">
        <v>48</v>
      </c>
      <c r="D1657" s="28">
        <v>0.06</v>
      </c>
      <c r="E1657" s="29">
        <v>3.74</v>
      </c>
      <c r="F1657" s="29">
        <v>0.94</v>
      </c>
      <c r="G1657" s="30" t="s">
        <v>39</v>
      </c>
      <c r="H1657" s="27" t="s">
        <v>71</v>
      </c>
      <c r="I1657" s="27" t="s">
        <v>49</v>
      </c>
      <c r="J1657" s="27" t="s">
        <v>176</v>
      </c>
      <c r="K1657" s="27" t="s">
        <v>51</v>
      </c>
      <c r="L1657" s="31" t="s">
        <v>2740</v>
      </c>
      <c r="M1657" s="32">
        <v>0.83</v>
      </c>
      <c r="N1657" s="27" t="s">
        <v>33</v>
      </c>
      <c r="O1657" s="27" t="s">
        <v>53</v>
      </c>
      <c r="P1657" s="27" t="s">
        <v>357</v>
      </c>
      <c r="Q1657" s="27" t="s">
        <v>2039</v>
      </c>
      <c r="R1657" s="33">
        <v>53220</v>
      </c>
      <c r="S1657" s="34">
        <v>42157</v>
      </c>
      <c r="T1657" s="34">
        <v>42164</v>
      </c>
      <c r="U1657" s="29">
        <v>-7.6849999999999996</v>
      </c>
      <c r="V1657" s="26">
        <v>12</v>
      </c>
      <c r="W1657" s="29">
        <v>44.75</v>
      </c>
      <c r="X1657" s="26">
        <v>89610</v>
      </c>
      <c r="Y1657" s="35">
        <v>179.28</v>
      </c>
      <c r="Z1657" s="1" t="s">
        <v>3012</v>
      </c>
      <c r="AA1657" s="36">
        <v>2.6928000000000001</v>
      </c>
      <c r="AB1657" s="54">
        <v>7.6075000000000017</v>
      </c>
      <c r="AC1657" s="54">
        <v>3.0952083333333329</v>
      </c>
      <c r="AD1657" s="36">
        <v>48.802199999999999</v>
      </c>
    </row>
    <row r="1658" spans="1:30" s="37" customFormat="1" ht="15.75" customHeight="1" x14ac:dyDescent="0.2">
      <c r="A1658" s="26">
        <v>211</v>
      </c>
      <c r="B1658" s="27" t="s">
        <v>262</v>
      </c>
      <c r="C1658" s="27" t="s">
        <v>116</v>
      </c>
      <c r="D1658" s="28">
        <v>0.05</v>
      </c>
      <c r="E1658" s="29">
        <v>2.08</v>
      </c>
      <c r="F1658" s="29">
        <v>2.56</v>
      </c>
      <c r="G1658" s="30" t="s">
        <v>39</v>
      </c>
      <c r="H1658" s="27" t="s">
        <v>71</v>
      </c>
      <c r="I1658" s="27" t="s">
        <v>49</v>
      </c>
      <c r="J1658" s="27" t="s">
        <v>568</v>
      </c>
      <c r="K1658" s="27" t="s">
        <v>43</v>
      </c>
      <c r="L1658" s="31" t="s">
        <v>1167</v>
      </c>
      <c r="M1658" s="32">
        <v>0.55000000000000004</v>
      </c>
      <c r="N1658" s="27" t="s">
        <v>33</v>
      </c>
      <c r="O1658" s="27" t="s">
        <v>111</v>
      </c>
      <c r="P1658" s="27" t="s">
        <v>112</v>
      </c>
      <c r="Q1658" s="27" t="s">
        <v>263</v>
      </c>
      <c r="R1658" s="33">
        <v>13501</v>
      </c>
      <c r="S1658" s="34">
        <v>42157</v>
      </c>
      <c r="T1658" s="34">
        <v>42158</v>
      </c>
      <c r="U1658" s="29">
        <v>-36.25</v>
      </c>
      <c r="V1658" s="26">
        <v>20</v>
      </c>
      <c r="W1658" s="29">
        <v>42.29</v>
      </c>
      <c r="X1658" s="26">
        <v>85966</v>
      </c>
      <c r="Y1658" s="35">
        <v>9.69</v>
      </c>
      <c r="Z1658" s="1" t="s">
        <v>3014</v>
      </c>
      <c r="AA1658" s="36">
        <v>2.08</v>
      </c>
      <c r="AB1658" s="54">
        <v>19.030499999999996</v>
      </c>
      <c r="AC1658" s="54">
        <v>1.1629750000000001</v>
      </c>
      <c r="AD1658" s="36">
        <v>73.900000000000006</v>
      </c>
    </row>
    <row r="1659" spans="1:30" s="37" customFormat="1" ht="15.75" customHeight="1" x14ac:dyDescent="0.2">
      <c r="A1659" s="26">
        <v>1997</v>
      </c>
      <c r="B1659" s="27" t="s">
        <v>774</v>
      </c>
      <c r="C1659" s="27" t="s">
        <v>48</v>
      </c>
      <c r="D1659" s="28">
        <v>0</v>
      </c>
      <c r="E1659" s="29">
        <v>24.92</v>
      </c>
      <c r="F1659" s="29">
        <v>12.98</v>
      </c>
      <c r="G1659" s="30" t="s">
        <v>39</v>
      </c>
      <c r="H1659" s="27" t="s">
        <v>40</v>
      </c>
      <c r="I1659" s="27" t="s">
        <v>49</v>
      </c>
      <c r="J1659" s="27" t="s">
        <v>72</v>
      </c>
      <c r="K1659" s="27" t="s">
        <v>73</v>
      </c>
      <c r="L1659" s="31" t="s">
        <v>1731</v>
      </c>
      <c r="M1659" s="32">
        <v>0.39</v>
      </c>
      <c r="N1659" s="27" t="s">
        <v>33</v>
      </c>
      <c r="O1659" s="27" t="s">
        <v>34</v>
      </c>
      <c r="P1659" s="27" t="s">
        <v>271</v>
      </c>
      <c r="Q1659" s="27" t="s">
        <v>272</v>
      </c>
      <c r="R1659" s="33">
        <v>29915</v>
      </c>
      <c r="S1659" s="34">
        <v>42157</v>
      </c>
      <c r="T1659" s="34">
        <v>42157</v>
      </c>
      <c r="U1659" s="29">
        <v>-23.155999999999999</v>
      </c>
      <c r="V1659" s="26">
        <v>1</v>
      </c>
      <c r="W1659" s="29">
        <v>32.659999999999997</v>
      </c>
      <c r="X1659" s="26">
        <v>90335</v>
      </c>
      <c r="Y1659" s="35">
        <v>200.99</v>
      </c>
      <c r="Z1659" s="1" t="s">
        <v>3011</v>
      </c>
      <c r="AA1659" s="36">
        <v>0</v>
      </c>
      <c r="AB1659" s="54">
        <v>19.922599999999999</v>
      </c>
      <c r="AC1659" s="54">
        <v>12.737399999999999</v>
      </c>
      <c r="AD1659" s="36">
        <v>42.835999999999999</v>
      </c>
    </row>
    <row r="1660" spans="1:30" s="37" customFormat="1" ht="15.75" customHeight="1" x14ac:dyDescent="0.2">
      <c r="A1660" s="26">
        <v>210</v>
      </c>
      <c r="B1660" s="27" t="s">
        <v>579</v>
      </c>
      <c r="C1660" s="27" t="s">
        <v>116</v>
      </c>
      <c r="D1660" s="28">
        <v>0.09</v>
      </c>
      <c r="E1660" s="29">
        <v>5.4</v>
      </c>
      <c r="F1660" s="29">
        <v>7.78</v>
      </c>
      <c r="G1660" s="30" t="s">
        <v>87</v>
      </c>
      <c r="H1660" s="27" t="s">
        <v>71</v>
      </c>
      <c r="I1660" s="27" t="s">
        <v>49</v>
      </c>
      <c r="J1660" s="27" t="s">
        <v>72</v>
      </c>
      <c r="K1660" s="27" t="s">
        <v>73</v>
      </c>
      <c r="L1660" s="31" t="s">
        <v>1484</v>
      </c>
      <c r="M1660" s="32">
        <v>0.37</v>
      </c>
      <c r="N1660" s="27" t="s">
        <v>33</v>
      </c>
      <c r="O1660" s="27" t="s">
        <v>111</v>
      </c>
      <c r="P1660" s="27" t="s">
        <v>112</v>
      </c>
      <c r="Q1660" s="27" t="s">
        <v>581</v>
      </c>
      <c r="R1660" s="33">
        <v>12180</v>
      </c>
      <c r="S1660" s="34">
        <v>42157</v>
      </c>
      <c r="T1660" s="34">
        <v>42157</v>
      </c>
      <c r="U1660" s="29">
        <v>-21.487749999999998</v>
      </c>
      <c r="V1660" s="26">
        <v>4</v>
      </c>
      <c r="W1660" s="29">
        <v>27.3</v>
      </c>
      <c r="X1660" s="26">
        <v>85966</v>
      </c>
      <c r="Y1660" s="35">
        <v>136.95999999999998</v>
      </c>
      <c r="Z1660" s="1" t="s">
        <v>3014</v>
      </c>
      <c r="AA1660" s="36">
        <v>1.944</v>
      </c>
      <c r="AB1660" s="54">
        <v>17.199000000000002</v>
      </c>
      <c r="AC1660" s="54">
        <v>2.5252500000000002</v>
      </c>
      <c r="AD1660" s="36">
        <v>39.063749999999999</v>
      </c>
    </row>
    <row r="1661" spans="1:30" s="37" customFormat="1" ht="15.75" customHeight="1" x14ac:dyDescent="0.2">
      <c r="A1661" s="26">
        <v>2268</v>
      </c>
      <c r="B1661" s="27" t="s">
        <v>2748</v>
      </c>
      <c r="C1661" s="27" t="s">
        <v>48</v>
      </c>
      <c r="D1661" s="28">
        <v>0.08</v>
      </c>
      <c r="E1661" s="29">
        <v>259.70999999999998</v>
      </c>
      <c r="F1661" s="29">
        <v>66.67</v>
      </c>
      <c r="G1661" s="30" t="s">
        <v>27</v>
      </c>
      <c r="H1661" s="27" t="s">
        <v>3095</v>
      </c>
      <c r="I1661" s="27" t="s">
        <v>29</v>
      </c>
      <c r="J1661" s="27" t="s">
        <v>30</v>
      </c>
      <c r="K1661" s="27" t="s">
        <v>31</v>
      </c>
      <c r="L1661" s="31" t="s">
        <v>1026</v>
      </c>
      <c r="M1661" s="32">
        <v>0.61</v>
      </c>
      <c r="N1661" s="27" t="s">
        <v>33</v>
      </c>
      <c r="O1661" s="27" t="s">
        <v>34</v>
      </c>
      <c r="P1661" s="27" t="s">
        <v>123</v>
      </c>
      <c r="Q1661" s="27" t="s">
        <v>2749</v>
      </c>
      <c r="R1661" s="33">
        <v>34639</v>
      </c>
      <c r="S1661" s="34">
        <v>42158</v>
      </c>
      <c r="T1661" s="34">
        <v>42162</v>
      </c>
      <c r="U1661" s="29">
        <v>138.22200000000001</v>
      </c>
      <c r="V1661" s="26">
        <v>17</v>
      </c>
      <c r="W1661" s="29">
        <v>4086.5</v>
      </c>
      <c r="X1661" s="26">
        <v>89571</v>
      </c>
      <c r="Y1661" s="35">
        <v>2.52</v>
      </c>
      <c r="Z1661" s="1" t="s">
        <v>3011</v>
      </c>
      <c r="AA1661" s="36">
        <v>353.20559999999995</v>
      </c>
      <c r="AB1661" s="54">
        <v>1593.7350000000001</v>
      </c>
      <c r="AC1661" s="54">
        <v>146.63323529411764</v>
      </c>
      <c r="AD1661" s="36">
        <v>3528.4023999999999</v>
      </c>
    </row>
    <row r="1662" spans="1:30" s="37" customFormat="1" ht="15.75" customHeight="1" x14ac:dyDescent="0.2">
      <c r="A1662" s="26">
        <v>87</v>
      </c>
      <c r="B1662" s="27" t="s">
        <v>1786</v>
      </c>
      <c r="C1662" s="27" t="s">
        <v>48</v>
      </c>
      <c r="D1662" s="28">
        <v>0.05</v>
      </c>
      <c r="E1662" s="29">
        <v>161.55000000000001</v>
      </c>
      <c r="F1662" s="29">
        <v>19.989999999999998</v>
      </c>
      <c r="G1662" s="30" t="s">
        <v>39</v>
      </c>
      <c r="H1662" s="27" t="s">
        <v>94</v>
      </c>
      <c r="I1662" s="27" t="s">
        <v>49</v>
      </c>
      <c r="J1662" s="27" t="s">
        <v>78</v>
      </c>
      <c r="K1662" s="27" t="s">
        <v>73</v>
      </c>
      <c r="L1662" s="31" t="s">
        <v>79</v>
      </c>
      <c r="M1662" s="32">
        <v>0.66</v>
      </c>
      <c r="N1662" s="27" t="s">
        <v>33</v>
      </c>
      <c r="O1662" s="27" t="s">
        <v>60</v>
      </c>
      <c r="P1662" s="27" t="s">
        <v>90</v>
      </c>
      <c r="Q1662" s="27" t="s">
        <v>1787</v>
      </c>
      <c r="R1662" s="33">
        <v>95687</v>
      </c>
      <c r="S1662" s="34">
        <v>42158</v>
      </c>
      <c r="T1662" s="34">
        <v>42163</v>
      </c>
      <c r="U1662" s="29">
        <v>1892.424</v>
      </c>
      <c r="V1662" s="26">
        <v>19</v>
      </c>
      <c r="W1662" s="29">
        <v>3127.69</v>
      </c>
      <c r="X1662" s="26">
        <v>90596</v>
      </c>
      <c r="Y1662" s="35">
        <v>161.5</v>
      </c>
      <c r="Z1662" s="1" t="s">
        <v>3013</v>
      </c>
      <c r="AA1662" s="36">
        <v>153.47250000000003</v>
      </c>
      <c r="AB1662" s="54">
        <v>1063.4145999999998</v>
      </c>
      <c r="AC1662" s="54">
        <v>108.64607368421052</v>
      </c>
      <c r="AD1662" s="36">
        <v>1061.8035</v>
      </c>
    </row>
    <row r="1663" spans="1:30" s="37" customFormat="1" ht="15.75" customHeight="1" x14ac:dyDescent="0.2">
      <c r="A1663" s="26">
        <v>3151</v>
      </c>
      <c r="B1663" s="27" t="s">
        <v>953</v>
      </c>
      <c r="C1663" s="27" t="s">
        <v>3094</v>
      </c>
      <c r="D1663" s="28">
        <v>0.01</v>
      </c>
      <c r="E1663" s="29">
        <v>145.97999999999999</v>
      </c>
      <c r="F1663" s="29">
        <v>46.2</v>
      </c>
      <c r="G1663" s="30" t="s">
        <v>27</v>
      </c>
      <c r="H1663" s="27" t="s">
        <v>94</v>
      </c>
      <c r="I1663" s="27" t="s">
        <v>29</v>
      </c>
      <c r="J1663" s="27" t="s">
        <v>30</v>
      </c>
      <c r="K1663" s="27" t="s">
        <v>31</v>
      </c>
      <c r="L1663" s="31" t="s">
        <v>2756</v>
      </c>
      <c r="M1663" s="32">
        <v>0.69</v>
      </c>
      <c r="N1663" s="27" t="s">
        <v>33</v>
      </c>
      <c r="O1663" s="27" t="s">
        <v>60</v>
      </c>
      <c r="P1663" s="27" t="s">
        <v>90</v>
      </c>
      <c r="Q1663" s="27" t="s">
        <v>954</v>
      </c>
      <c r="R1663" s="33">
        <v>92277</v>
      </c>
      <c r="S1663" s="34">
        <v>42158</v>
      </c>
      <c r="T1663" s="34">
        <v>42158</v>
      </c>
      <c r="U1663" s="29">
        <v>-134.512</v>
      </c>
      <c r="V1663" s="26">
        <v>9</v>
      </c>
      <c r="W1663" s="29">
        <v>1370.79</v>
      </c>
      <c r="X1663" s="26">
        <v>88543</v>
      </c>
      <c r="Y1663" s="35">
        <v>259.63</v>
      </c>
      <c r="Z1663" s="1" t="s">
        <v>3013</v>
      </c>
      <c r="AA1663" s="36">
        <v>13.138199999999999</v>
      </c>
      <c r="AB1663" s="54">
        <v>424.94490000000008</v>
      </c>
      <c r="AC1663" s="54">
        <v>105.09389999999999</v>
      </c>
      <c r="AD1663" s="36">
        <v>1445.9638</v>
      </c>
    </row>
    <row r="1664" spans="1:30" s="37" customFormat="1" ht="15.75" customHeight="1" x14ac:dyDescent="0.2">
      <c r="A1664" s="26">
        <v>1357</v>
      </c>
      <c r="B1664" s="27" t="s">
        <v>2750</v>
      </c>
      <c r="C1664" s="27" t="s">
        <v>116</v>
      </c>
      <c r="D1664" s="28">
        <v>0.03</v>
      </c>
      <c r="E1664" s="29">
        <v>125.99</v>
      </c>
      <c r="F1664" s="29">
        <v>7.69</v>
      </c>
      <c r="G1664" s="30" t="s">
        <v>39</v>
      </c>
      <c r="H1664" s="27" t="s">
        <v>71</v>
      </c>
      <c r="I1664" s="27" t="s">
        <v>41</v>
      </c>
      <c r="J1664" s="27" t="s">
        <v>135</v>
      </c>
      <c r="K1664" s="27" t="s">
        <v>73</v>
      </c>
      <c r="L1664" s="31" t="s">
        <v>1049</v>
      </c>
      <c r="M1664" s="32">
        <v>0.57999999999999996</v>
      </c>
      <c r="N1664" s="27" t="s">
        <v>33</v>
      </c>
      <c r="O1664" s="27" t="s">
        <v>53</v>
      </c>
      <c r="P1664" s="27" t="s">
        <v>187</v>
      </c>
      <c r="Q1664" s="27" t="s">
        <v>2751</v>
      </c>
      <c r="R1664" s="33">
        <v>78596</v>
      </c>
      <c r="S1664" s="34">
        <v>42158</v>
      </c>
      <c r="T1664" s="34">
        <v>42160</v>
      </c>
      <c r="U1664" s="29">
        <v>500.95800000000003</v>
      </c>
      <c r="V1664" s="26">
        <v>9</v>
      </c>
      <c r="W1664" s="29">
        <v>981.65</v>
      </c>
      <c r="X1664" s="26">
        <v>88184</v>
      </c>
      <c r="Y1664" s="35">
        <v>125.96</v>
      </c>
      <c r="Z1664" s="1" t="s">
        <v>3012</v>
      </c>
      <c r="AA1664" s="36">
        <v>34.017299999999999</v>
      </c>
      <c r="AB1664" s="54">
        <v>412.29300000000001</v>
      </c>
      <c r="AC1664" s="54">
        <v>63.261888888888883</v>
      </c>
      <c r="AD1664" s="36">
        <v>438.98469999999998</v>
      </c>
    </row>
    <row r="1665" spans="1:30" s="37" customFormat="1" ht="15.75" customHeight="1" x14ac:dyDescent="0.2">
      <c r="A1665" s="26">
        <v>1737</v>
      </c>
      <c r="B1665" s="27" t="s">
        <v>2752</v>
      </c>
      <c r="C1665" s="27" t="s">
        <v>3094</v>
      </c>
      <c r="D1665" s="28">
        <v>0.09</v>
      </c>
      <c r="E1665" s="29">
        <v>30.93</v>
      </c>
      <c r="F1665" s="29">
        <v>3.92</v>
      </c>
      <c r="G1665" s="30" t="s">
        <v>39</v>
      </c>
      <c r="H1665" s="27" t="s">
        <v>94</v>
      </c>
      <c r="I1665" s="27" t="s">
        <v>29</v>
      </c>
      <c r="J1665" s="27" t="s">
        <v>126</v>
      </c>
      <c r="K1665" s="27" t="s">
        <v>43</v>
      </c>
      <c r="L1665" s="31" t="s">
        <v>1651</v>
      </c>
      <c r="M1665" s="32">
        <v>0.44</v>
      </c>
      <c r="N1665" s="27" t="s">
        <v>33</v>
      </c>
      <c r="O1665" s="27" t="s">
        <v>34</v>
      </c>
      <c r="P1665" s="27" t="s">
        <v>97</v>
      </c>
      <c r="Q1665" s="27" t="s">
        <v>1554</v>
      </c>
      <c r="R1665" s="33">
        <v>27529</v>
      </c>
      <c r="S1665" s="34">
        <v>42158</v>
      </c>
      <c r="T1665" s="34">
        <v>42160</v>
      </c>
      <c r="U1665" s="29">
        <v>-130.42400000000001</v>
      </c>
      <c r="V1665" s="26">
        <v>16</v>
      </c>
      <c r="W1665" s="29">
        <v>451.83</v>
      </c>
      <c r="X1665" s="26">
        <v>85866</v>
      </c>
      <c r="Y1665" s="35">
        <v>30.84</v>
      </c>
      <c r="Z1665" s="1" t="s">
        <v>3011</v>
      </c>
      <c r="AA1665" s="36">
        <v>44.539200000000001</v>
      </c>
      <c r="AB1665" s="54">
        <v>253.02480000000003</v>
      </c>
      <c r="AC1665" s="54">
        <v>12.425324999999999</v>
      </c>
      <c r="AD1665" s="36">
        <v>533.79480000000001</v>
      </c>
    </row>
    <row r="1666" spans="1:30" s="37" customFormat="1" ht="15.75" customHeight="1" x14ac:dyDescent="0.2">
      <c r="A1666" s="26">
        <v>1389</v>
      </c>
      <c r="B1666" s="27" t="s">
        <v>769</v>
      </c>
      <c r="C1666" s="27" t="s">
        <v>38</v>
      </c>
      <c r="D1666" s="28">
        <v>0.09</v>
      </c>
      <c r="E1666" s="29">
        <v>2.61</v>
      </c>
      <c r="F1666" s="29">
        <v>0.5</v>
      </c>
      <c r="G1666" s="30" t="s">
        <v>39</v>
      </c>
      <c r="H1666" s="27" t="s">
        <v>40</v>
      </c>
      <c r="I1666" s="27" t="s">
        <v>49</v>
      </c>
      <c r="J1666" s="27" t="s">
        <v>152</v>
      </c>
      <c r="K1666" s="27" t="s">
        <v>73</v>
      </c>
      <c r="L1666" s="31" t="s">
        <v>1367</v>
      </c>
      <c r="M1666" s="32">
        <v>0.39</v>
      </c>
      <c r="N1666" s="27" t="s">
        <v>33</v>
      </c>
      <c r="O1666" s="27" t="s">
        <v>60</v>
      </c>
      <c r="P1666" s="27" t="s">
        <v>90</v>
      </c>
      <c r="Q1666" s="27" t="s">
        <v>771</v>
      </c>
      <c r="R1666" s="33">
        <v>94025</v>
      </c>
      <c r="S1666" s="34">
        <v>42158</v>
      </c>
      <c r="T1666" s="34">
        <v>42160</v>
      </c>
      <c r="U1666" s="29">
        <v>29.380199999999999</v>
      </c>
      <c r="V1666" s="26">
        <v>17</v>
      </c>
      <c r="W1666" s="29">
        <v>42.58</v>
      </c>
      <c r="X1666" s="26">
        <v>88729</v>
      </c>
      <c r="Y1666" s="35">
        <v>1.65</v>
      </c>
      <c r="Z1666" s="1" t="s">
        <v>3013</v>
      </c>
      <c r="AA1666" s="36">
        <v>3.9932999999999996</v>
      </c>
      <c r="AB1666" s="54">
        <v>25.973799999999997</v>
      </c>
      <c r="AC1666" s="54">
        <v>0.97683529411764702</v>
      </c>
      <c r="AD1666" s="36">
        <v>8.7064999999999984</v>
      </c>
    </row>
    <row r="1667" spans="1:30" s="37" customFormat="1" ht="15.75" customHeight="1" x14ac:dyDescent="0.2">
      <c r="A1667" s="26">
        <v>1737</v>
      </c>
      <c r="B1667" s="27" t="s">
        <v>2752</v>
      </c>
      <c r="C1667" s="27" t="s">
        <v>3094</v>
      </c>
      <c r="D1667" s="28">
        <v>0.03</v>
      </c>
      <c r="E1667" s="29">
        <v>1.68</v>
      </c>
      <c r="F1667" s="29">
        <v>0.7</v>
      </c>
      <c r="G1667" s="30" t="s">
        <v>87</v>
      </c>
      <c r="H1667" s="27" t="s">
        <v>94</v>
      </c>
      <c r="I1667" s="27" t="s">
        <v>49</v>
      </c>
      <c r="J1667" s="27" t="s">
        <v>50</v>
      </c>
      <c r="K1667" s="27" t="s">
        <v>51</v>
      </c>
      <c r="L1667" s="31" t="s">
        <v>2753</v>
      </c>
      <c r="M1667" s="32">
        <v>0.6</v>
      </c>
      <c r="N1667" s="27" t="s">
        <v>33</v>
      </c>
      <c r="O1667" s="27" t="s">
        <v>34</v>
      </c>
      <c r="P1667" s="27" t="s">
        <v>97</v>
      </c>
      <c r="Q1667" s="27" t="s">
        <v>1554</v>
      </c>
      <c r="R1667" s="33">
        <v>27529</v>
      </c>
      <c r="S1667" s="34">
        <v>42158</v>
      </c>
      <c r="T1667" s="34">
        <v>42160</v>
      </c>
      <c r="U1667" s="29">
        <v>-106.42100000000001</v>
      </c>
      <c r="V1667" s="26">
        <v>11</v>
      </c>
      <c r="W1667" s="29">
        <v>20.239999999999998</v>
      </c>
      <c r="X1667" s="26">
        <v>85866</v>
      </c>
      <c r="Y1667" s="35">
        <v>4.3600000000000003</v>
      </c>
      <c r="Z1667" s="1" t="s">
        <v>3011</v>
      </c>
      <c r="AA1667" s="36">
        <v>0.55439999999999989</v>
      </c>
      <c r="AB1667" s="54">
        <v>8.0960000000000001</v>
      </c>
      <c r="AC1667" s="54">
        <v>1.1039999999999999</v>
      </c>
      <c r="AD1667" s="36">
        <v>125.4066</v>
      </c>
    </row>
    <row r="1668" spans="1:30" s="37" customFormat="1" ht="15.75" customHeight="1" x14ac:dyDescent="0.2">
      <c r="A1668" s="26">
        <v>1998</v>
      </c>
      <c r="B1668" s="27" t="s">
        <v>2754</v>
      </c>
      <c r="C1668" s="27" t="s">
        <v>3094</v>
      </c>
      <c r="D1668" s="28">
        <v>0.06</v>
      </c>
      <c r="E1668" s="29">
        <v>4.42</v>
      </c>
      <c r="F1668" s="29">
        <v>4.99</v>
      </c>
      <c r="G1668" s="30" t="s">
        <v>39</v>
      </c>
      <c r="H1668" s="27" t="s">
        <v>94</v>
      </c>
      <c r="I1668" s="27" t="s">
        <v>49</v>
      </c>
      <c r="J1668" s="27" t="s">
        <v>345</v>
      </c>
      <c r="K1668" s="27" t="s">
        <v>73</v>
      </c>
      <c r="L1668" s="31" t="s">
        <v>2072</v>
      </c>
      <c r="M1668" s="32">
        <v>0.38</v>
      </c>
      <c r="N1668" s="27" t="s">
        <v>33</v>
      </c>
      <c r="O1668" s="27" t="s">
        <v>111</v>
      </c>
      <c r="P1668" s="27" t="s">
        <v>112</v>
      </c>
      <c r="Q1668" s="27" t="s">
        <v>2755</v>
      </c>
      <c r="R1668" s="33">
        <v>11758</v>
      </c>
      <c r="S1668" s="34">
        <v>42158</v>
      </c>
      <c r="T1668" s="34">
        <v>42160</v>
      </c>
      <c r="U1668" s="29">
        <v>-10.435</v>
      </c>
      <c r="V1668" s="26">
        <v>3</v>
      </c>
      <c r="W1668" s="29">
        <v>14.85</v>
      </c>
      <c r="X1668" s="26">
        <v>90568</v>
      </c>
      <c r="Y1668" s="35">
        <v>145.97</v>
      </c>
      <c r="Z1668" s="1" t="s">
        <v>3014</v>
      </c>
      <c r="AA1668" s="36">
        <v>0.79559999999999997</v>
      </c>
      <c r="AB1668" s="54">
        <v>9.206999999999999</v>
      </c>
      <c r="AC1668" s="54">
        <v>1.881</v>
      </c>
      <c r="AD1668" s="36">
        <v>19.499400000000001</v>
      </c>
    </row>
    <row r="1669" spans="1:30" s="37" customFormat="1" ht="15.75" customHeight="1" x14ac:dyDescent="0.2">
      <c r="A1669" s="26">
        <v>1233</v>
      </c>
      <c r="B1669" s="27" t="s">
        <v>2097</v>
      </c>
      <c r="C1669" s="27" t="s">
        <v>38</v>
      </c>
      <c r="D1669" s="28">
        <v>0.04</v>
      </c>
      <c r="E1669" s="29">
        <v>205.99</v>
      </c>
      <c r="F1669" s="29">
        <v>5.26</v>
      </c>
      <c r="G1669" s="30" t="s">
        <v>39</v>
      </c>
      <c r="H1669" s="27" t="s">
        <v>40</v>
      </c>
      <c r="I1669" s="27" t="s">
        <v>41</v>
      </c>
      <c r="J1669" s="27" t="s">
        <v>135</v>
      </c>
      <c r="K1669" s="27" t="s">
        <v>73</v>
      </c>
      <c r="L1669" s="31" t="s">
        <v>1552</v>
      </c>
      <c r="M1669" s="32">
        <v>0.56000000000000005</v>
      </c>
      <c r="N1669" s="27" t="s">
        <v>33</v>
      </c>
      <c r="O1669" s="27" t="s">
        <v>53</v>
      </c>
      <c r="P1669" s="27" t="s">
        <v>187</v>
      </c>
      <c r="Q1669" s="27" t="s">
        <v>2098</v>
      </c>
      <c r="R1669" s="33">
        <v>75028</v>
      </c>
      <c r="S1669" s="34">
        <v>42159</v>
      </c>
      <c r="T1669" s="34">
        <v>42160</v>
      </c>
      <c r="U1669" s="29">
        <v>-0.81399999999999995</v>
      </c>
      <c r="V1669" s="26">
        <v>6</v>
      </c>
      <c r="W1669" s="29">
        <v>1018.61</v>
      </c>
      <c r="X1669" s="26">
        <v>89376</v>
      </c>
      <c r="Y1669" s="35">
        <v>218.69</v>
      </c>
      <c r="Z1669" s="1" t="s">
        <v>3012</v>
      </c>
      <c r="AA1669" s="36">
        <v>49.437600000000003</v>
      </c>
      <c r="AB1669" s="54">
        <v>448.18839999999994</v>
      </c>
      <c r="AC1669" s="54">
        <v>95.070266666666683</v>
      </c>
      <c r="AD1669" s="36">
        <v>964.72640000000001</v>
      </c>
    </row>
    <row r="1670" spans="1:30" s="37" customFormat="1" ht="15.75" customHeight="1" x14ac:dyDescent="0.2">
      <c r="A1670" s="26">
        <v>2391</v>
      </c>
      <c r="B1670" s="27" t="s">
        <v>2678</v>
      </c>
      <c r="C1670" s="27" t="s">
        <v>3094</v>
      </c>
      <c r="D1670" s="28">
        <v>0</v>
      </c>
      <c r="E1670" s="29">
        <v>999.99</v>
      </c>
      <c r="F1670" s="29">
        <v>13.99</v>
      </c>
      <c r="G1670" s="30" t="s">
        <v>39</v>
      </c>
      <c r="H1670" s="27" t="s">
        <v>94</v>
      </c>
      <c r="I1670" s="27" t="s">
        <v>41</v>
      </c>
      <c r="J1670" s="27" t="s">
        <v>57</v>
      </c>
      <c r="K1670" s="27" t="s">
        <v>144</v>
      </c>
      <c r="L1670" s="31" t="s">
        <v>1016</v>
      </c>
      <c r="M1670" s="32">
        <v>0.36</v>
      </c>
      <c r="N1670" s="27" t="s">
        <v>33</v>
      </c>
      <c r="O1670" s="27" t="s">
        <v>111</v>
      </c>
      <c r="P1670" s="27" t="s">
        <v>112</v>
      </c>
      <c r="Q1670" s="27" t="s">
        <v>2680</v>
      </c>
      <c r="R1670" s="33">
        <v>11572</v>
      </c>
      <c r="S1670" s="34">
        <v>42159</v>
      </c>
      <c r="T1670" s="34">
        <v>42161</v>
      </c>
      <c r="U1670" s="29">
        <v>-1455.9972</v>
      </c>
      <c r="V1670" s="26">
        <v>1</v>
      </c>
      <c r="W1670" s="29">
        <v>1009.99</v>
      </c>
      <c r="X1670" s="26">
        <v>91123</v>
      </c>
      <c r="Y1670" s="35">
        <v>99.899999999999991</v>
      </c>
      <c r="Z1670" s="1" t="s">
        <v>3014</v>
      </c>
      <c r="AA1670" s="36">
        <v>0</v>
      </c>
      <c r="AB1670" s="54">
        <v>646.39359999999999</v>
      </c>
      <c r="AC1670" s="54">
        <v>363.59640000000002</v>
      </c>
      <c r="AD1670" s="36">
        <v>2451.9971999999998</v>
      </c>
    </row>
    <row r="1671" spans="1:30" s="37" customFormat="1" ht="15.75" customHeight="1" x14ac:dyDescent="0.2">
      <c r="A1671" s="26">
        <v>754</v>
      </c>
      <c r="B1671" s="27" t="s">
        <v>2150</v>
      </c>
      <c r="C1671" s="27" t="s">
        <v>38</v>
      </c>
      <c r="D1671" s="28">
        <v>0.06</v>
      </c>
      <c r="E1671" s="29">
        <v>218.75</v>
      </c>
      <c r="F1671" s="29">
        <v>69.64</v>
      </c>
      <c r="G1671" s="30" t="s">
        <v>27</v>
      </c>
      <c r="H1671" s="27" t="s">
        <v>94</v>
      </c>
      <c r="I1671" s="27" t="s">
        <v>29</v>
      </c>
      <c r="J1671" s="27" t="s">
        <v>30</v>
      </c>
      <c r="K1671" s="27" t="s">
        <v>31</v>
      </c>
      <c r="L1671" s="31" t="s">
        <v>874</v>
      </c>
      <c r="M1671" s="32">
        <v>0.77</v>
      </c>
      <c r="N1671" s="27" t="s">
        <v>33</v>
      </c>
      <c r="O1671" s="27" t="s">
        <v>60</v>
      </c>
      <c r="P1671" s="27" t="s">
        <v>588</v>
      </c>
      <c r="Q1671" s="27" t="s">
        <v>2152</v>
      </c>
      <c r="R1671" s="33">
        <v>86314</v>
      </c>
      <c r="S1671" s="34">
        <v>42159</v>
      </c>
      <c r="T1671" s="34">
        <v>42160</v>
      </c>
      <c r="U1671" s="29">
        <v>-453.2</v>
      </c>
      <c r="V1671" s="26">
        <v>4</v>
      </c>
      <c r="W1671" s="29">
        <v>905.4</v>
      </c>
      <c r="X1671" s="26">
        <v>90437</v>
      </c>
      <c r="Y1671" s="35">
        <v>205.95000000000002</v>
      </c>
      <c r="Z1671" s="1" t="s">
        <v>3013</v>
      </c>
      <c r="AA1671" s="36">
        <v>52.5</v>
      </c>
      <c r="AB1671" s="54">
        <v>208.24199999999999</v>
      </c>
      <c r="AC1671" s="54">
        <v>174.2895</v>
      </c>
      <c r="AD1671" s="36">
        <v>1236.46</v>
      </c>
    </row>
    <row r="1672" spans="1:30" s="37" customFormat="1" ht="15.75" customHeight="1" x14ac:dyDescent="0.2">
      <c r="A1672" s="26">
        <v>3238</v>
      </c>
      <c r="B1672" s="27" t="s">
        <v>2757</v>
      </c>
      <c r="C1672" s="27" t="s">
        <v>48</v>
      </c>
      <c r="D1672" s="28">
        <v>0.06</v>
      </c>
      <c r="E1672" s="29">
        <v>115.99</v>
      </c>
      <c r="F1672" s="29">
        <v>5.92</v>
      </c>
      <c r="G1672" s="30" t="s">
        <v>39</v>
      </c>
      <c r="H1672" s="27" t="s">
        <v>94</v>
      </c>
      <c r="I1672" s="27" t="s">
        <v>41</v>
      </c>
      <c r="J1672" s="27" t="s">
        <v>135</v>
      </c>
      <c r="K1672" s="27" t="s">
        <v>73</v>
      </c>
      <c r="L1672" s="31" t="s">
        <v>712</v>
      </c>
      <c r="M1672" s="32">
        <v>0.57999999999999996</v>
      </c>
      <c r="N1672" s="27" t="s">
        <v>33</v>
      </c>
      <c r="O1672" s="27" t="s">
        <v>60</v>
      </c>
      <c r="P1672" s="27" t="s">
        <v>139</v>
      </c>
      <c r="Q1672" s="27" t="s">
        <v>2758</v>
      </c>
      <c r="R1672" s="33">
        <v>97330</v>
      </c>
      <c r="S1672" s="34">
        <v>42159</v>
      </c>
      <c r="T1672" s="34">
        <v>42161</v>
      </c>
      <c r="U1672" s="29">
        <v>-13.068</v>
      </c>
      <c r="V1672" s="26">
        <v>5</v>
      </c>
      <c r="W1672" s="29">
        <v>495.82</v>
      </c>
      <c r="X1672" s="26">
        <v>89564</v>
      </c>
      <c r="Y1672" s="35">
        <v>115.92999999999999</v>
      </c>
      <c r="Z1672" s="1" t="s">
        <v>3013</v>
      </c>
      <c r="AA1672" s="36">
        <v>34.796999999999997</v>
      </c>
      <c r="AB1672" s="54">
        <v>208.24440000000001</v>
      </c>
      <c r="AC1672" s="54">
        <v>57.515119999999996</v>
      </c>
      <c r="AD1672" s="36">
        <v>468.17099999999999</v>
      </c>
    </row>
    <row r="1673" spans="1:30" s="37" customFormat="1" ht="15.75" customHeight="1" x14ac:dyDescent="0.2">
      <c r="A1673" s="26">
        <v>2548</v>
      </c>
      <c r="B1673" s="27" t="s">
        <v>1984</v>
      </c>
      <c r="C1673" s="27" t="s">
        <v>3094</v>
      </c>
      <c r="D1673" s="28">
        <v>0.09</v>
      </c>
      <c r="E1673" s="29">
        <v>5.98</v>
      </c>
      <c r="F1673" s="29">
        <v>1.67</v>
      </c>
      <c r="G1673" s="30" t="s">
        <v>39</v>
      </c>
      <c r="H1673" s="27" t="s">
        <v>3095</v>
      </c>
      <c r="I1673" s="27" t="s">
        <v>49</v>
      </c>
      <c r="J1673" s="27" t="s">
        <v>50</v>
      </c>
      <c r="K1673" s="27" t="s">
        <v>51</v>
      </c>
      <c r="L1673" s="31" t="s">
        <v>2759</v>
      </c>
      <c r="M1673" s="32">
        <v>0.51</v>
      </c>
      <c r="N1673" s="27" t="s">
        <v>33</v>
      </c>
      <c r="O1673" s="27" t="s">
        <v>60</v>
      </c>
      <c r="P1673" s="27" t="s">
        <v>90</v>
      </c>
      <c r="Q1673" s="27" t="s">
        <v>100</v>
      </c>
      <c r="R1673" s="33">
        <v>90068</v>
      </c>
      <c r="S1673" s="34">
        <v>42159</v>
      </c>
      <c r="T1673" s="34">
        <v>42162</v>
      </c>
      <c r="U1673" s="29">
        <v>23.87</v>
      </c>
      <c r="V1673" s="26">
        <v>81</v>
      </c>
      <c r="W1673" s="29">
        <v>448.26</v>
      </c>
      <c r="X1673" s="26">
        <v>29889</v>
      </c>
      <c r="Y1673" s="35">
        <v>999.99</v>
      </c>
      <c r="Z1673" s="1" t="s">
        <v>3013</v>
      </c>
      <c r="AA1673" s="36">
        <v>43.594200000000001</v>
      </c>
      <c r="AB1673" s="54">
        <v>219.6474</v>
      </c>
      <c r="AC1673" s="54">
        <v>2.8223777777777781</v>
      </c>
      <c r="AD1673" s="36">
        <v>379.12580000000003</v>
      </c>
    </row>
    <row r="1674" spans="1:30" s="37" customFormat="1" ht="15.75" customHeight="1" x14ac:dyDescent="0.2">
      <c r="A1674" s="26">
        <v>2549</v>
      </c>
      <c r="B1674" s="27" t="s">
        <v>2251</v>
      </c>
      <c r="C1674" s="27" t="s">
        <v>3094</v>
      </c>
      <c r="D1674" s="28">
        <v>0.09</v>
      </c>
      <c r="E1674" s="29">
        <v>5.98</v>
      </c>
      <c r="F1674" s="29">
        <v>1.67</v>
      </c>
      <c r="G1674" s="30" t="s">
        <v>39</v>
      </c>
      <c r="H1674" s="27" t="s">
        <v>3095</v>
      </c>
      <c r="I1674" s="27" t="s">
        <v>49</v>
      </c>
      <c r="J1674" s="27" t="s">
        <v>50</v>
      </c>
      <c r="K1674" s="27" t="s">
        <v>51</v>
      </c>
      <c r="L1674" s="31" t="s">
        <v>2759</v>
      </c>
      <c r="M1674" s="32">
        <v>0.51</v>
      </c>
      <c r="N1674" s="27" t="s">
        <v>33</v>
      </c>
      <c r="O1674" s="27" t="s">
        <v>111</v>
      </c>
      <c r="P1674" s="27" t="s">
        <v>317</v>
      </c>
      <c r="Q1674" s="27" t="s">
        <v>2252</v>
      </c>
      <c r="R1674" s="33">
        <v>43213</v>
      </c>
      <c r="S1674" s="34">
        <v>42159</v>
      </c>
      <c r="T1674" s="34">
        <v>42162</v>
      </c>
      <c r="U1674" s="29">
        <v>35.805</v>
      </c>
      <c r="V1674" s="26">
        <v>20</v>
      </c>
      <c r="W1674" s="29">
        <v>110.68</v>
      </c>
      <c r="X1674" s="26">
        <v>88658</v>
      </c>
      <c r="Y1674" s="35">
        <v>6.4300000000000006</v>
      </c>
      <c r="Z1674" s="1" t="s">
        <v>3014</v>
      </c>
      <c r="AA1674" s="36">
        <v>10.763999999999999</v>
      </c>
      <c r="AB1674" s="54">
        <v>54.233200000000004</v>
      </c>
      <c r="AC1674" s="54">
        <v>2.8223400000000005</v>
      </c>
      <c r="AD1674" s="36">
        <v>62.441000000000003</v>
      </c>
    </row>
    <row r="1675" spans="1:30" s="37" customFormat="1" ht="15.75" customHeight="1" x14ac:dyDescent="0.2">
      <c r="A1675" s="26">
        <v>1233</v>
      </c>
      <c r="B1675" s="27" t="s">
        <v>2097</v>
      </c>
      <c r="C1675" s="27" t="s">
        <v>38</v>
      </c>
      <c r="D1675" s="28">
        <v>0.09</v>
      </c>
      <c r="E1675" s="29">
        <v>99.99</v>
      </c>
      <c r="F1675" s="29">
        <v>19.989999999999998</v>
      </c>
      <c r="G1675" s="30" t="s">
        <v>39</v>
      </c>
      <c r="H1675" s="27" t="s">
        <v>40</v>
      </c>
      <c r="I1675" s="27" t="s">
        <v>41</v>
      </c>
      <c r="J1675" s="27" t="s">
        <v>42</v>
      </c>
      <c r="K1675" s="27" t="s">
        <v>73</v>
      </c>
      <c r="L1675" s="31" t="s">
        <v>1580</v>
      </c>
      <c r="M1675" s="32">
        <v>0.52</v>
      </c>
      <c r="N1675" s="27" t="s">
        <v>33</v>
      </c>
      <c r="O1675" s="27" t="s">
        <v>53</v>
      </c>
      <c r="P1675" s="27" t="s">
        <v>187</v>
      </c>
      <c r="Q1675" s="27" t="s">
        <v>2098</v>
      </c>
      <c r="R1675" s="33">
        <v>75028</v>
      </c>
      <c r="S1675" s="34">
        <v>42159</v>
      </c>
      <c r="T1675" s="34">
        <v>42161</v>
      </c>
      <c r="U1675" s="29">
        <v>-161.47499999999999</v>
      </c>
      <c r="V1675" s="26">
        <v>1</v>
      </c>
      <c r="W1675" s="29">
        <v>97.65</v>
      </c>
      <c r="X1675" s="26">
        <v>89376</v>
      </c>
      <c r="Y1675" s="35">
        <v>5.8900000000000006</v>
      </c>
      <c r="Z1675" s="1" t="s">
        <v>3012</v>
      </c>
      <c r="AA1675" s="36">
        <v>8.9990999999999985</v>
      </c>
      <c r="AB1675" s="54">
        <v>46.872</v>
      </c>
      <c r="AC1675" s="54">
        <v>50.778000000000006</v>
      </c>
      <c r="AD1675" s="36">
        <v>230.13589999999999</v>
      </c>
    </row>
    <row r="1676" spans="1:30" s="37" customFormat="1" ht="15.75" customHeight="1" x14ac:dyDescent="0.2">
      <c r="A1676" s="26">
        <v>2391</v>
      </c>
      <c r="B1676" s="27" t="s">
        <v>2678</v>
      </c>
      <c r="C1676" s="27" t="s">
        <v>3094</v>
      </c>
      <c r="D1676" s="28">
        <v>0.05</v>
      </c>
      <c r="E1676" s="29">
        <v>6.48</v>
      </c>
      <c r="F1676" s="29">
        <v>5.14</v>
      </c>
      <c r="G1676" s="30" t="s">
        <v>87</v>
      </c>
      <c r="H1676" s="27" t="s">
        <v>94</v>
      </c>
      <c r="I1676" s="27" t="s">
        <v>49</v>
      </c>
      <c r="J1676" s="27" t="s">
        <v>88</v>
      </c>
      <c r="K1676" s="27" t="s">
        <v>73</v>
      </c>
      <c r="L1676" s="31" t="s">
        <v>1745</v>
      </c>
      <c r="M1676" s="32">
        <v>0.37</v>
      </c>
      <c r="N1676" s="27" t="s">
        <v>33</v>
      </c>
      <c r="O1676" s="27" t="s">
        <v>111</v>
      </c>
      <c r="P1676" s="27" t="s">
        <v>112</v>
      </c>
      <c r="Q1676" s="27" t="s">
        <v>2680</v>
      </c>
      <c r="R1676" s="33">
        <v>11572</v>
      </c>
      <c r="S1676" s="34">
        <v>42159</v>
      </c>
      <c r="T1676" s="34">
        <v>42160</v>
      </c>
      <c r="U1676" s="29">
        <v>-22.56</v>
      </c>
      <c r="V1676" s="26">
        <v>13</v>
      </c>
      <c r="W1676" s="29">
        <v>92.16</v>
      </c>
      <c r="X1676" s="26">
        <v>91123</v>
      </c>
      <c r="Y1676" s="35">
        <v>5.8900000000000006</v>
      </c>
      <c r="Z1676" s="1" t="s">
        <v>3014</v>
      </c>
      <c r="AA1676" s="36">
        <v>4.2120000000000006</v>
      </c>
      <c r="AB1676" s="54">
        <v>58.0608</v>
      </c>
      <c r="AC1676" s="54">
        <v>2.6230153846153845</v>
      </c>
      <c r="AD1676" s="36">
        <v>105.36799999999999</v>
      </c>
    </row>
    <row r="1677" spans="1:30" s="37" customFormat="1" ht="15.75" customHeight="1" x14ac:dyDescent="0.2">
      <c r="A1677" s="26">
        <v>2507</v>
      </c>
      <c r="B1677" s="27" t="s">
        <v>2767</v>
      </c>
      <c r="C1677" s="27" t="s">
        <v>116</v>
      </c>
      <c r="D1677" s="28">
        <v>0.06</v>
      </c>
      <c r="E1677" s="29">
        <v>699.99</v>
      </c>
      <c r="F1677" s="29">
        <v>24.49</v>
      </c>
      <c r="G1677" s="30" t="s">
        <v>87</v>
      </c>
      <c r="H1677" s="27" t="s">
        <v>71</v>
      </c>
      <c r="I1677" s="27" t="s">
        <v>41</v>
      </c>
      <c r="J1677" s="27" t="s">
        <v>64</v>
      </c>
      <c r="K1677" s="27" t="s">
        <v>65</v>
      </c>
      <c r="L1677" s="31" t="s">
        <v>313</v>
      </c>
      <c r="M1677" s="32">
        <v>0.41</v>
      </c>
      <c r="N1677" s="27" t="s">
        <v>33</v>
      </c>
      <c r="O1677" s="27" t="s">
        <v>111</v>
      </c>
      <c r="P1677" s="27" t="s">
        <v>331</v>
      </c>
      <c r="Q1677" s="27" t="s">
        <v>887</v>
      </c>
      <c r="R1677" s="33">
        <v>4401</v>
      </c>
      <c r="S1677" s="34">
        <v>42160</v>
      </c>
      <c r="T1677" s="34">
        <v>42162</v>
      </c>
      <c r="U1677" s="29">
        <v>7024.2069000000001</v>
      </c>
      <c r="V1677" s="26">
        <v>15</v>
      </c>
      <c r="W1677" s="29">
        <v>10180.01</v>
      </c>
      <c r="X1677" s="26">
        <v>87033</v>
      </c>
      <c r="Y1677" s="35">
        <v>363.16</v>
      </c>
      <c r="Z1677" s="1" t="s">
        <v>3014</v>
      </c>
      <c r="AA1677" s="36">
        <v>629.99099999999999</v>
      </c>
      <c r="AB1677" s="54">
        <v>6006.2059000000008</v>
      </c>
      <c r="AC1677" s="54">
        <v>278.25360666666666</v>
      </c>
      <c r="AD1677" s="36">
        <v>2501.3221000000003</v>
      </c>
    </row>
    <row r="1678" spans="1:30" s="37" customFormat="1" ht="15.75" customHeight="1" x14ac:dyDescent="0.2">
      <c r="A1678" s="26">
        <v>2882</v>
      </c>
      <c r="B1678" s="27" t="s">
        <v>671</v>
      </c>
      <c r="C1678" s="27" t="s">
        <v>38</v>
      </c>
      <c r="D1678" s="28">
        <v>0.09</v>
      </c>
      <c r="E1678" s="29">
        <v>363.25</v>
      </c>
      <c r="F1678" s="29">
        <v>19.989999999999998</v>
      </c>
      <c r="G1678" s="30" t="s">
        <v>39</v>
      </c>
      <c r="H1678" s="27" t="s">
        <v>40</v>
      </c>
      <c r="I1678" s="27" t="s">
        <v>49</v>
      </c>
      <c r="J1678" s="27" t="s">
        <v>95</v>
      </c>
      <c r="K1678" s="27" t="s">
        <v>73</v>
      </c>
      <c r="L1678" s="31" t="s">
        <v>199</v>
      </c>
      <c r="M1678" s="32">
        <v>0.56999999999999995</v>
      </c>
      <c r="N1678" s="27" t="s">
        <v>33</v>
      </c>
      <c r="O1678" s="27" t="s">
        <v>34</v>
      </c>
      <c r="P1678" s="27" t="s">
        <v>97</v>
      </c>
      <c r="Q1678" s="27" t="s">
        <v>673</v>
      </c>
      <c r="R1678" s="33">
        <v>28206</v>
      </c>
      <c r="S1678" s="34">
        <v>42160</v>
      </c>
      <c r="T1678" s="34">
        <v>42161</v>
      </c>
      <c r="U1678" s="29">
        <v>732.26980000000003</v>
      </c>
      <c r="V1678" s="26">
        <v>21</v>
      </c>
      <c r="W1678" s="29">
        <v>7497.05</v>
      </c>
      <c r="X1678" s="26">
        <v>21958</v>
      </c>
      <c r="Y1678" s="35">
        <v>363.16</v>
      </c>
      <c r="Z1678" s="1" t="s">
        <v>3011</v>
      </c>
      <c r="AA1678" s="36">
        <v>686.5424999999999</v>
      </c>
      <c r="AB1678" s="54">
        <v>3223.7315000000003</v>
      </c>
      <c r="AC1678" s="54">
        <v>203.49135714285714</v>
      </c>
      <c r="AD1678" s="36">
        <v>6058.2476999999999</v>
      </c>
    </row>
    <row r="1679" spans="1:30" s="37" customFormat="1" ht="15.75" customHeight="1" x14ac:dyDescent="0.2">
      <c r="A1679" s="26">
        <v>2522</v>
      </c>
      <c r="B1679" s="27" t="s">
        <v>2771</v>
      </c>
      <c r="C1679" s="27" t="s">
        <v>116</v>
      </c>
      <c r="D1679" s="28">
        <v>0.04</v>
      </c>
      <c r="E1679" s="29">
        <v>1360.14</v>
      </c>
      <c r="F1679" s="29">
        <v>14.7</v>
      </c>
      <c r="G1679" s="30" t="s">
        <v>27</v>
      </c>
      <c r="H1679" s="27" t="s">
        <v>71</v>
      </c>
      <c r="I1679" s="27" t="s">
        <v>41</v>
      </c>
      <c r="J1679" s="27" t="s">
        <v>57</v>
      </c>
      <c r="K1679" s="27" t="s">
        <v>58</v>
      </c>
      <c r="L1679" s="31" t="s">
        <v>2772</v>
      </c>
      <c r="M1679" s="32">
        <v>0.59</v>
      </c>
      <c r="N1679" s="27" t="s">
        <v>33</v>
      </c>
      <c r="O1679" s="27" t="s">
        <v>111</v>
      </c>
      <c r="P1679" s="27" t="s">
        <v>633</v>
      </c>
      <c r="Q1679" s="27" t="s">
        <v>928</v>
      </c>
      <c r="R1679" s="33">
        <v>5401</v>
      </c>
      <c r="S1679" s="34">
        <v>42160</v>
      </c>
      <c r="T1679" s="34">
        <v>42163</v>
      </c>
      <c r="U1679" s="29">
        <v>2639.01</v>
      </c>
      <c r="V1679" s="26">
        <v>6</v>
      </c>
      <c r="W1679" s="29">
        <v>7303.05</v>
      </c>
      <c r="X1679" s="26">
        <v>87033</v>
      </c>
      <c r="Y1679" s="35">
        <v>35.849999999999994</v>
      </c>
      <c r="Z1679" s="1" t="s">
        <v>3014</v>
      </c>
      <c r="AA1679" s="36">
        <v>326.43360000000007</v>
      </c>
      <c r="AB1679" s="54">
        <v>2994.2505000000001</v>
      </c>
      <c r="AC1679" s="54">
        <v>718.13324999999998</v>
      </c>
      <c r="AD1679" s="36">
        <v>4322.9063999999998</v>
      </c>
    </row>
    <row r="1680" spans="1:30" s="37" customFormat="1" ht="15.75" customHeight="1" x14ac:dyDescent="0.2">
      <c r="A1680" s="26">
        <v>2884</v>
      </c>
      <c r="B1680" s="27" t="s">
        <v>1740</v>
      </c>
      <c r="C1680" s="27" t="s">
        <v>38</v>
      </c>
      <c r="D1680" s="28">
        <v>0.09</v>
      </c>
      <c r="E1680" s="29">
        <v>363.25</v>
      </c>
      <c r="F1680" s="29">
        <v>19.989999999999998</v>
      </c>
      <c r="G1680" s="30" t="s">
        <v>39</v>
      </c>
      <c r="H1680" s="27" t="s">
        <v>40</v>
      </c>
      <c r="I1680" s="27" t="s">
        <v>49</v>
      </c>
      <c r="J1680" s="27" t="s">
        <v>95</v>
      </c>
      <c r="K1680" s="27" t="s">
        <v>73</v>
      </c>
      <c r="L1680" s="31" t="s">
        <v>199</v>
      </c>
      <c r="M1680" s="32">
        <v>0.56999999999999995</v>
      </c>
      <c r="N1680" s="27" t="s">
        <v>33</v>
      </c>
      <c r="O1680" s="27" t="s">
        <v>111</v>
      </c>
      <c r="P1680" s="27" t="s">
        <v>317</v>
      </c>
      <c r="Q1680" s="27" t="s">
        <v>1741</v>
      </c>
      <c r="R1680" s="33">
        <v>44039</v>
      </c>
      <c r="S1680" s="34">
        <v>42160</v>
      </c>
      <c r="T1680" s="34">
        <v>42161</v>
      </c>
      <c r="U1680" s="29">
        <v>1231.6569</v>
      </c>
      <c r="V1680" s="26">
        <v>5</v>
      </c>
      <c r="W1680" s="29">
        <v>1785.01</v>
      </c>
      <c r="X1680" s="26">
        <v>87633</v>
      </c>
      <c r="Y1680" s="35">
        <v>170.98</v>
      </c>
      <c r="Z1680" s="1" t="s">
        <v>3014</v>
      </c>
      <c r="AA1680" s="36">
        <v>163.46249999999998</v>
      </c>
      <c r="AB1680" s="54">
        <v>767.55430000000013</v>
      </c>
      <c r="AC1680" s="54">
        <v>203.49114</v>
      </c>
      <c r="AD1680" s="36">
        <v>369.90060000000017</v>
      </c>
    </row>
    <row r="1681" spans="1:30" s="37" customFormat="1" ht="15.75" customHeight="1" x14ac:dyDescent="0.2">
      <c r="A1681" s="26">
        <v>269</v>
      </c>
      <c r="B1681" s="27" t="s">
        <v>2760</v>
      </c>
      <c r="C1681" s="27" t="s">
        <v>48</v>
      </c>
      <c r="D1681" s="28">
        <v>0</v>
      </c>
      <c r="E1681" s="29">
        <v>170.98</v>
      </c>
      <c r="F1681" s="29">
        <v>13.99</v>
      </c>
      <c r="G1681" s="30" t="s">
        <v>39</v>
      </c>
      <c r="H1681" s="27" t="s">
        <v>71</v>
      </c>
      <c r="I1681" s="27" t="s">
        <v>29</v>
      </c>
      <c r="J1681" s="27" t="s">
        <v>126</v>
      </c>
      <c r="K1681" s="27" t="s">
        <v>144</v>
      </c>
      <c r="L1681" s="31" t="s">
        <v>2762</v>
      </c>
      <c r="M1681" s="32">
        <v>0.75</v>
      </c>
      <c r="N1681" s="27" t="s">
        <v>33</v>
      </c>
      <c r="O1681" s="27" t="s">
        <v>60</v>
      </c>
      <c r="P1681" s="27" t="s">
        <v>588</v>
      </c>
      <c r="Q1681" s="27" t="s">
        <v>2761</v>
      </c>
      <c r="R1681" s="33">
        <v>85234</v>
      </c>
      <c r="S1681" s="34">
        <v>42160</v>
      </c>
      <c r="T1681" s="34">
        <v>42167</v>
      </c>
      <c r="U1681" s="29">
        <v>888.14729999999997</v>
      </c>
      <c r="V1681" s="26">
        <v>7</v>
      </c>
      <c r="W1681" s="29">
        <v>1287.17</v>
      </c>
      <c r="X1681" s="26">
        <v>88942</v>
      </c>
      <c r="Y1681" s="35">
        <v>4.8900000000000006</v>
      </c>
      <c r="Z1681" s="1" t="s">
        <v>3013</v>
      </c>
      <c r="AA1681" s="36">
        <v>0</v>
      </c>
      <c r="AB1681" s="54">
        <v>321.79250000000002</v>
      </c>
      <c r="AC1681" s="54">
        <v>137.91107142857143</v>
      </c>
      <c r="AD1681" s="36">
        <v>385.03270000000009</v>
      </c>
    </row>
    <row r="1682" spans="1:30" s="37" customFormat="1" ht="15.75" customHeight="1" x14ac:dyDescent="0.2">
      <c r="A1682" s="26">
        <v>272</v>
      </c>
      <c r="B1682" s="27" t="s">
        <v>2053</v>
      </c>
      <c r="C1682" s="27" t="s">
        <v>48</v>
      </c>
      <c r="D1682" s="28">
        <v>0.09</v>
      </c>
      <c r="E1682" s="29">
        <v>35.94</v>
      </c>
      <c r="F1682" s="29">
        <v>6.66</v>
      </c>
      <c r="G1682" s="30" t="s">
        <v>39</v>
      </c>
      <c r="H1682" s="27" t="s">
        <v>71</v>
      </c>
      <c r="I1682" s="27" t="s">
        <v>49</v>
      </c>
      <c r="J1682" s="27" t="s">
        <v>345</v>
      </c>
      <c r="K1682" s="27" t="s">
        <v>73</v>
      </c>
      <c r="L1682" s="31" t="s">
        <v>2122</v>
      </c>
      <c r="M1682" s="32">
        <v>0.4</v>
      </c>
      <c r="N1682" s="27" t="s">
        <v>33</v>
      </c>
      <c r="O1682" s="27" t="s">
        <v>34</v>
      </c>
      <c r="P1682" s="27" t="s">
        <v>97</v>
      </c>
      <c r="Q1682" s="27" t="s">
        <v>673</v>
      </c>
      <c r="R1682" s="33">
        <v>28204</v>
      </c>
      <c r="S1682" s="34">
        <v>42160</v>
      </c>
      <c r="T1682" s="34">
        <v>42165</v>
      </c>
      <c r="U1682" s="29">
        <v>72.1858</v>
      </c>
      <c r="V1682" s="26">
        <v>24</v>
      </c>
      <c r="W1682" s="29">
        <v>836.47</v>
      </c>
      <c r="X1682" s="26">
        <v>36069</v>
      </c>
      <c r="Y1682" s="35">
        <v>35.849999999999994</v>
      </c>
      <c r="Z1682" s="1" t="s">
        <v>3011</v>
      </c>
      <c r="AA1682" s="36">
        <v>77.63039999999998</v>
      </c>
      <c r="AB1682" s="54">
        <v>501.88200000000001</v>
      </c>
      <c r="AC1682" s="54">
        <v>13.941166666666668</v>
      </c>
      <c r="AD1682" s="36">
        <v>679.99380000000008</v>
      </c>
    </row>
    <row r="1683" spans="1:30" s="37" customFormat="1" ht="15.75" customHeight="1" x14ac:dyDescent="0.2">
      <c r="A1683" s="26">
        <v>2520</v>
      </c>
      <c r="B1683" s="27" t="s">
        <v>2769</v>
      </c>
      <c r="C1683" s="27" t="s">
        <v>116</v>
      </c>
      <c r="D1683" s="28">
        <v>7.0000000000000007E-2</v>
      </c>
      <c r="E1683" s="29">
        <v>30.98</v>
      </c>
      <c r="F1683" s="29">
        <v>8.74</v>
      </c>
      <c r="G1683" s="30" t="s">
        <v>39</v>
      </c>
      <c r="H1683" s="27" t="s">
        <v>71</v>
      </c>
      <c r="I1683" s="27" t="s">
        <v>49</v>
      </c>
      <c r="J1683" s="27" t="s">
        <v>88</v>
      </c>
      <c r="K1683" s="27" t="s">
        <v>73</v>
      </c>
      <c r="L1683" s="31" t="s">
        <v>2586</v>
      </c>
      <c r="M1683" s="32">
        <v>0.4</v>
      </c>
      <c r="N1683" s="27" t="s">
        <v>33</v>
      </c>
      <c r="O1683" s="27" t="s">
        <v>111</v>
      </c>
      <c r="P1683" s="27" t="s">
        <v>584</v>
      </c>
      <c r="Q1683" s="27" t="s">
        <v>2770</v>
      </c>
      <c r="R1683" s="33">
        <v>2908</v>
      </c>
      <c r="S1683" s="34">
        <v>42160</v>
      </c>
      <c r="T1683" s="34">
        <v>42161</v>
      </c>
      <c r="U1683" s="29">
        <v>255.76920000000001</v>
      </c>
      <c r="V1683" s="26">
        <v>12</v>
      </c>
      <c r="W1683" s="29">
        <v>370.68</v>
      </c>
      <c r="X1683" s="26">
        <v>87033</v>
      </c>
      <c r="Y1683" s="35">
        <v>4.8900000000000006</v>
      </c>
      <c r="Z1683" s="1" t="s">
        <v>3014</v>
      </c>
      <c r="AA1683" s="36">
        <v>26.023200000000003</v>
      </c>
      <c r="AB1683" s="54">
        <v>222.40799999999999</v>
      </c>
      <c r="AC1683" s="54">
        <v>12.356000000000002</v>
      </c>
      <c r="AD1683" s="36">
        <v>80.147599999999954</v>
      </c>
    </row>
    <row r="1684" spans="1:30" s="37" customFormat="1" ht="15.75" customHeight="1" x14ac:dyDescent="0.2">
      <c r="A1684" s="26">
        <v>269</v>
      </c>
      <c r="B1684" s="27" t="s">
        <v>2760</v>
      </c>
      <c r="C1684" s="27" t="s">
        <v>48</v>
      </c>
      <c r="D1684" s="28">
        <v>0.09</v>
      </c>
      <c r="E1684" s="29">
        <v>35.94</v>
      </c>
      <c r="F1684" s="29">
        <v>6.66</v>
      </c>
      <c r="G1684" s="30" t="s">
        <v>39</v>
      </c>
      <c r="H1684" s="27" t="s">
        <v>71</v>
      </c>
      <c r="I1684" s="27" t="s">
        <v>49</v>
      </c>
      <c r="J1684" s="27" t="s">
        <v>345</v>
      </c>
      <c r="K1684" s="27" t="s">
        <v>73</v>
      </c>
      <c r="L1684" s="31" t="s">
        <v>2122</v>
      </c>
      <c r="M1684" s="32">
        <v>0.4</v>
      </c>
      <c r="N1684" s="27" t="s">
        <v>33</v>
      </c>
      <c r="O1684" s="27" t="s">
        <v>60</v>
      </c>
      <c r="P1684" s="27" t="s">
        <v>588</v>
      </c>
      <c r="Q1684" s="27" t="s">
        <v>2761</v>
      </c>
      <c r="R1684" s="33">
        <v>85234</v>
      </c>
      <c r="S1684" s="34">
        <v>42160</v>
      </c>
      <c r="T1684" s="34">
        <v>42165</v>
      </c>
      <c r="U1684" s="29">
        <v>144.2928</v>
      </c>
      <c r="V1684" s="26">
        <v>6</v>
      </c>
      <c r="W1684" s="29">
        <v>209.12</v>
      </c>
      <c r="X1684" s="26">
        <v>88942</v>
      </c>
      <c r="Y1684" s="35">
        <v>12.57</v>
      </c>
      <c r="Z1684" s="1" t="s">
        <v>3013</v>
      </c>
      <c r="AA1684" s="36">
        <v>19.407599999999995</v>
      </c>
      <c r="AB1684" s="54">
        <v>125.47199999999999</v>
      </c>
      <c r="AC1684" s="54">
        <v>13.941333333333333</v>
      </c>
      <c r="AD1684" s="36">
        <v>38.759600000000006</v>
      </c>
    </row>
    <row r="1685" spans="1:30" s="37" customFormat="1" ht="15.75" customHeight="1" x14ac:dyDescent="0.2">
      <c r="A1685" s="26">
        <v>518</v>
      </c>
      <c r="B1685" s="27" t="s">
        <v>2763</v>
      </c>
      <c r="C1685" s="27" t="s">
        <v>48</v>
      </c>
      <c r="D1685" s="28">
        <v>7.0000000000000007E-2</v>
      </c>
      <c r="E1685" s="29">
        <v>12.64</v>
      </c>
      <c r="F1685" s="29">
        <v>4.9800000000000004</v>
      </c>
      <c r="G1685" s="30" t="s">
        <v>39</v>
      </c>
      <c r="H1685" s="27" t="s">
        <v>71</v>
      </c>
      <c r="I1685" s="27" t="s">
        <v>29</v>
      </c>
      <c r="J1685" s="27" t="s">
        <v>126</v>
      </c>
      <c r="K1685" s="27" t="s">
        <v>43</v>
      </c>
      <c r="L1685" s="31" t="s">
        <v>1773</v>
      </c>
      <c r="M1685" s="32">
        <v>0.48</v>
      </c>
      <c r="N1685" s="27" t="s">
        <v>33</v>
      </c>
      <c r="O1685" s="27" t="s">
        <v>53</v>
      </c>
      <c r="P1685" s="27" t="s">
        <v>80</v>
      </c>
      <c r="Q1685" s="27" t="s">
        <v>1506</v>
      </c>
      <c r="R1685" s="33">
        <v>63105</v>
      </c>
      <c r="S1685" s="34">
        <v>42160</v>
      </c>
      <c r="T1685" s="34">
        <v>42167</v>
      </c>
      <c r="U1685" s="29">
        <v>113.41500000000001</v>
      </c>
      <c r="V1685" s="26">
        <v>16</v>
      </c>
      <c r="W1685" s="29">
        <v>199.76</v>
      </c>
      <c r="X1685" s="26">
        <v>90867</v>
      </c>
      <c r="Y1685" s="35">
        <v>6.4600000000000009</v>
      </c>
      <c r="Z1685" s="1" t="s">
        <v>3012</v>
      </c>
      <c r="AA1685" s="36">
        <v>14.156800000000002</v>
      </c>
      <c r="AB1685" s="54">
        <v>103.87519999999999</v>
      </c>
      <c r="AC1685" s="54">
        <v>5.9927999999999999</v>
      </c>
      <c r="AD1685" s="36">
        <v>67.208199999999977</v>
      </c>
    </row>
    <row r="1686" spans="1:30" s="37" customFormat="1" ht="15.75" customHeight="1" x14ac:dyDescent="0.2">
      <c r="A1686" s="26">
        <v>2516</v>
      </c>
      <c r="B1686" s="27" t="s">
        <v>2768</v>
      </c>
      <c r="C1686" s="27" t="s">
        <v>116</v>
      </c>
      <c r="D1686" s="28">
        <v>0.02</v>
      </c>
      <c r="E1686" s="29">
        <v>17.149999999999999</v>
      </c>
      <c r="F1686" s="29">
        <v>4.96</v>
      </c>
      <c r="G1686" s="30" t="s">
        <v>39</v>
      </c>
      <c r="H1686" s="27" t="s">
        <v>71</v>
      </c>
      <c r="I1686" s="27" t="s">
        <v>49</v>
      </c>
      <c r="J1686" s="27" t="s">
        <v>78</v>
      </c>
      <c r="K1686" s="27" t="s">
        <v>73</v>
      </c>
      <c r="L1686" s="31" t="s">
        <v>650</v>
      </c>
      <c r="M1686" s="32">
        <v>0.57999999999999996</v>
      </c>
      <c r="N1686" s="27" t="s">
        <v>33</v>
      </c>
      <c r="O1686" s="27" t="s">
        <v>111</v>
      </c>
      <c r="P1686" s="27" t="s">
        <v>397</v>
      </c>
      <c r="Q1686" s="27" t="s">
        <v>439</v>
      </c>
      <c r="R1686" s="33">
        <v>7631</v>
      </c>
      <c r="S1686" s="34">
        <v>42160</v>
      </c>
      <c r="T1686" s="34">
        <v>42162</v>
      </c>
      <c r="U1686" s="29">
        <v>36.494999999999997</v>
      </c>
      <c r="V1686" s="26">
        <v>11</v>
      </c>
      <c r="W1686" s="29">
        <v>190.85</v>
      </c>
      <c r="X1686" s="26">
        <v>87033</v>
      </c>
      <c r="Y1686" s="35">
        <v>699.93000000000006</v>
      </c>
      <c r="Z1686" s="1" t="s">
        <v>3014</v>
      </c>
      <c r="AA1686" s="36">
        <v>3.7729999999999997</v>
      </c>
      <c r="AB1686" s="54">
        <v>80.157000000000011</v>
      </c>
      <c r="AC1686" s="54">
        <v>10.062999999999999</v>
      </c>
      <c r="AD1686" s="36">
        <v>145.62200000000001</v>
      </c>
    </row>
    <row r="1687" spans="1:30" s="37" customFormat="1" ht="15.75" customHeight="1" x14ac:dyDescent="0.2">
      <c r="A1687" s="26">
        <v>272</v>
      </c>
      <c r="B1687" s="27" t="s">
        <v>2053</v>
      </c>
      <c r="C1687" s="27" t="s">
        <v>48</v>
      </c>
      <c r="D1687" s="28">
        <v>0.09</v>
      </c>
      <c r="E1687" s="29">
        <v>4.9800000000000004</v>
      </c>
      <c r="F1687" s="29">
        <v>7.44</v>
      </c>
      <c r="G1687" s="30" t="s">
        <v>39</v>
      </c>
      <c r="H1687" s="27" t="s">
        <v>71</v>
      </c>
      <c r="I1687" s="27" t="s">
        <v>49</v>
      </c>
      <c r="J1687" s="27" t="s">
        <v>88</v>
      </c>
      <c r="K1687" s="27" t="s">
        <v>73</v>
      </c>
      <c r="L1687" s="31" t="s">
        <v>2174</v>
      </c>
      <c r="M1687" s="32">
        <v>0.36</v>
      </c>
      <c r="N1687" s="27" t="s">
        <v>33</v>
      </c>
      <c r="O1687" s="27" t="s">
        <v>34</v>
      </c>
      <c r="P1687" s="27" t="s">
        <v>97</v>
      </c>
      <c r="Q1687" s="27" t="s">
        <v>673</v>
      </c>
      <c r="R1687" s="33">
        <v>28204</v>
      </c>
      <c r="S1687" s="34">
        <v>42160</v>
      </c>
      <c r="T1687" s="34">
        <v>42162</v>
      </c>
      <c r="U1687" s="29">
        <v>-122.3733</v>
      </c>
      <c r="V1687" s="26">
        <v>37</v>
      </c>
      <c r="W1687" s="29">
        <v>189.83</v>
      </c>
      <c r="X1687" s="26">
        <v>36069</v>
      </c>
      <c r="Y1687" s="35">
        <v>17.13</v>
      </c>
      <c r="Z1687" s="1" t="s">
        <v>3011</v>
      </c>
      <c r="AA1687" s="36">
        <v>16.583400000000001</v>
      </c>
      <c r="AB1687" s="54">
        <v>121.49120000000001</v>
      </c>
      <c r="AC1687" s="54">
        <v>1.8469945945945947</v>
      </c>
      <c r="AD1687" s="36">
        <v>288.17990000000003</v>
      </c>
    </row>
    <row r="1688" spans="1:30" s="37" customFormat="1" ht="15.75" customHeight="1" x14ac:dyDescent="0.2">
      <c r="A1688" s="26">
        <v>269</v>
      </c>
      <c r="B1688" s="27" t="s">
        <v>2760</v>
      </c>
      <c r="C1688" s="27" t="s">
        <v>48</v>
      </c>
      <c r="D1688" s="28">
        <v>0.09</v>
      </c>
      <c r="E1688" s="29">
        <v>4.9800000000000004</v>
      </c>
      <c r="F1688" s="29">
        <v>7.44</v>
      </c>
      <c r="G1688" s="30" t="s">
        <v>39</v>
      </c>
      <c r="H1688" s="27" t="s">
        <v>71</v>
      </c>
      <c r="I1688" s="27" t="s">
        <v>49</v>
      </c>
      <c r="J1688" s="27" t="s">
        <v>88</v>
      </c>
      <c r="K1688" s="27" t="s">
        <v>73</v>
      </c>
      <c r="L1688" s="31" t="s">
        <v>2174</v>
      </c>
      <c r="M1688" s="32">
        <v>0.36</v>
      </c>
      <c r="N1688" s="27" t="s">
        <v>33</v>
      </c>
      <c r="O1688" s="27" t="s">
        <v>60</v>
      </c>
      <c r="P1688" s="27" t="s">
        <v>588</v>
      </c>
      <c r="Q1688" s="27" t="s">
        <v>2761</v>
      </c>
      <c r="R1688" s="33">
        <v>85234</v>
      </c>
      <c r="S1688" s="34">
        <v>42160</v>
      </c>
      <c r="T1688" s="34">
        <v>42162</v>
      </c>
      <c r="U1688" s="29">
        <v>-46.005000000000003</v>
      </c>
      <c r="V1688" s="26">
        <v>9</v>
      </c>
      <c r="W1688" s="29">
        <v>46.17</v>
      </c>
      <c r="X1688" s="26">
        <v>88942</v>
      </c>
      <c r="Y1688" s="35">
        <v>30.91</v>
      </c>
      <c r="Z1688" s="1" t="s">
        <v>3013</v>
      </c>
      <c r="AA1688" s="36">
        <v>4.0338000000000003</v>
      </c>
      <c r="AB1688" s="54">
        <v>29.5488</v>
      </c>
      <c r="AC1688" s="54">
        <v>1.8468</v>
      </c>
      <c r="AD1688" s="36">
        <v>80.7012</v>
      </c>
    </row>
    <row r="1689" spans="1:30" s="37" customFormat="1" ht="15.75" customHeight="1" x14ac:dyDescent="0.2">
      <c r="A1689" s="26">
        <v>2506</v>
      </c>
      <c r="B1689" s="27" t="s">
        <v>2764</v>
      </c>
      <c r="C1689" s="27" t="s">
        <v>116</v>
      </c>
      <c r="D1689" s="28">
        <v>0.02</v>
      </c>
      <c r="E1689" s="29">
        <v>6.48</v>
      </c>
      <c r="F1689" s="29">
        <v>8.74</v>
      </c>
      <c r="G1689" s="30" t="s">
        <v>39</v>
      </c>
      <c r="H1689" s="27" t="s">
        <v>71</v>
      </c>
      <c r="I1689" s="27" t="s">
        <v>49</v>
      </c>
      <c r="J1689" s="27" t="s">
        <v>88</v>
      </c>
      <c r="K1689" s="27" t="s">
        <v>73</v>
      </c>
      <c r="L1689" s="31" t="s">
        <v>2765</v>
      </c>
      <c r="M1689" s="32">
        <v>0.36</v>
      </c>
      <c r="N1689" s="27" t="s">
        <v>33</v>
      </c>
      <c r="O1689" s="27" t="s">
        <v>111</v>
      </c>
      <c r="P1689" s="27" t="s">
        <v>248</v>
      </c>
      <c r="Q1689" s="27" t="s">
        <v>2766</v>
      </c>
      <c r="R1689" s="33">
        <v>6408</v>
      </c>
      <c r="S1689" s="34">
        <v>42160</v>
      </c>
      <c r="T1689" s="34">
        <v>42162</v>
      </c>
      <c r="U1689" s="29">
        <v>-6.835</v>
      </c>
      <c r="V1689" s="26">
        <v>1</v>
      </c>
      <c r="W1689" s="29">
        <v>10.72</v>
      </c>
      <c r="X1689" s="26">
        <v>87033</v>
      </c>
      <c r="Y1689" s="35">
        <v>1360.1000000000001</v>
      </c>
      <c r="Z1689" s="1" t="s">
        <v>3014</v>
      </c>
      <c r="AA1689" s="36">
        <v>0.12960000000000002</v>
      </c>
      <c r="AB1689" s="54">
        <v>6.8608000000000002</v>
      </c>
      <c r="AC1689" s="54">
        <v>3.8592</v>
      </c>
      <c r="AD1689" s="36">
        <v>8.6854000000000013</v>
      </c>
    </row>
    <row r="1690" spans="1:30" s="37" customFormat="1" ht="15.75" customHeight="1" x14ac:dyDescent="0.2">
      <c r="A1690" s="26">
        <v>1106</v>
      </c>
      <c r="B1690" s="27" t="s">
        <v>2581</v>
      </c>
      <c r="C1690" s="27" t="s">
        <v>3094</v>
      </c>
      <c r="D1690" s="28">
        <v>0.08</v>
      </c>
      <c r="E1690" s="29">
        <v>140.81</v>
      </c>
      <c r="F1690" s="29">
        <v>24.49</v>
      </c>
      <c r="G1690" s="30" t="s">
        <v>39</v>
      </c>
      <c r="H1690" s="27" t="s">
        <v>40</v>
      </c>
      <c r="I1690" s="27" t="s">
        <v>29</v>
      </c>
      <c r="J1690" s="27" t="s">
        <v>109</v>
      </c>
      <c r="K1690" s="27" t="s">
        <v>65</v>
      </c>
      <c r="L1690" s="31" t="s">
        <v>2784</v>
      </c>
      <c r="M1690" s="32">
        <v>0.56999999999999995</v>
      </c>
      <c r="N1690" s="27" t="s">
        <v>33</v>
      </c>
      <c r="O1690" s="27" t="s">
        <v>53</v>
      </c>
      <c r="P1690" s="27" t="s">
        <v>187</v>
      </c>
      <c r="Q1690" s="27" t="s">
        <v>554</v>
      </c>
      <c r="R1690" s="33">
        <v>75220</v>
      </c>
      <c r="S1690" s="34">
        <v>42161</v>
      </c>
      <c r="T1690" s="34">
        <v>42163</v>
      </c>
      <c r="U1690" s="29">
        <v>1232.79</v>
      </c>
      <c r="V1690" s="26">
        <v>81</v>
      </c>
      <c r="W1690" s="29">
        <v>11272.77</v>
      </c>
      <c r="X1690" s="26">
        <v>45824</v>
      </c>
      <c r="Y1690" s="35">
        <v>6.45</v>
      </c>
      <c r="Z1690" s="1" t="s">
        <v>3012</v>
      </c>
      <c r="AA1690" s="36">
        <v>912.44880000000012</v>
      </c>
      <c r="AB1690" s="54">
        <v>4847.2911000000004</v>
      </c>
      <c r="AC1690" s="54">
        <v>79.326900000000009</v>
      </c>
      <c r="AD1690" s="36">
        <v>9103.0411999999997</v>
      </c>
    </row>
    <row r="1691" spans="1:30" s="37" customFormat="1" ht="15.75" customHeight="1" x14ac:dyDescent="0.2">
      <c r="A1691" s="26">
        <v>2107</v>
      </c>
      <c r="B1691" s="27" t="s">
        <v>2779</v>
      </c>
      <c r="C1691" s="27" t="s">
        <v>116</v>
      </c>
      <c r="D1691" s="28">
        <v>0.05</v>
      </c>
      <c r="E1691" s="29">
        <v>399.98</v>
      </c>
      <c r="F1691" s="29">
        <v>12.06</v>
      </c>
      <c r="G1691" s="30" t="s">
        <v>27</v>
      </c>
      <c r="H1691" s="27" t="s">
        <v>94</v>
      </c>
      <c r="I1691" s="27" t="s">
        <v>41</v>
      </c>
      <c r="J1691" s="27" t="s">
        <v>57</v>
      </c>
      <c r="K1691" s="27" t="s">
        <v>31</v>
      </c>
      <c r="L1691" s="31" t="s">
        <v>183</v>
      </c>
      <c r="M1691" s="32">
        <v>0.56000000000000005</v>
      </c>
      <c r="N1691" s="27" t="s">
        <v>33</v>
      </c>
      <c r="O1691" s="27" t="s">
        <v>53</v>
      </c>
      <c r="P1691" s="27" t="s">
        <v>103</v>
      </c>
      <c r="Q1691" s="27" t="s">
        <v>533</v>
      </c>
      <c r="R1691" s="33">
        <v>60601</v>
      </c>
      <c r="S1691" s="34">
        <v>42161</v>
      </c>
      <c r="T1691" s="34">
        <v>42161</v>
      </c>
      <c r="U1691" s="29">
        <v>567.59</v>
      </c>
      <c r="V1691" s="26">
        <v>24</v>
      </c>
      <c r="W1691" s="29">
        <v>9666.7199999999993</v>
      </c>
      <c r="X1691" s="26">
        <v>39015</v>
      </c>
      <c r="Y1691" s="35">
        <v>2.77</v>
      </c>
      <c r="Z1691" s="1" t="s">
        <v>3012</v>
      </c>
      <c r="AA1691" s="36">
        <v>479.97600000000006</v>
      </c>
      <c r="AB1691" s="54">
        <v>4253.3567999999996</v>
      </c>
      <c r="AC1691" s="54">
        <v>225.55680000000001</v>
      </c>
      <c r="AD1691" s="36">
        <v>8607.0939999999991</v>
      </c>
    </row>
    <row r="1692" spans="1:30" s="37" customFormat="1" ht="15.75" customHeight="1" x14ac:dyDescent="0.2">
      <c r="A1692" s="26">
        <v>2848</v>
      </c>
      <c r="B1692" s="27" t="s">
        <v>2783</v>
      </c>
      <c r="C1692" s="27" t="s">
        <v>116</v>
      </c>
      <c r="D1692" s="28">
        <v>0</v>
      </c>
      <c r="E1692" s="29">
        <v>49.99</v>
      </c>
      <c r="F1692" s="29">
        <v>19.989999999999998</v>
      </c>
      <c r="G1692" s="30" t="s">
        <v>39</v>
      </c>
      <c r="H1692" s="27" t="s">
        <v>94</v>
      </c>
      <c r="I1692" s="27" t="s">
        <v>41</v>
      </c>
      <c r="J1692" s="27" t="s">
        <v>42</v>
      </c>
      <c r="K1692" s="27" t="s">
        <v>73</v>
      </c>
      <c r="L1692" s="31" t="s">
        <v>1288</v>
      </c>
      <c r="M1692" s="32">
        <v>0.41</v>
      </c>
      <c r="N1692" s="27" t="s">
        <v>33</v>
      </c>
      <c r="O1692" s="27" t="s">
        <v>34</v>
      </c>
      <c r="P1692" s="27" t="s">
        <v>400</v>
      </c>
      <c r="Q1692" s="27" t="s">
        <v>1637</v>
      </c>
      <c r="R1692" s="33">
        <v>38401</v>
      </c>
      <c r="S1692" s="34">
        <v>42161</v>
      </c>
      <c r="T1692" s="34">
        <v>42163</v>
      </c>
      <c r="U1692" s="29">
        <v>38.886000000000003</v>
      </c>
      <c r="V1692" s="26">
        <v>16</v>
      </c>
      <c r="W1692" s="29">
        <v>832.97</v>
      </c>
      <c r="X1692" s="26">
        <v>85929</v>
      </c>
      <c r="Y1692" s="35">
        <v>2.77</v>
      </c>
      <c r="Z1692" s="1" t="s">
        <v>3011</v>
      </c>
      <c r="AA1692" s="36">
        <v>0</v>
      </c>
      <c r="AB1692" s="54">
        <v>491.45230000000009</v>
      </c>
      <c r="AC1692" s="54">
        <v>21.344856249999999</v>
      </c>
      <c r="AD1692" s="36">
        <v>774.09400000000005</v>
      </c>
    </row>
    <row r="1693" spans="1:30" s="37" customFormat="1" ht="15.75" customHeight="1" x14ac:dyDescent="0.2">
      <c r="A1693" s="26">
        <v>1340</v>
      </c>
      <c r="B1693" s="27" t="s">
        <v>1084</v>
      </c>
      <c r="C1693" s="27" t="s">
        <v>3094</v>
      </c>
      <c r="D1693" s="28">
        <v>7.0000000000000007E-2</v>
      </c>
      <c r="E1693" s="29">
        <v>3.98</v>
      </c>
      <c r="F1693" s="29">
        <v>0.83</v>
      </c>
      <c r="G1693" s="30" t="s">
        <v>39</v>
      </c>
      <c r="H1693" s="27" t="s">
        <v>71</v>
      </c>
      <c r="I1693" s="27" t="s">
        <v>49</v>
      </c>
      <c r="J1693" s="27" t="s">
        <v>50</v>
      </c>
      <c r="K1693" s="27" t="s">
        <v>51</v>
      </c>
      <c r="L1693" s="31" t="s">
        <v>2785</v>
      </c>
      <c r="M1693" s="32">
        <v>0.51</v>
      </c>
      <c r="N1693" s="27" t="s">
        <v>33</v>
      </c>
      <c r="O1693" s="27" t="s">
        <v>111</v>
      </c>
      <c r="P1693" s="27" t="s">
        <v>112</v>
      </c>
      <c r="Q1693" s="27" t="s">
        <v>113</v>
      </c>
      <c r="R1693" s="33">
        <v>10170</v>
      </c>
      <c r="S1693" s="34">
        <v>42161</v>
      </c>
      <c r="T1693" s="34">
        <v>42164</v>
      </c>
      <c r="U1693" s="29">
        <v>27.38</v>
      </c>
      <c r="V1693" s="26">
        <v>76</v>
      </c>
      <c r="W1693" s="29">
        <v>282.85000000000002</v>
      </c>
      <c r="X1693" s="26">
        <v>24455</v>
      </c>
      <c r="Y1693" s="35">
        <v>6.48</v>
      </c>
      <c r="Z1693" s="1" t="s">
        <v>3014</v>
      </c>
      <c r="AA1693" s="36">
        <v>21.1736</v>
      </c>
      <c r="AB1693" s="54">
        <v>138.59650000000002</v>
      </c>
      <c r="AC1693" s="54">
        <v>1.898072368421053</v>
      </c>
      <c r="AD1693" s="36">
        <v>233.46640000000002</v>
      </c>
    </row>
    <row r="1694" spans="1:30" s="37" customFormat="1" ht="15.75" customHeight="1" x14ac:dyDescent="0.2">
      <c r="A1694" s="26">
        <v>1142</v>
      </c>
      <c r="B1694" s="27" t="s">
        <v>198</v>
      </c>
      <c r="C1694" s="27" t="s">
        <v>116</v>
      </c>
      <c r="D1694" s="28">
        <v>0.01</v>
      </c>
      <c r="E1694" s="29">
        <v>18.97</v>
      </c>
      <c r="F1694" s="29">
        <v>9.5399999999999991</v>
      </c>
      <c r="G1694" s="30" t="s">
        <v>39</v>
      </c>
      <c r="H1694" s="27" t="s">
        <v>71</v>
      </c>
      <c r="I1694" s="27" t="s">
        <v>49</v>
      </c>
      <c r="J1694" s="27" t="s">
        <v>88</v>
      </c>
      <c r="K1694" s="27" t="s">
        <v>73</v>
      </c>
      <c r="L1694" s="31" t="s">
        <v>479</v>
      </c>
      <c r="M1694" s="32">
        <v>0.37</v>
      </c>
      <c r="N1694" s="27" t="s">
        <v>33</v>
      </c>
      <c r="O1694" s="27" t="s">
        <v>53</v>
      </c>
      <c r="P1694" s="27" t="s">
        <v>187</v>
      </c>
      <c r="Q1694" s="27" t="s">
        <v>200</v>
      </c>
      <c r="R1694" s="33">
        <v>76706</v>
      </c>
      <c r="S1694" s="34">
        <v>42161</v>
      </c>
      <c r="T1694" s="34">
        <v>42164</v>
      </c>
      <c r="U1694" s="29">
        <v>85.875</v>
      </c>
      <c r="V1694" s="26">
        <v>11</v>
      </c>
      <c r="W1694" s="29">
        <v>227.67</v>
      </c>
      <c r="X1694" s="26">
        <v>86575</v>
      </c>
      <c r="Y1694" s="35">
        <v>18.959999999999997</v>
      </c>
      <c r="Z1694" s="1" t="s">
        <v>3012</v>
      </c>
      <c r="AA1694" s="36">
        <v>2.0866999999999996</v>
      </c>
      <c r="AB1694" s="54">
        <v>143.43209999999999</v>
      </c>
      <c r="AC1694" s="54">
        <v>7.6579909090909082</v>
      </c>
      <c r="AD1694" s="36">
        <v>130.16829999999999</v>
      </c>
    </row>
    <row r="1695" spans="1:30" s="37" customFormat="1" ht="15.75" customHeight="1" x14ac:dyDescent="0.2">
      <c r="A1695" s="26">
        <v>699</v>
      </c>
      <c r="B1695" s="27" t="s">
        <v>861</v>
      </c>
      <c r="C1695" s="27" t="s">
        <v>26</v>
      </c>
      <c r="D1695" s="28">
        <v>0.02</v>
      </c>
      <c r="E1695" s="29">
        <v>6.47</v>
      </c>
      <c r="F1695" s="29">
        <v>1.22</v>
      </c>
      <c r="G1695" s="30" t="s">
        <v>39</v>
      </c>
      <c r="H1695" s="27" t="s">
        <v>40</v>
      </c>
      <c r="I1695" s="27" t="s">
        <v>49</v>
      </c>
      <c r="J1695" s="27" t="s">
        <v>50</v>
      </c>
      <c r="K1695" s="27" t="s">
        <v>51</v>
      </c>
      <c r="L1695" s="31" t="s">
        <v>2773</v>
      </c>
      <c r="M1695" s="32">
        <v>0.4</v>
      </c>
      <c r="N1695" s="27" t="s">
        <v>33</v>
      </c>
      <c r="O1695" s="27" t="s">
        <v>60</v>
      </c>
      <c r="P1695" s="27" t="s">
        <v>90</v>
      </c>
      <c r="Q1695" s="27" t="s">
        <v>100</v>
      </c>
      <c r="R1695" s="33">
        <v>90041</v>
      </c>
      <c r="S1695" s="34">
        <v>42161</v>
      </c>
      <c r="T1695" s="34">
        <v>42162</v>
      </c>
      <c r="U1695" s="29">
        <v>40.200000000000003</v>
      </c>
      <c r="V1695" s="26">
        <v>30</v>
      </c>
      <c r="W1695" s="29">
        <v>193.95</v>
      </c>
      <c r="X1695" s="26">
        <v>55392</v>
      </c>
      <c r="Y1695" s="35">
        <v>399.93</v>
      </c>
      <c r="Z1695" s="1" t="s">
        <v>3013</v>
      </c>
      <c r="AA1695" s="36">
        <v>3.8819999999999997</v>
      </c>
      <c r="AB1695" s="54">
        <v>116.36999999999999</v>
      </c>
      <c r="AC1695" s="54">
        <v>2.5860000000000003</v>
      </c>
      <c r="AD1695" s="36">
        <v>148.648</v>
      </c>
    </row>
    <row r="1696" spans="1:30" s="37" customFormat="1" ht="15.75" customHeight="1" x14ac:dyDescent="0.2">
      <c r="A1696" s="26">
        <v>699</v>
      </c>
      <c r="B1696" s="27" t="s">
        <v>861</v>
      </c>
      <c r="C1696" s="27" t="s">
        <v>26</v>
      </c>
      <c r="D1696" s="28">
        <v>7.0000000000000007E-2</v>
      </c>
      <c r="E1696" s="29">
        <v>2.84</v>
      </c>
      <c r="F1696" s="29">
        <v>0.93</v>
      </c>
      <c r="G1696" s="30" t="s">
        <v>39</v>
      </c>
      <c r="H1696" s="27" t="s">
        <v>40</v>
      </c>
      <c r="I1696" s="27" t="s">
        <v>49</v>
      </c>
      <c r="J1696" s="27" t="s">
        <v>50</v>
      </c>
      <c r="K1696" s="27" t="s">
        <v>51</v>
      </c>
      <c r="L1696" s="31" t="s">
        <v>292</v>
      </c>
      <c r="M1696" s="32">
        <v>0.54</v>
      </c>
      <c r="N1696" s="27" t="s">
        <v>33</v>
      </c>
      <c r="O1696" s="27" t="s">
        <v>60</v>
      </c>
      <c r="P1696" s="27" t="s">
        <v>90</v>
      </c>
      <c r="Q1696" s="27" t="s">
        <v>100</v>
      </c>
      <c r="R1696" s="33">
        <v>90041</v>
      </c>
      <c r="S1696" s="34">
        <v>42161</v>
      </c>
      <c r="T1696" s="34">
        <v>42163</v>
      </c>
      <c r="U1696" s="29">
        <v>3.21</v>
      </c>
      <c r="V1696" s="26">
        <v>59</v>
      </c>
      <c r="W1696" s="29">
        <v>158.80000000000001</v>
      </c>
      <c r="X1696" s="26">
        <v>55392</v>
      </c>
      <c r="Y1696" s="35">
        <v>6.41</v>
      </c>
      <c r="Z1696" s="1" t="s">
        <v>3013</v>
      </c>
      <c r="AA1696" s="36">
        <v>11.729200000000001</v>
      </c>
      <c r="AB1696" s="54">
        <v>73.048000000000002</v>
      </c>
      <c r="AC1696" s="54">
        <v>1.4534237288135596</v>
      </c>
      <c r="AD1696" s="36">
        <v>142.9308</v>
      </c>
    </row>
    <row r="1697" spans="1:30" s="37" customFormat="1" ht="15.75" customHeight="1" x14ac:dyDescent="0.2">
      <c r="A1697" s="26">
        <v>2107</v>
      </c>
      <c r="B1697" s="27" t="s">
        <v>2779</v>
      </c>
      <c r="C1697" s="27" t="s">
        <v>116</v>
      </c>
      <c r="D1697" s="28">
        <v>7.0000000000000007E-2</v>
      </c>
      <c r="E1697" s="29">
        <v>6.48</v>
      </c>
      <c r="F1697" s="29">
        <v>5.74</v>
      </c>
      <c r="G1697" s="30" t="s">
        <v>39</v>
      </c>
      <c r="H1697" s="27" t="s">
        <v>94</v>
      </c>
      <c r="I1697" s="27" t="s">
        <v>49</v>
      </c>
      <c r="J1697" s="27" t="s">
        <v>88</v>
      </c>
      <c r="K1697" s="27" t="s">
        <v>73</v>
      </c>
      <c r="L1697" s="31" t="s">
        <v>2780</v>
      </c>
      <c r="M1697" s="32">
        <v>0.37</v>
      </c>
      <c r="N1697" s="27" t="s">
        <v>33</v>
      </c>
      <c r="O1697" s="27" t="s">
        <v>53</v>
      </c>
      <c r="P1697" s="27" t="s">
        <v>103</v>
      </c>
      <c r="Q1697" s="27" t="s">
        <v>533</v>
      </c>
      <c r="R1697" s="33">
        <v>60601</v>
      </c>
      <c r="S1697" s="34">
        <v>42161</v>
      </c>
      <c r="T1697" s="34">
        <v>42161</v>
      </c>
      <c r="U1697" s="29">
        <v>-28.45</v>
      </c>
      <c r="V1697" s="26">
        <v>20</v>
      </c>
      <c r="W1697" s="29">
        <v>134.58000000000001</v>
      </c>
      <c r="X1697" s="26">
        <v>39015</v>
      </c>
      <c r="Y1697" s="35">
        <v>6.41</v>
      </c>
      <c r="Z1697" s="1" t="s">
        <v>3012</v>
      </c>
      <c r="AA1697" s="36">
        <v>9.072000000000001</v>
      </c>
      <c r="AB1697" s="54">
        <v>84.78540000000001</v>
      </c>
      <c r="AC1697" s="54">
        <v>2.4897300000000002</v>
      </c>
      <c r="AD1697" s="36">
        <v>148.21800000000002</v>
      </c>
    </row>
    <row r="1698" spans="1:30" s="37" customFormat="1" ht="15.75" customHeight="1" x14ac:dyDescent="0.2">
      <c r="A1698" s="26">
        <v>1341</v>
      </c>
      <c r="B1698" s="27" t="s">
        <v>1086</v>
      </c>
      <c r="C1698" s="27" t="s">
        <v>3094</v>
      </c>
      <c r="D1698" s="28">
        <v>0</v>
      </c>
      <c r="E1698" s="29">
        <v>20.89</v>
      </c>
      <c r="F1698" s="29">
        <v>1.99</v>
      </c>
      <c r="G1698" s="30" t="s">
        <v>39</v>
      </c>
      <c r="H1698" s="27" t="s">
        <v>71</v>
      </c>
      <c r="I1698" s="27" t="s">
        <v>41</v>
      </c>
      <c r="J1698" s="27" t="s">
        <v>42</v>
      </c>
      <c r="K1698" s="27" t="s">
        <v>43</v>
      </c>
      <c r="L1698" s="31" t="s">
        <v>2786</v>
      </c>
      <c r="M1698" s="32">
        <v>0.48</v>
      </c>
      <c r="N1698" s="27" t="s">
        <v>33</v>
      </c>
      <c r="O1698" s="27" t="s">
        <v>111</v>
      </c>
      <c r="P1698" s="27" t="s">
        <v>320</v>
      </c>
      <c r="Q1698" s="27" t="s">
        <v>1087</v>
      </c>
      <c r="R1698" s="33">
        <v>17201</v>
      </c>
      <c r="S1698" s="34">
        <v>42161</v>
      </c>
      <c r="T1698" s="34">
        <v>42163</v>
      </c>
      <c r="U1698" s="29">
        <v>-5.2949999999999999</v>
      </c>
      <c r="V1698" s="26">
        <v>4</v>
      </c>
      <c r="W1698" s="29">
        <v>84.56</v>
      </c>
      <c r="X1698" s="26">
        <v>91245</v>
      </c>
      <c r="Y1698" s="35">
        <v>49.99</v>
      </c>
      <c r="Z1698" s="1" t="s">
        <v>3014</v>
      </c>
      <c r="AA1698" s="36">
        <v>0</v>
      </c>
      <c r="AB1698" s="54">
        <v>43.971200000000003</v>
      </c>
      <c r="AC1698" s="54">
        <v>10.1472</v>
      </c>
      <c r="AD1698" s="36">
        <v>87.865000000000009</v>
      </c>
    </row>
    <row r="1699" spans="1:30" s="37" customFormat="1" ht="15.75" customHeight="1" x14ac:dyDescent="0.2">
      <c r="A1699" s="26">
        <v>3045</v>
      </c>
      <c r="B1699" s="27" t="s">
        <v>2776</v>
      </c>
      <c r="C1699" s="27" t="s">
        <v>38</v>
      </c>
      <c r="D1699" s="28">
        <v>0</v>
      </c>
      <c r="E1699" s="29">
        <v>6.48</v>
      </c>
      <c r="F1699" s="29">
        <v>5.19</v>
      </c>
      <c r="G1699" s="30" t="s">
        <v>39</v>
      </c>
      <c r="H1699" s="27" t="s">
        <v>3095</v>
      </c>
      <c r="I1699" s="27" t="s">
        <v>49</v>
      </c>
      <c r="J1699" s="27" t="s">
        <v>88</v>
      </c>
      <c r="K1699" s="27" t="s">
        <v>73</v>
      </c>
      <c r="L1699" s="31" t="s">
        <v>2777</v>
      </c>
      <c r="M1699" s="32">
        <v>0.37</v>
      </c>
      <c r="N1699" s="27" t="s">
        <v>33</v>
      </c>
      <c r="O1699" s="27" t="s">
        <v>53</v>
      </c>
      <c r="P1699" s="27" t="s">
        <v>537</v>
      </c>
      <c r="Q1699" s="27" t="s">
        <v>2778</v>
      </c>
      <c r="R1699" s="33">
        <v>66048</v>
      </c>
      <c r="S1699" s="34">
        <v>42161</v>
      </c>
      <c r="T1699" s="34">
        <v>42162</v>
      </c>
      <c r="U1699" s="29">
        <v>-14.074999999999999</v>
      </c>
      <c r="V1699" s="26">
        <v>12</v>
      </c>
      <c r="W1699" s="29">
        <v>84.04</v>
      </c>
      <c r="X1699" s="26">
        <v>86104</v>
      </c>
      <c r="Y1699" s="35">
        <v>140.72999999999999</v>
      </c>
      <c r="Z1699" s="1" t="s">
        <v>3012</v>
      </c>
      <c r="AA1699" s="36">
        <v>0</v>
      </c>
      <c r="AB1699" s="54">
        <v>52.945200000000007</v>
      </c>
      <c r="AC1699" s="54">
        <v>2.5912333333333333</v>
      </c>
      <c r="AD1699" s="36">
        <v>92.925000000000011</v>
      </c>
    </row>
    <row r="1700" spans="1:30" s="37" customFormat="1" ht="15.75" customHeight="1" x14ac:dyDescent="0.2">
      <c r="A1700" s="26">
        <v>1341</v>
      </c>
      <c r="B1700" s="27" t="s">
        <v>1086</v>
      </c>
      <c r="C1700" s="27" t="s">
        <v>3094</v>
      </c>
      <c r="D1700" s="28">
        <v>7.0000000000000007E-2</v>
      </c>
      <c r="E1700" s="29">
        <v>3.98</v>
      </c>
      <c r="F1700" s="29">
        <v>0.83</v>
      </c>
      <c r="G1700" s="30" t="s">
        <v>39</v>
      </c>
      <c r="H1700" s="27" t="s">
        <v>71</v>
      </c>
      <c r="I1700" s="27" t="s">
        <v>49</v>
      </c>
      <c r="J1700" s="27" t="s">
        <v>50</v>
      </c>
      <c r="K1700" s="27" t="s">
        <v>51</v>
      </c>
      <c r="L1700" s="31" t="s">
        <v>2785</v>
      </c>
      <c r="M1700" s="32">
        <v>0.51</v>
      </c>
      <c r="N1700" s="27" t="s">
        <v>33</v>
      </c>
      <c r="O1700" s="27" t="s">
        <v>111</v>
      </c>
      <c r="P1700" s="27" t="s">
        <v>320</v>
      </c>
      <c r="Q1700" s="27" t="s">
        <v>1087</v>
      </c>
      <c r="R1700" s="33">
        <v>17201</v>
      </c>
      <c r="S1700" s="34">
        <v>42161</v>
      </c>
      <c r="T1700" s="34">
        <v>42164</v>
      </c>
      <c r="U1700" s="29">
        <v>41.07</v>
      </c>
      <c r="V1700" s="26">
        <v>19</v>
      </c>
      <c r="W1700" s="29">
        <v>70.709999999999994</v>
      </c>
      <c r="X1700" s="26">
        <v>91245</v>
      </c>
      <c r="Y1700" s="35">
        <v>3.91</v>
      </c>
      <c r="Z1700" s="1" t="s">
        <v>3014</v>
      </c>
      <c r="AA1700" s="36">
        <v>5.2934000000000001</v>
      </c>
      <c r="AB1700" s="54">
        <v>34.647899999999993</v>
      </c>
      <c r="AC1700" s="54">
        <v>1.8980052631578945</v>
      </c>
      <c r="AD1700" s="36">
        <v>23.516599999999997</v>
      </c>
    </row>
    <row r="1701" spans="1:30" s="37" customFormat="1" ht="15.75" customHeight="1" x14ac:dyDescent="0.2">
      <c r="A1701" s="26">
        <v>711</v>
      </c>
      <c r="B1701" s="27" t="s">
        <v>2774</v>
      </c>
      <c r="C1701" s="27" t="s">
        <v>26</v>
      </c>
      <c r="D1701" s="28">
        <v>7.0000000000000007E-2</v>
      </c>
      <c r="E1701" s="29">
        <v>2.84</v>
      </c>
      <c r="F1701" s="29">
        <v>0.93</v>
      </c>
      <c r="G1701" s="30" t="s">
        <v>39</v>
      </c>
      <c r="H1701" s="27" t="s">
        <v>40</v>
      </c>
      <c r="I1701" s="27" t="s">
        <v>49</v>
      </c>
      <c r="J1701" s="27" t="s">
        <v>50</v>
      </c>
      <c r="K1701" s="27" t="s">
        <v>51</v>
      </c>
      <c r="L1701" s="31" t="s">
        <v>292</v>
      </c>
      <c r="M1701" s="32">
        <v>0.54</v>
      </c>
      <c r="N1701" s="27" t="s">
        <v>33</v>
      </c>
      <c r="O1701" s="27" t="s">
        <v>111</v>
      </c>
      <c r="P1701" s="27" t="s">
        <v>403</v>
      </c>
      <c r="Q1701" s="27" t="s">
        <v>2775</v>
      </c>
      <c r="R1701" s="33">
        <v>2152</v>
      </c>
      <c r="S1701" s="34">
        <v>42161</v>
      </c>
      <c r="T1701" s="34">
        <v>42163</v>
      </c>
      <c r="U1701" s="29">
        <v>3.8519999999999999</v>
      </c>
      <c r="V1701" s="26">
        <v>15</v>
      </c>
      <c r="W1701" s="29">
        <v>40.369999999999997</v>
      </c>
      <c r="X1701" s="26">
        <v>87978</v>
      </c>
      <c r="Y1701" s="35">
        <v>20.89</v>
      </c>
      <c r="Z1701" s="1" t="s">
        <v>3014</v>
      </c>
      <c r="AA1701" s="36">
        <v>2.9820000000000002</v>
      </c>
      <c r="AB1701" s="54">
        <v>18.570199999999996</v>
      </c>
      <c r="AC1701" s="54">
        <v>1.4533199999999999</v>
      </c>
      <c r="AD1701" s="36">
        <v>32.605999999999995</v>
      </c>
    </row>
    <row r="1702" spans="1:30" s="37" customFormat="1" ht="15.75" customHeight="1" x14ac:dyDescent="0.2">
      <c r="A1702" s="26">
        <v>2432</v>
      </c>
      <c r="B1702" s="27" t="s">
        <v>2571</v>
      </c>
      <c r="C1702" s="27" t="s">
        <v>3094</v>
      </c>
      <c r="D1702" s="28">
        <v>0.09</v>
      </c>
      <c r="E1702" s="29">
        <v>5.4</v>
      </c>
      <c r="F1702" s="29">
        <v>7.78</v>
      </c>
      <c r="G1702" s="30" t="s">
        <v>87</v>
      </c>
      <c r="H1702" s="27" t="s">
        <v>40</v>
      </c>
      <c r="I1702" s="27" t="s">
        <v>49</v>
      </c>
      <c r="J1702" s="27" t="s">
        <v>72</v>
      </c>
      <c r="K1702" s="27" t="s">
        <v>73</v>
      </c>
      <c r="L1702" s="31" t="s">
        <v>1484</v>
      </c>
      <c r="M1702" s="32">
        <v>0.37</v>
      </c>
      <c r="N1702" s="27" t="s">
        <v>33</v>
      </c>
      <c r="O1702" s="27" t="s">
        <v>53</v>
      </c>
      <c r="P1702" s="27" t="s">
        <v>207</v>
      </c>
      <c r="Q1702" s="27" t="s">
        <v>2572</v>
      </c>
      <c r="R1702" s="33">
        <v>73110</v>
      </c>
      <c r="S1702" s="34">
        <v>42161</v>
      </c>
      <c r="T1702" s="34">
        <v>42163</v>
      </c>
      <c r="U1702" s="29">
        <v>-34.764499999999998</v>
      </c>
      <c r="V1702" s="26">
        <v>6</v>
      </c>
      <c r="W1702" s="29">
        <v>37.380000000000003</v>
      </c>
      <c r="X1702" s="26">
        <v>89097</v>
      </c>
      <c r="Y1702" s="35">
        <v>3.91</v>
      </c>
      <c r="Z1702" s="1" t="s">
        <v>3012</v>
      </c>
      <c r="AA1702" s="36">
        <v>2.9159999999999999</v>
      </c>
      <c r="AB1702" s="54">
        <v>23.549400000000002</v>
      </c>
      <c r="AC1702" s="54">
        <v>2.3050999999999999</v>
      </c>
      <c r="AD1702" s="36">
        <v>61.448499999999996</v>
      </c>
    </row>
    <row r="1703" spans="1:30" s="37" customFormat="1" ht="15.75" customHeight="1" x14ac:dyDescent="0.2">
      <c r="A1703" s="26">
        <v>2108</v>
      </c>
      <c r="B1703" s="27" t="s">
        <v>2781</v>
      </c>
      <c r="C1703" s="27" t="s">
        <v>116</v>
      </c>
      <c r="D1703" s="28">
        <v>7.0000000000000007E-2</v>
      </c>
      <c r="E1703" s="29">
        <v>6.48</v>
      </c>
      <c r="F1703" s="29">
        <v>5.74</v>
      </c>
      <c r="G1703" s="30" t="s">
        <v>39</v>
      </c>
      <c r="H1703" s="27" t="s">
        <v>94</v>
      </c>
      <c r="I1703" s="27" t="s">
        <v>49</v>
      </c>
      <c r="J1703" s="27" t="s">
        <v>88</v>
      </c>
      <c r="K1703" s="27" t="s">
        <v>73</v>
      </c>
      <c r="L1703" s="31" t="s">
        <v>2780</v>
      </c>
      <c r="M1703" s="32">
        <v>0.37</v>
      </c>
      <c r="N1703" s="27" t="s">
        <v>33</v>
      </c>
      <c r="O1703" s="27" t="s">
        <v>53</v>
      </c>
      <c r="P1703" s="27" t="s">
        <v>80</v>
      </c>
      <c r="Q1703" s="27" t="s">
        <v>2782</v>
      </c>
      <c r="R1703" s="33">
        <v>63129</v>
      </c>
      <c r="S1703" s="34">
        <v>42161</v>
      </c>
      <c r="T1703" s="34">
        <v>42161</v>
      </c>
      <c r="U1703" s="29">
        <v>-14.225</v>
      </c>
      <c r="V1703" s="26">
        <v>5</v>
      </c>
      <c r="W1703" s="29">
        <v>33.65</v>
      </c>
      <c r="X1703" s="26">
        <v>87862</v>
      </c>
      <c r="Y1703" s="35">
        <v>5.3100000000000005</v>
      </c>
      <c r="Z1703" s="1" t="s">
        <v>3012</v>
      </c>
      <c r="AA1703" s="36">
        <v>2.2680000000000002</v>
      </c>
      <c r="AB1703" s="54">
        <v>21.1995</v>
      </c>
      <c r="AC1703" s="54">
        <v>2.4901</v>
      </c>
      <c r="AD1703" s="36">
        <v>39.866999999999997</v>
      </c>
    </row>
    <row r="1704" spans="1:30" s="37" customFormat="1" ht="15.75" customHeight="1" x14ac:dyDescent="0.2">
      <c r="A1704" s="26">
        <v>3397</v>
      </c>
      <c r="B1704" s="27" t="s">
        <v>1584</v>
      </c>
      <c r="C1704" s="27" t="s">
        <v>48</v>
      </c>
      <c r="D1704" s="28">
        <v>0</v>
      </c>
      <c r="E1704" s="29">
        <v>1270.99</v>
      </c>
      <c r="F1704" s="29">
        <v>19.989999999999998</v>
      </c>
      <c r="G1704" s="30" t="s">
        <v>39</v>
      </c>
      <c r="H1704" s="27" t="s">
        <v>3095</v>
      </c>
      <c r="I1704" s="27" t="s">
        <v>49</v>
      </c>
      <c r="J1704" s="27" t="s">
        <v>72</v>
      </c>
      <c r="K1704" s="27" t="s">
        <v>73</v>
      </c>
      <c r="L1704" s="31" t="s">
        <v>652</v>
      </c>
      <c r="M1704" s="32">
        <v>0.35</v>
      </c>
      <c r="N1704" s="27" t="s">
        <v>33</v>
      </c>
      <c r="O1704" s="27" t="s">
        <v>53</v>
      </c>
      <c r="P1704" s="27" t="s">
        <v>103</v>
      </c>
      <c r="Q1704" s="27" t="s">
        <v>1586</v>
      </c>
      <c r="R1704" s="33">
        <v>61832</v>
      </c>
      <c r="S1704" s="34">
        <v>42162</v>
      </c>
      <c r="T1704" s="34">
        <v>42164</v>
      </c>
      <c r="U1704" s="29">
        <v>6384.4389000000001</v>
      </c>
      <c r="V1704" s="26">
        <v>7</v>
      </c>
      <c r="W1704" s="29">
        <v>9252.81</v>
      </c>
      <c r="X1704" s="26">
        <v>87535</v>
      </c>
      <c r="Y1704" s="35">
        <v>43.949999999999996</v>
      </c>
      <c r="Z1704" s="1" t="s">
        <v>3012</v>
      </c>
      <c r="AA1704" s="36">
        <v>0</v>
      </c>
      <c r="AB1704" s="54">
        <v>6014.3265000000001</v>
      </c>
      <c r="AC1704" s="54">
        <v>462.64049999999992</v>
      </c>
      <c r="AD1704" s="36">
        <v>2848.3810999999996</v>
      </c>
    </row>
    <row r="1705" spans="1:30" s="37" customFormat="1" ht="15.75" customHeight="1" x14ac:dyDescent="0.2">
      <c r="A1705" s="26">
        <v>1384</v>
      </c>
      <c r="B1705" s="27" t="s">
        <v>2791</v>
      </c>
      <c r="C1705" s="27" t="s">
        <v>48</v>
      </c>
      <c r="D1705" s="28">
        <v>0.02</v>
      </c>
      <c r="E1705" s="29">
        <v>70.97</v>
      </c>
      <c r="F1705" s="29">
        <v>3.5</v>
      </c>
      <c r="G1705" s="30" t="s">
        <v>39</v>
      </c>
      <c r="H1705" s="27" t="s">
        <v>40</v>
      </c>
      <c r="I1705" s="27" t="s">
        <v>49</v>
      </c>
      <c r="J1705" s="27" t="s">
        <v>95</v>
      </c>
      <c r="K1705" s="27" t="s">
        <v>73</v>
      </c>
      <c r="L1705" s="31" t="s">
        <v>2177</v>
      </c>
      <c r="M1705" s="32">
        <v>0.59</v>
      </c>
      <c r="N1705" s="27" t="s">
        <v>33</v>
      </c>
      <c r="O1705" s="27" t="s">
        <v>34</v>
      </c>
      <c r="P1705" s="27" t="s">
        <v>242</v>
      </c>
      <c r="Q1705" s="27" t="s">
        <v>2732</v>
      </c>
      <c r="R1705" s="33">
        <v>22304</v>
      </c>
      <c r="S1705" s="34">
        <v>42162</v>
      </c>
      <c r="T1705" s="34">
        <v>42169</v>
      </c>
      <c r="U1705" s="29">
        <v>23.616</v>
      </c>
      <c r="V1705" s="26">
        <v>21</v>
      </c>
      <c r="W1705" s="29">
        <v>1533.59</v>
      </c>
      <c r="X1705" s="26">
        <v>89408</v>
      </c>
      <c r="Y1705" s="35">
        <v>4.6899999999999995</v>
      </c>
      <c r="Z1705" s="1" t="s">
        <v>3011</v>
      </c>
      <c r="AA1705" s="36">
        <v>29.807400000000001</v>
      </c>
      <c r="AB1705" s="54">
        <v>628.77189999999996</v>
      </c>
      <c r="AC1705" s="54">
        <v>43.086576190476187</v>
      </c>
      <c r="AD1705" s="36">
        <v>1476.6666</v>
      </c>
    </row>
    <row r="1706" spans="1:30" s="37" customFormat="1" ht="15.75" customHeight="1" x14ac:dyDescent="0.2">
      <c r="A1706" s="26">
        <v>2583</v>
      </c>
      <c r="B1706" s="27" t="s">
        <v>2794</v>
      </c>
      <c r="C1706" s="27" t="s">
        <v>116</v>
      </c>
      <c r="D1706" s="28">
        <v>0.04</v>
      </c>
      <c r="E1706" s="29">
        <v>510.14</v>
      </c>
      <c r="F1706" s="29">
        <v>14.7</v>
      </c>
      <c r="G1706" s="30" t="s">
        <v>27</v>
      </c>
      <c r="H1706" s="27" t="s">
        <v>71</v>
      </c>
      <c r="I1706" s="27" t="s">
        <v>41</v>
      </c>
      <c r="J1706" s="27" t="s">
        <v>57</v>
      </c>
      <c r="K1706" s="27" t="s">
        <v>58</v>
      </c>
      <c r="L1706" s="31" t="s">
        <v>2795</v>
      </c>
      <c r="M1706" s="32">
        <v>0.56000000000000005</v>
      </c>
      <c r="N1706" s="27" t="s">
        <v>33</v>
      </c>
      <c r="O1706" s="27" t="s">
        <v>53</v>
      </c>
      <c r="P1706" s="27" t="s">
        <v>289</v>
      </c>
      <c r="Q1706" s="27" t="s">
        <v>2796</v>
      </c>
      <c r="R1706" s="33">
        <v>49423</v>
      </c>
      <c r="S1706" s="34">
        <v>42162</v>
      </c>
      <c r="T1706" s="34">
        <v>42164</v>
      </c>
      <c r="U1706" s="29">
        <v>-251.40389999999999</v>
      </c>
      <c r="V1706" s="26">
        <v>3</v>
      </c>
      <c r="W1706" s="29">
        <v>1527.97</v>
      </c>
      <c r="X1706" s="26">
        <v>89657</v>
      </c>
      <c r="Y1706" s="35">
        <v>48.019999999999996</v>
      </c>
      <c r="Z1706" s="1" t="s">
        <v>3012</v>
      </c>
      <c r="AA1706" s="36">
        <v>61.216799999999999</v>
      </c>
      <c r="AB1706" s="54">
        <v>672.30679999999995</v>
      </c>
      <c r="AC1706" s="54">
        <v>285.22106666666667</v>
      </c>
      <c r="AD1706" s="36">
        <v>1703.4571000000001</v>
      </c>
    </row>
    <row r="1707" spans="1:30" s="37" customFormat="1" ht="15.75" customHeight="1" x14ac:dyDescent="0.2">
      <c r="A1707" s="26">
        <v>2920</v>
      </c>
      <c r="B1707" s="27" t="s">
        <v>2798</v>
      </c>
      <c r="C1707" s="27" t="s">
        <v>116</v>
      </c>
      <c r="D1707" s="28">
        <v>0.05</v>
      </c>
      <c r="E1707" s="29">
        <v>535.64</v>
      </c>
      <c r="F1707" s="29">
        <v>14.7</v>
      </c>
      <c r="G1707" s="30" t="s">
        <v>27</v>
      </c>
      <c r="H1707" s="27" t="s">
        <v>71</v>
      </c>
      <c r="I1707" s="27" t="s">
        <v>41</v>
      </c>
      <c r="J1707" s="27" t="s">
        <v>57</v>
      </c>
      <c r="K1707" s="27" t="s">
        <v>58</v>
      </c>
      <c r="L1707" s="31" t="s">
        <v>1466</v>
      </c>
      <c r="M1707" s="32">
        <v>0.59</v>
      </c>
      <c r="N1707" s="27" t="s">
        <v>33</v>
      </c>
      <c r="O1707" s="27" t="s">
        <v>53</v>
      </c>
      <c r="P1707" s="27" t="s">
        <v>103</v>
      </c>
      <c r="Q1707" s="27" t="s">
        <v>533</v>
      </c>
      <c r="R1707" s="33">
        <v>60603</v>
      </c>
      <c r="S1707" s="34">
        <v>42162</v>
      </c>
      <c r="T1707" s="34">
        <v>42164</v>
      </c>
      <c r="U1707" s="29">
        <v>-1220.9145000000001</v>
      </c>
      <c r="V1707" s="26">
        <v>2</v>
      </c>
      <c r="W1707" s="29">
        <v>1068.5999999999999</v>
      </c>
      <c r="X1707" s="26">
        <v>59365</v>
      </c>
      <c r="Y1707" s="35">
        <v>70.95</v>
      </c>
      <c r="Z1707" s="1" t="s">
        <v>3012</v>
      </c>
      <c r="AA1707" s="36">
        <v>53.564</v>
      </c>
      <c r="AB1707" s="54">
        <v>438.12599999999998</v>
      </c>
      <c r="AC1707" s="54">
        <v>315.23699999999997</v>
      </c>
      <c r="AD1707" s="36">
        <v>2221.2505000000001</v>
      </c>
    </row>
    <row r="1708" spans="1:30" s="37" customFormat="1" ht="15.75" customHeight="1" x14ac:dyDescent="0.2">
      <c r="A1708" s="26">
        <v>1672</v>
      </c>
      <c r="B1708" s="27" t="s">
        <v>2792</v>
      </c>
      <c r="C1708" s="27" t="s">
        <v>48</v>
      </c>
      <c r="D1708" s="28">
        <v>0.08</v>
      </c>
      <c r="E1708" s="29">
        <v>55.48</v>
      </c>
      <c r="F1708" s="29">
        <v>14.3</v>
      </c>
      <c r="G1708" s="30" t="s">
        <v>39</v>
      </c>
      <c r="H1708" s="27" t="s">
        <v>3095</v>
      </c>
      <c r="I1708" s="27" t="s">
        <v>49</v>
      </c>
      <c r="J1708" s="27" t="s">
        <v>88</v>
      </c>
      <c r="K1708" s="27" t="s">
        <v>73</v>
      </c>
      <c r="L1708" s="31" t="s">
        <v>847</v>
      </c>
      <c r="M1708" s="32">
        <v>0.37</v>
      </c>
      <c r="N1708" s="27" t="s">
        <v>33</v>
      </c>
      <c r="O1708" s="27" t="s">
        <v>34</v>
      </c>
      <c r="P1708" s="27" t="s">
        <v>242</v>
      </c>
      <c r="Q1708" s="27" t="s">
        <v>2793</v>
      </c>
      <c r="R1708" s="33">
        <v>22901</v>
      </c>
      <c r="S1708" s="34">
        <v>42162</v>
      </c>
      <c r="T1708" s="34">
        <v>42164</v>
      </c>
      <c r="U1708" s="29">
        <v>-225.56379999999999</v>
      </c>
      <c r="V1708" s="26">
        <v>17</v>
      </c>
      <c r="W1708" s="29">
        <v>942.53</v>
      </c>
      <c r="X1708" s="26">
        <v>86723</v>
      </c>
      <c r="Y1708" s="35">
        <v>284.96000000000004</v>
      </c>
      <c r="Z1708" s="1" t="s">
        <v>3011</v>
      </c>
      <c r="AA1708" s="36">
        <v>75.452799999999996</v>
      </c>
      <c r="AB1708" s="54">
        <v>593.79390000000001</v>
      </c>
      <c r="AC1708" s="54">
        <v>20.513888235294115</v>
      </c>
      <c r="AD1708" s="36">
        <v>1078.3409999999999</v>
      </c>
    </row>
    <row r="1709" spans="1:30" s="37" customFormat="1" ht="15.75" customHeight="1" x14ac:dyDescent="0.2">
      <c r="A1709" s="26">
        <v>1672</v>
      </c>
      <c r="B1709" s="27" t="s">
        <v>2792</v>
      </c>
      <c r="C1709" s="27" t="s">
        <v>48</v>
      </c>
      <c r="D1709" s="28">
        <v>0.02</v>
      </c>
      <c r="E1709" s="29">
        <v>284.98</v>
      </c>
      <c r="F1709" s="29">
        <v>69.55</v>
      </c>
      <c r="G1709" s="30" t="s">
        <v>27</v>
      </c>
      <c r="H1709" s="27" t="s">
        <v>3095</v>
      </c>
      <c r="I1709" s="27" t="s">
        <v>29</v>
      </c>
      <c r="J1709" s="27" t="s">
        <v>109</v>
      </c>
      <c r="K1709" s="27" t="s">
        <v>58</v>
      </c>
      <c r="L1709" s="31" t="s">
        <v>1415</v>
      </c>
      <c r="M1709" s="32">
        <v>0.6</v>
      </c>
      <c r="N1709" s="27" t="s">
        <v>33</v>
      </c>
      <c r="O1709" s="27" t="s">
        <v>34</v>
      </c>
      <c r="P1709" s="27" t="s">
        <v>242</v>
      </c>
      <c r="Q1709" s="27" t="s">
        <v>2793</v>
      </c>
      <c r="R1709" s="33">
        <v>22901</v>
      </c>
      <c r="S1709" s="34">
        <v>42162</v>
      </c>
      <c r="T1709" s="34">
        <v>42167</v>
      </c>
      <c r="U1709" s="29">
        <v>15.528</v>
      </c>
      <c r="V1709" s="26">
        <v>3</v>
      </c>
      <c r="W1709" s="29">
        <v>926.3</v>
      </c>
      <c r="X1709" s="26">
        <v>86723</v>
      </c>
      <c r="Y1709" s="35">
        <v>55.4</v>
      </c>
      <c r="Z1709" s="1" t="s">
        <v>3011</v>
      </c>
      <c r="AA1709" s="36">
        <v>17.098800000000001</v>
      </c>
      <c r="AB1709" s="54">
        <v>370.52</v>
      </c>
      <c r="AC1709" s="54">
        <v>185.26</v>
      </c>
      <c r="AD1709" s="36">
        <v>824.1232</v>
      </c>
    </row>
    <row r="1710" spans="1:30" s="37" customFormat="1" ht="15.75" customHeight="1" x14ac:dyDescent="0.2">
      <c r="A1710" s="26">
        <v>737</v>
      </c>
      <c r="B1710" s="27" t="s">
        <v>2789</v>
      </c>
      <c r="C1710" s="27" t="s">
        <v>48</v>
      </c>
      <c r="D1710" s="28">
        <v>0.02</v>
      </c>
      <c r="E1710" s="29">
        <v>48.04</v>
      </c>
      <c r="F1710" s="29">
        <v>5.79</v>
      </c>
      <c r="G1710" s="30" t="s">
        <v>39</v>
      </c>
      <c r="H1710" s="27" t="s">
        <v>40</v>
      </c>
      <c r="I1710" s="27" t="s">
        <v>49</v>
      </c>
      <c r="J1710" s="27" t="s">
        <v>88</v>
      </c>
      <c r="K1710" s="27" t="s">
        <v>73</v>
      </c>
      <c r="L1710" s="31" t="s">
        <v>2201</v>
      </c>
      <c r="M1710" s="32">
        <v>0.37</v>
      </c>
      <c r="N1710" s="27" t="s">
        <v>33</v>
      </c>
      <c r="O1710" s="27" t="s">
        <v>111</v>
      </c>
      <c r="P1710" s="27" t="s">
        <v>397</v>
      </c>
      <c r="Q1710" s="27" t="s">
        <v>2790</v>
      </c>
      <c r="R1710" s="33">
        <v>7003</v>
      </c>
      <c r="S1710" s="34">
        <v>42162</v>
      </c>
      <c r="T1710" s="34">
        <v>42169</v>
      </c>
      <c r="U1710" s="29">
        <v>422.45249999999999</v>
      </c>
      <c r="V1710" s="26">
        <v>12</v>
      </c>
      <c r="W1710" s="29">
        <v>612.25</v>
      </c>
      <c r="X1710" s="26">
        <v>90360</v>
      </c>
      <c r="Y1710" s="35">
        <v>1270.99</v>
      </c>
      <c r="Z1710" s="1" t="s">
        <v>3014</v>
      </c>
      <c r="AA1710" s="36">
        <v>11.5296</v>
      </c>
      <c r="AB1710" s="54">
        <v>385.71750000000003</v>
      </c>
      <c r="AC1710" s="54">
        <v>18.877708333333334</v>
      </c>
      <c r="AD1710" s="36">
        <v>172.47789999999998</v>
      </c>
    </row>
    <row r="1711" spans="1:30" s="37" customFormat="1" ht="15.75" customHeight="1" x14ac:dyDescent="0.2">
      <c r="A1711" s="26">
        <v>92</v>
      </c>
      <c r="B1711" s="27" t="s">
        <v>2543</v>
      </c>
      <c r="C1711" s="27" t="s">
        <v>116</v>
      </c>
      <c r="D1711" s="28">
        <v>0.04</v>
      </c>
      <c r="E1711" s="29">
        <v>12.98</v>
      </c>
      <c r="F1711" s="29">
        <v>3.14</v>
      </c>
      <c r="G1711" s="30" t="s">
        <v>87</v>
      </c>
      <c r="H1711" s="27" t="s">
        <v>94</v>
      </c>
      <c r="I1711" s="27" t="s">
        <v>49</v>
      </c>
      <c r="J1711" s="27" t="s">
        <v>568</v>
      </c>
      <c r="K1711" s="27" t="s">
        <v>43</v>
      </c>
      <c r="L1711" s="31" t="s">
        <v>569</v>
      </c>
      <c r="M1711" s="32">
        <v>0.6</v>
      </c>
      <c r="N1711" s="27" t="s">
        <v>33</v>
      </c>
      <c r="O1711" s="27" t="s">
        <v>34</v>
      </c>
      <c r="P1711" s="27" t="s">
        <v>168</v>
      </c>
      <c r="Q1711" s="27" t="s">
        <v>2545</v>
      </c>
      <c r="R1711" s="33">
        <v>70056</v>
      </c>
      <c r="S1711" s="34">
        <v>42162</v>
      </c>
      <c r="T1711" s="34">
        <v>42164</v>
      </c>
      <c r="U1711" s="29">
        <v>22.818000000000001</v>
      </c>
      <c r="V1711" s="26">
        <v>16</v>
      </c>
      <c r="W1711" s="29">
        <v>216.04</v>
      </c>
      <c r="X1711" s="26">
        <v>87178</v>
      </c>
      <c r="Y1711" s="35">
        <v>12.940000000000001</v>
      </c>
      <c r="Z1711" s="1" t="s">
        <v>3011</v>
      </c>
      <c r="AA1711" s="36">
        <v>8.3071999999999999</v>
      </c>
      <c r="AB1711" s="54">
        <v>86.415999999999997</v>
      </c>
      <c r="AC1711" s="54">
        <v>8.1014999999999997</v>
      </c>
      <c r="AD1711" s="36">
        <v>181.7748</v>
      </c>
    </row>
    <row r="1712" spans="1:30" s="37" customFormat="1" ht="15.75" customHeight="1" x14ac:dyDescent="0.2">
      <c r="A1712" s="26">
        <v>2583</v>
      </c>
      <c r="B1712" s="27" t="s">
        <v>2794</v>
      </c>
      <c r="C1712" s="27" t="s">
        <v>116</v>
      </c>
      <c r="D1712" s="28">
        <v>0</v>
      </c>
      <c r="E1712" s="29">
        <v>4.76</v>
      </c>
      <c r="F1712" s="29">
        <v>3.01</v>
      </c>
      <c r="G1712" s="30" t="s">
        <v>39</v>
      </c>
      <c r="H1712" s="27" t="s">
        <v>71</v>
      </c>
      <c r="I1712" s="27" t="s">
        <v>49</v>
      </c>
      <c r="J1712" s="27" t="s">
        <v>88</v>
      </c>
      <c r="K1712" s="27" t="s">
        <v>51</v>
      </c>
      <c r="L1712" s="31" t="s">
        <v>2797</v>
      </c>
      <c r="M1712" s="32">
        <v>0.36</v>
      </c>
      <c r="N1712" s="27" t="s">
        <v>33</v>
      </c>
      <c r="O1712" s="27" t="s">
        <v>53</v>
      </c>
      <c r="P1712" s="27" t="s">
        <v>289</v>
      </c>
      <c r="Q1712" s="27" t="s">
        <v>2796</v>
      </c>
      <c r="R1712" s="33">
        <v>49423</v>
      </c>
      <c r="S1712" s="34">
        <v>42162</v>
      </c>
      <c r="T1712" s="34">
        <v>42164</v>
      </c>
      <c r="U1712" s="29">
        <v>-2.3450000000000002</v>
      </c>
      <c r="V1712" s="26">
        <v>23</v>
      </c>
      <c r="W1712" s="29">
        <v>110.86</v>
      </c>
      <c r="X1712" s="26">
        <v>89657</v>
      </c>
      <c r="Y1712" s="35">
        <v>510.09999999999997</v>
      </c>
      <c r="Z1712" s="1" t="s">
        <v>3012</v>
      </c>
      <c r="AA1712" s="36">
        <v>0</v>
      </c>
      <c r="AB1712" s="54">
        <v>70.950400000000002</v>
      </c>
      <c r="AC1712" s="54">
        <v>1.7352000000000001</v>
      </c>
      <c r="AD1712" s="36">
        <v>110.19499999999999</v>
      </c>
    </row>
    <row r="1713" spans="1:30" s="37" customFormat="1" ht="15.75" customHeight="1" x14ac:dyDescent="0.2">
      <c r="A1713" s="26">
        <v>1374</v>
      </c>
      <c r="B1713" s="27" t="s">
        <v>2787</v>
      </c>
      <c r="C1713" s="27" t="s">
        <v>26</v>
      </c>
      <c r="D1713" s="28">
        <v>0.06</v>
      </c>
      <c r="E1713" s="29">
        <v>44.01</v>
      </c>
      <c r="F1713" s="29">
        <v>3.5</v>
      </c>
      <c r="G1713" s="30" t="s">
        <v>39</v>
      </c>
      <c r="H1713" s="27" t="s">
        <v>71</v>
      </c>
      <c r="I1713" s="27" t="s">
        <v>49</v>
      </c>
      <c r="J1713" s="27" t="s">
        <v>95</v>
      </c>
      <c r="K1713" s="27" t="s">
        <v>73</v>
      </c>
      <c r="L1713" s="31" t="s">
        <v>2788</v>
      </c>
      <c r="M1713" s="32">
        <v>0.59</v>
      </c>
      <c r="N1713" s="27" t="s">
        <v>33</v>
      </c>
      <c r="O1713" s="27" t="s">
        <v>60</v>
      </c>
      <c r="P1713" s="27" t="s">
        <v>90</v>
      </c>
      <c r="Q1713" s="27" t="s">
        <v>2533</v>
      </c>
      <c r="R1713" s="33">
        <v>95207</v>
      </c>
      <c r="S1713" s="34">
        <v>42162</v>
      </c>
      <c r="T1713" s="34">
        <v>42163</v>
      </c>
      <c r="U1713" s="29">
        <v>-21.231999999999999</v>
      </c>
      <c r="V1713" s="26">
        <v>1</v>
      </c>
      <c r="W1713" s="29">
        <v>46.94</v>
      </c>
      <c r="X1713" s="26">
        <v>88212</v>
      </c>
      <c r="Y1713" s="35">
        <v>4.76</v>
      </c>
      <c r="Z1713" s="1" t="s">
        <v>3013</v>
      </c>
      <c r="AA1713" s="36">
        <v>2.6405999999999996</v>
      </c>
      <c r="AB1713" s="54">
        <v>19.2454</v>
      </c>
      <c r="AC1713" s="54">
        <v>27.694599999999998</v>
      </c>
      <c r="AD1713" s="36">
        <v>62.031399999999998</v>
      </c>
    </row>
    <row r="1714" spans="1:30" s="37" customFormat="1" ht="15.75" customHeight="1" x14ac:dyDescent="0.2">
      <c r="A1714" s="26">
        <v>2794</v>
      </c>
      <c r="B1714" s="27" t="s">
        <v>1769</v>
      </c>
      <c r="C1714" s="27" t="s">
        <v>38</v>
      </c>
      <c r="D1714" s="28">
        <v>7.0000000000000007E-2</v>
      </c>
      <c r="E1714" s="29">
        <v>4.76</v>
      </c>
      <c r="F1714" s="29">
        <v>0.88</v>
      </c>
      <c r="G1714" s="30" t="s">
        <v>39</v>
      </c>
      <c r="H1714" s="27" t="s">
        <v>94</v>
      </c>
      <c r="I1714" s="27" t="s">
        <v>49</v>
      </c>
      <c r="J1714" s="27" t="s">
        <v>88</v>
      </c>
      <c r="K1714" s="27" t="s">
        <v>51</v>
      </c>
      <c r="L1714" s="31" t="s">
        <v>2442</v>
      </c>
      <c r="M1714" s="32">
        <v>0.39</v>
      </c>
      <c r="N1714" s="27" t="s">
        <v>33</v>
      </c>
      <c r="O1714" s="27" t="s">
        <v>53</v>
      </c>
      <c r="P1714" s="27" t="s">
        <v>213</v>
      </c>
      <c r="Q1714" s="27" t="s">
        <v>1770</v>
      </c>
      <c r="R1714" s="33">
        <v>50158</v>
      </c>
      <c r="S1714" s="34">
        <v>42162</v>
      </c>
      <c r="T1714" s="34">
        <v>42162</v>
      </c>
      <c r="U1714" s="29">
        <v>15.8148</v>
      </c>
      <c r="V1714" s="26">
        <v>5</v>
      </c>
      <c r="W1714" s="29">
        <v>22.92</v>
      </c>
      <c r="X1714" s="26">
        <v>87555</v>
      </c>
      <c r="Y1714" s="35">
        <v>535.59</v>
      </c>
      <c r="Z1714" s="1" t="s">
        <v>3012</v>
      </c>
      <c r="AA1714" s="36">
        <v>1.6659999999999999</v>
      </c>
      <c r="AB1714" s="54">
        <v>13.981200000000001</v>
      </c>
      <c r="AC1714" s="54">
        <v>1.7877600000000002</v>
      </c>
      <c r="AD1714" s="36">
        <v>4.5592000000000006</v>
      </c>
    </row>
    <row r="1715" spans="1:30" s="37" customFormat="1" ht="15.75" customHeight="1" x14ac:dyDescent="0.2">
      <c r="A1715" s="26">
        <v>3137</v>
      </c>
      <c r="B1715" s="27" t="s">
        <v>2802</v>
      </c>
      <c r="C1715" s="27" t="s">
        <v>3094</v>
      </c>
      <c r="D1715" s="28">
        <v>0.09</v>
      </c>
      <c r="E1715" s="29">
        <v>304.99</v>
      </c>
      <c r="F1715" s="29">
        <v>19.989999999999998</v>
      </c>
      <c r="G1715" s="30" t="s">
        <v>39</v>
      </c>
      <c r="H1715" s="27" t="s">
        <v>94</v>
      </c>
      <c r="I1715" s="27" t="s">
        <v>49</v>
      </c>
      <c r="J1715" s="27" t="s">
        <v>72</v>
      </c>
      <c r="K1715" s="27" t="s">
        <v>73</v>
      </c>
      <c r="L1715" s="31" t="s">
        <v>2803</v>
      </c>
      <c r="M1715" s="32">
        <v>0.4</v>
      </c>
      <c r="N1715" s="27" t="s">
        <v>33</v>
      </c>
      <c r="O1715" s="27" t="s">
        <v>111</v>
      </c>
      <c r="P1715" s="27" t="s">
        <v>1356</v>
      </c>
      <c r="Q1715" s="27" t="s">
        <v>2804</v>
      </c>
      <c r="R1715" s="33">
        <v>3246</v>
      </c>
      <c r="S1715" s="34">
        <v>42163</v>
      </c>
      <c r="T1715" s="34">
        <v>42164</v>
      </c>
      <c r="U1715" s="29">
        <v>1623.9494999999999</v>
      </c>
      <c r="V1715" s="26">
        <v>8</v>
      </c>
      <c r="W1715" s="29">
        <v>2353.5500000000002</v>
      </c>
      <c r="X1715" s="26">
        <v>86795</v>
      </c>
      <c r="Y1715" s="35">
        <v>122.94</v>
      </c>
      <c r="Z1715" s="1" t="s">
        <v>3014</v>
      </c>
      <c r="AA1715" s="36">
        <v>219.59280000000001</v>
      </c>
      <c r="AB1715" s="54">
        <v>1412.13</v>
      </c>
      <c r="AC1715" s="54">
        <v>117.67750000000001</v>
      </c>
      <c r="AD1715" s="36">
        <v>490.01770000000033</v>
      </c>
    </row>
    <row r="1716" spans="1:30" s="37" customFormat="1" ht="15.75" customHeight="1" x14ac:dyDescent="0.2">
      <c r="A1716" s="26">
        <v>3005</v>
      </c>
      <c r="B1716" s="27" t="s">
        <v>2799</v>
      </c>
      <c r="C1716" s="27" t="s">
        <v>26</v>
      </c>
      <c r="D1716" s="28">
        <v>0.05</v>
      </c>
      <c r="E1716" s="29">
        <v>122.99</v>
      </c>
      <c r="F1716" s="29">
        <v>19.989999999999998</v>
      </c>
      <c r="G1716" s="30" t="s">
        <v>87</v>
      </c>
      <c r="H1716" s="27" t="s">
        <v>94</v>
      </c>
      <c r="I1716" s="27" t="s">
        <v>49</v>
      </c>
      <c r="J1716" s="27" t="s">
        <v>72</v>
      </c>
      <c r="K1716" s="27" t="s">
        <v>73</v>
      </c>
      <c r="L1716" s="31" t="s">
        <v>2424</v>
      </c>
      <c r="M1716" s="32">
        <v>0.37</v>
      </c>
      <c r="N1716" s="27" t="s">
        <v>33</v>
      </c>
      <c r="O1716" s="27" t="s">
        <v>60</v>
      </c>
      <c r="P1716" s="27" t="s">
        <v>490</v>
      </c>
      <c r="Q1716" s="27" t="s">
        <v>1508</v>
      </c>
      <c r="R1716" s="33">
        <v>83814</v>
      </c>
      <c r="S1716" s="34">
        <v>42163</v>
      </c>
      <c r="T1716" s="34">
        <v>42166</v>
      </c>
      <c r="U1716" s="29">
        <v>1039.7541000000001</v>
      </c>
      <c r="V1716" s="26">
        <v>12</v>
      </c>
      <c r="W1716" s="29">
        <v>1506.89</v>
      </c>
      <c r="X1716" s="26">
        <v>91389</v>
      </c>
      <c r="Y1716" s="35">
        <v>100.92</v>
      </c>
      <c r="Z1716" s="1" t="s">
        <v>3013</v>
      </c>
      <c r="AA1716" s="36">
        <v>73.793999999999997</v>
      </c>
      <c r="AB1716" s="54">
        <v>949.34070000000008</v>
      </c>
      <c r="AC1716" s="54">
        <v>46.46244166666667</v>
      </c>
      <c r="AD1716" s="36">
        <v>373.35189999999989</v>
      </c>
    </row>
    <row r="1717" spans="1:30" s="37" customFormat="1" ht="15.75" customHeight="1" x14ac:dyDescent="0.2">
      <c r="A1717" s="26">
        <v>2638</v>
      </c>
      <c r="B1717" s="27" t="s">
        <v>2800</v>
      </c>
      <c r="C1717" s="27" t="s">
        <v>48</v>
      </c>
      <c r="D1717" s="28">
        <v>0.05</v>
      </c>
      <c r="E1717" s="29">
        <v>100.97</v>
      </c>
      <c r="F1717" s="29">
        <v>7.18</v>
      </c>
      <c r="G1717" s="30" t="s">
        <v>87</v>
      </c>
      <c r="H1717" s="27" t="s">
        <v>40</v>
      </c>
      <c r="I1717" s="27" t="s">
        <v>41</v>
      </c>
      <c r="J1717" s="27" t="s">
        <v>42</v>
      </c>
      <c r="K1717" s="27" t="s">
        <v>73</v>
      </c>
      <c r="L1717" s="31" t="s">
        <v>2801</v>
      </c>
      <c r="M1717" s="32">
        <v>0.46</v>
      </c>
      <c r="N1717" s="27" t="s">
        <v>33</v>
      </c>
      <c r="O1717" s="27" t="s">
        <v>60</v>
      </c>
      <c r="P1717" s="27" t="s">
        <v>490</v>
      </c>
      <c r="Q1717" s="27" t="s">
        <v>2579</v>
      </c>
      <c r="R1717" s="33">
        <v>83704</v>
      </c>
      <c r="S1717" s="34">
        <v>42163</v>
      </c>
      <c r="T1717" s="34">
        <v>42163</v>
      </c>
      <c r="U1717" s="29">
        <v>881.46810000000005</v>
      </c>
      <c r="V1717" s="26">
        <v>13</v>
      </c>
      <c r="W1717" s="29">
        <v>1277.49</v>
      </c>
      <c r="X1717" s="26">
        <v>90951</v>
      </c>
      <c r="Y1717" s="35">
        <v>304.90000000000003</v>
      </c>
      <c r="Z1717" s="1" t="s">
        <v>3013</v>
      </c>
      <c r="AA1717" s="36">
        <v>65.630500000000012</v>
      </c>
      <c r="AB1717" s="54">
        <v>689.84460000000001</v>
      </c>
      <c r="AC1717" s="54">
        <v>45.203492307692308</v>
      </c>
      <c r="AD1717" s="36">
        <v>323.21140000000003</v>
      </c>
    </row>
    <row r="1718" spans="1:30" s="37" customFormat="1" ht="15.75" customHeight="1" x14ac:dyDescent="0.2">
      <c r="A1718" s="26">
        <v>218</v>
      </c>
      <c r="B1718" s="27" t="s">
        <v>2809</v>
      </c>
      <c r="C1718" s="27" t="s">
        <v>116</v>
      </c>
      <c r="D1718" s="28">
        <v>0.05</v>
      </c>
      <c r="E1718" s="29">
        <v>119.99</v>
      </c>
      <c r="F1718" s="29">
        <v>56.14</v>
      </c>
      <c r="G1718" s="30" t="s">
        <v>27</v>
      </c>
      <c r="H1718" s="27" t="s">
        <v>40</v>
      </c>
      <c r="I1718" s="27" t="s">
        <v>41</v>
      </c>
      <c r="J1718" s="27" t="s">
        <v>57</v>
      </c>
      <c r="K1718" s="27" t="s">
        <v>31</v>
      </c>
      <c r="L1718" s="31" t="s">
        <v>587</v>
      </c>
      <c r="M1718" s="32">
        <v>0.39</v>
      </c>
      <c r="N1718" s="27" t="s">
        <v>33</v>
      </c>
      <c r="O1718" s="27" t="s">
        <v>60</v>
      </c>
      <c r="P1718" s="27" t="s">
        <v>146</v>
      </c>
      <c r="Q1718" s="27" t="s">
        <v>949</v>
      </c>
      <c r="R1718" s="33">
        <v>84107</v>
      </c>
      <c r="S1718" s="34">
        <v>42164</v>
      </c>
      <c r="T1718" s="34">
        <v>42166</v>
      </c>
      <c r="U1718" s="29">
        <v>-102.5121</v>
      </c>
      <c r="V1718" s="26">
        <v>6</v>
      </c>
      <c r="W1718" s="29">
        <v>730.37</v>
      </c>
      <c r="X1718" s="26">
        <v>88048</v>
      </c>
      <c r="Y1718" s="35">
        <v>8.34</v>
      </c>
      <c r="Z1718" s="1" t="s">
        <v>3013</v>
      </c>
      <c r="AA1718" s="36">
        <v>35.997</v>
      </c>
      <c r="AB1718" s="54">
        <v>445.52569999999997</v>
      </c>
      <c r="AC1718" s="54">
        <v>47.474050000000005</v>
      </c>
      <c r="AD1718" s="36">
        <v>740.74509999999998</v>
      </c>
    </row>
    <row r="1719" spans="1:30" s="37" customFormat="1" ht="15.75" customHeight="1" x14ac:dyDescent="0.2">
      <c r="A1719" s="26">
        <v>349</v>
      </c>
      <c r="B1719" s="27" t="s">
        <v>125</v>
      </c>
      <c r="C1719" s="27" t="s">
        <v>26</v>
      </c>
      <c r="D1719" s="28">
        <v>0</v>
      </c>
      <c r="E1719" s="29">
        <v>8.34</v>
      </c>
      <c r="F1719" s="29">
        <v>2.64</v>
      </c>
      <c r="G1719" s="30" t="s">
        <v>87</v>
      </c>
      <c r="H1719" s="27" t="s">
        <v>71</v>
      </c>
      <c r="I1719" s="27" t="s">
        <v>49</v>
      </c>
      <c r="J1719" s="27" t="s">
        <v>568</v>
      </c>
      <c r="K1719" s="27" t="s">
        <v>43</v>
      </c>
      <c r="L1719" s="31" t="s">
        <v>883</v>
      </c>
      <c r="M1719" s="32">
        <v>0.59</v>
      </c>
      <c r="N1719" s="27" t="s">
        <v>33</v>
      </c>
      <c r="O1719" s="27" t="s">
        <v>34</v>
      </c>
      <c r="P1719" s="27" t="s">
        <v>123</v>
      </c>
      <c r="Q1719" s="27" t="s">
        <v>128</v>
      </c>
      <c r="R1719" s="33">
        <v>33132</v>
      </c>
      <c r="S1719" s="34">
        <v>42164</v>
      </c>
      <c r="T1719" s="34">
        <v>42166</v>
      </c>
      <c r="U1719" s="29">
        <v>5.8624999999999998</v>
      </c>
      <c r="V1719" s="26">
        <v>23</v>
      </c>
      <c r="W1719" s="29">
        <v>212.89</v>
      </c>
      <c r="X1719" s="26">
        <v>17446</v>
      </c>
      <c r="Y1719" s="35">
        <v>8.34</v>
      </c>
      <c r="Z1719" s="1" t="s">
        <v>3011</v>
      </c>
      <c r="AA1719" s="36">
        <v>0</v>
      </c>
      <c r="AB1719" s="54">
        <v>87.284900000000007</v>
      </c>
      <c r="AC1719" s="54">
        <v>5.4610913043478249</v>
      </c>
      <c r="AD1719" s="36">
        <v>204.38749999999999</v>
      </c>
    </row>
    <row r="1720" spans="1:30" s="37" customFormat="1" ht="15.75" customHeight="1" x14ac:dyDescent="0.2">
      <c r="A1720" s="26">
        <v>2584</v>
      </c>
      <c r="B1720" s="27" t="s">
        <v>2805</v>
      </c>
      <c r="C1720" s="27" t="s">
        <v>26</v>
      </c>
      <c r="D1720" s="28">
        <v>0.04</v>
      </c>
      <c r="E1720" s="29">
        <v>6.3</v>
      </c>
      <c r="F1720" s="29">
        <v>0.5</v>
      </c>
      <c r="G1720" s="30" t="s">
        <v>39</v>
      </c>
      <c r="H1720" s="27" t="s">
        <v>71</v>
      </c>
      <c r="I1720" s="27" t="s">
        <v>49</v>
      </c>
      <c r="J1720" s="27" t="s">
        <v>152</v>
      </c>
      <c r="K1720" s="27" t="s">
        <v>73</v>
      </c>
      <c r="L1720" s="31" t="s">
        <v>826</v>
      </c>
      <c r="M1720" s="32">
        <v>0.39</v>
      </c>
      <c r="N1720" s="27" t="s">
        <v>33</v>
      </c>
      <c r="O1720" s="27" t="s">
        <v>53</v>
      </c>
      <c r="P1720" s="27" t="s">
        <v>289</v>
      </c>
      <c r="Q1720" s="27" t="s">
        <v>2806</v>
      </c>
      <c r="R1720" s="33">
        <v>48141</v>
      </c>
      <c r="S1720" s="34">
        <v>42164</v>
      </c>
      <c r="T1720" s="34">
        <v>42166</v>
      </c>
      <c r="U1720" s="29">
        <v>67.606200000000001</v>
      </c>
      <c r="V1720" s="26">
        <v>15</v>
      </c>
      <c r="W1720" s="29">
        <v>97.98</v>
      </c>
      <c r="X1720" s="26">
        <v>89658</v>
      </c>
      <c r="Y1720" s="35">
        <v>6.26</v>
      </c>
      <c r="Z1720" s="1" t="s">
        <v>3012</v>
      </c>
      <c r="AA1720" s="36">
        <v>3.7800000000000002</v>
      </c>
      <c r="AB1720" s="54">
        <v>59.767800000000001</v>
      </c>
      <c r="AC1720" s="54">
        <v>2.5474800000000002</v>
      </c>
      <c r="AD1720" s="36">
        <v>26.093800000000002</v>
      </c>
    </row>
    <row r="1721" spans="1:30" s="37" customFormat="1" ht="15.75" customHeight="1" x14ac:dyDescent="0.2">
      <c r="A1721" s="26">
        <v>3361</v>
      </c>
      <c r="B1721" s="27" t="s">
        <v>810</v>
      </c>
      <c r="C1721" s="27" t="s">
        <v>116</v>
      </c>
      <c r="D1721" s="28">
        <v>0.03</v>
      </c>
      <c r="E1721" s="29">
        <v>4.9800000000000004</v>
      </c>
      <c r="F1721" s="29">
        <v>4.95</v>
      </c>
      <c r="G1721" s="30" t="s">
        <v>39</v>
      </c>
      <c r="H1721" s="27" t="s">
        <v>71</v>
      </c>
      <c r="I1721" s="27" t="s">
        <v>49</v>
      </c>
      <c r="J1721" s="27" t="s">
        <v>72</v>
      </c>
      <c r="K1721" s="27" t="s">
        <v>73</v>
      </c>
      <c r="L1721" s="31" t="s">
        <v>2619</v>
      </c>
      <c r="M1721" s="32">
        <v>0.37</v>
      </c>
      <c r="N1721" s="27" t="s">
        <v>33</v>
      </c>
      <c r="O1721" s="27" t="s">
        <v>53</v>
      </c>
      <c r="P1721" s="27" t="s">
        <v>357</v>
      </c>
      <c r="Q1721" s="27" t="s">
        <v>812</v>
      </c>
      <c r="R1721" s="33">
        <v>53095</v>
      </c>
      <c r="S1721" s="34">
        <v>42164</v>
      </c>
      <c r="T1721" s="34">
        <v>42166</v>
      </c>
      <c r="U1721" s="29">
        <v>-47.995249999999999</v>
      </c>
      <c r="V1721" s="26">
        <v>19</v>
      </c>
      <c r="W1721" s="29">
        <v>95</v>
      </c>
      <c r="X1721" s="26">
        <v>91438</v>
      </c>
      <c r="Y1721" s="35">
        <v>7.54</v>
      </c>
      <c r="Z1721" s="1" t="s">
        <v>3012</v>
      </c>
      <c r="AA1721" s="36">
        <v>2.8386</v>
      </c>
      <c r="AB1721" s="54">
        <v>59.85</v>
      </c>
      <c r="AC1721" s="54">
        <v>1.85</v>
      </c>
      <c r="AD1721" s="36">
        <v>135.20665</v>
      </c>
    </row>
    <row r="1722" spans="1:30" s="37" customFormat="1" ht="15.75" customHeight="1" x14ac:dyDescent="0.2">
      <c r="A1722" s="26">
        <v>351</v>
      </c>
      <c r="B1722" s="27" t="s">
        <v>129</v>
      </c>
      <c r="C1722" s="27" t="s">
        <v>26</v>
      </c>
      <c r="D1722" s="28">
        <v>0</v>
      </c>
      <c r="E1722" s="29">
        <v>8.34</v>
      </c>
      <c r="F1722" s="29">
        <v>2.64</v>
      </c>
      <c r="G1722" s="30" t="s">
        <v>87</v>
      </c>
      <c r="H1722" s="27" t="s">
        <v>71</v>
      </c>
      <c r="I1722" s="27" t="s">
        <v>49</v>
      </c>
      <c r="J1722" s="27" t="s">
        <v>568</v>
      </c>
      <c r="K1722" s="27" t="s">
        <v>43</v>
      </c>
      <c r="L1722" s="31" t="s">
        <v>883</v>
      </c>
      <c r="M1722" s="32">
        <v>0.59</v>
      </c>
      <c r="N1722" s="27" t="s">
        <v>33</v>
      </c>
      <c r="O1722" s="27" t="s">
        <v>111</v>
      </c>
      <c r="P1722" s="27" t="s">
        <v>112</v>
      </c>
      <c r="Q1722" s="27" t="s">
        <v>130</v>
      </c>
      <c r="R1722" s="33">
        <v>13601</v>
      </c>
      <c r="S1722" s="34">
        <v>42164</v>
      </c>
      <c r="T1722" s="34">
        <v>42166</v>
      </c>
      <c r="U1722" s="29">
        <v>10.5</v>
      </c>
      <c r="V1722" s="26">
        <v>6</v>
      </c>
      <c r="W1722" s="29">
        <v>55.54</v>
      </c>
      <c r="X1722" s="26">
        <v>88685</v>
      </c>
      <c r="Y1722" s="35">
        <v>119.94</v>
      </c>
      <c r="Z1722" s="1" t="s">
        <v>3014</v>
      </c>
      <c r="AA1722" s="36">
        <v>0</v>
      </c>
      <c r="AB1722" s="54">
        <v>22.7714</v>
      </c>
      <c r="AC1722" s="54">
        <v>5.4614333333333329</v>
      </c>
      <c r="AD1722" s="36">
        <v>42.4</v>
      </c>
    </row>
    <row r="1723" spans="1:30" s="37" customFormat="1" ht="15.75" customHeight="1" x14ac:dyDescent="0.2">
      <c r="A1723" s="26">
        <v>326</v>
      </c>
      <c r="B1723" s="27" t="s">
        <v>2810</v>
      </c>
      <c r="C1723" s="27" t="s">
        <v>3094</v>
      </c>
      <c r="D1723" s="28">
        <v>0.06</v>
      </c>
      <c r="E1723" s="29">
        <v>7.99</v>
      </c>
      <c r="F1723" s="29">
        <v>5.03</v>
      </c>
      <c r="G1723" s="30" t="s">
        <v>39</v>
      </c>
      <c r="H1723" s="27" t="s">
        <v>40</v>
      </c>
      <c r="I1723" s="27" t="s">
        <v>41</v>
      </c>
      <c r="J1723" s="27" t="s">
        <v>135</v>
      </c>
      <c r="K1723" s="27" t="s">
        <v>144</v>
      </c>
      <c r="L1723" s="31" t="s">
        <v>465</v>
      </c>
      <c r="M1723" s="32">
        <v>0.6</v>
      </c>
      <c r="N1723" s="27" t="s">
        <v>33</v>
      </c>
      <c r="O1723" s="27" t="s">
        <v>53</v>
      </c>
      <c r="P1723" s="27" t="s">
        <v>103</v>
      </c>
      <c r="Q1723" s="27" t="s">
        <v>2195</v>
      </c>
      <c r="R1723" s="33">
        <v>60510</v>
      </c>
      <c r="S1723" s="34">
        <v>42164</v>
      </c>
      <c r="T1723" s="34">
        <v>42165</v>
      </c>
      <c r="U1723" s="29">
        <v>-29.172000000000001</v>
      </c>
      <c r="V1723" s="26">
        <v>4</v>
      </c>
      <c r="W1723" s="29">
        <v>28.46</v>
      </c>
      <c r="X1723" s="26">
        <v>90973</v>
      </c>
      <c r="Y1723" s="35">
        <v>4.95</v>
      </c>
      <c r="Z1723" s="1" t="s">
        <v>3012</v>
      </c>
      <c r="AA1723" s="36">
        <v>1.9176</v>
      </c>
      <c r="AB1723" s="54">
        <v>11.384</v>
      </c>
      <c r="AC1723" s="54">
        <v>4.2690000000000001</v>
      </c>
      <c r="AD1723" s="36">
        <v>50.684399999999997</v>
      </c>
    </row>
    <row r="1724" spans="1:30" s="37" customFormat="1" ht="15.75" customHeight="1" x14ac:dyDescent="0.2">
      <c r="A1724" s="26">
        <v>1151</v>
      </c>
      <c r="B1724" s="27" t="s">
        <v>2807</v>
      </c>
      <c r="C1724" s="27" t="s">
        <v>48</v>
      </c>
      <c r="D1724" s="28">
        <v>0.05</v>
      </c>
      <c r="E1724" s="29">
        <v>7.59</v>
      </c>
      <c r="F1724" s="29">
        <v>4</v>
      </c>
      <c r="G1724" s="30" t="s">
        <v>39</v>
      </c>
      <c r="H1724" s="27" t="s">
        <v>94</v>
      </c>
      <c r="I1724" s="27" t="s">
        <v>29</v>
      </c>
      <c r="J1724" s="27" t="s">
        <v>126</v>
      </c>
      <c r="K1724" s="27" t="s">
        <v>51</v>
      </c>
      <c r="L1724" s="31" t="s">
        <v>1687</v>
      </c>
      <c r="M1724" s="32">
        <v>0.42</v>
      </c>
      <c r="N1724" s="27" t="s">
        <v>33</v>
      </c>
      <c r="O1724" s="27" t="s">
        <v>111</v>
      </c>
      <c r="P1724" s="27" t="s">
        <v>403</v>
      </c>
      <c r="Q1724" s="27" t="s">
        <v>2808</v>
      </c>
      <c r="R1724" s="33">
        <v>1075</v>
      </c>
      <c r="S1724" s="34">
        <v>42164</v>
      </c>
      <c r="T1724" s="34">
        <v>42164</v>
      </c>
      <c r="U1724" s="29">
        <v>6.0926999999999998</v>
      </c>
      <c r="V1724" s="26">
        <v>1</v>
      </c>
      <c r="W1724" s="29">
        <v>8.83</v>
      </c>
      <c r="X1724" s="26">
        <v>91344</v>
      </c>
      <c r="Y1724" s="35">
        <v>7.9300000000000006</v>
      </c>
      <c r="Z1724" s="1" t="s">
        <v>3014</v>
      </c>
      <c r="AA1724" s="36">
        <v>0.3795</v>
      </c>
      <c r="AB1724" s="54">
        <v>5.1214000000000004</v>
      </c>
      <c r="AC1724" s="54">
        <v>3.7085999999999997</v>
      </c>
      <c r="AD1724" s="36">
        <v>-1.6422000000000008</v>
      </c>
    </row>
    <row r="1725" spans="1:30" s="37" customFormat="1" ht="15.75" customHeight="1" x14ac:dyDescent="0.2">
      <c r="A1725" s="26">
        <v>254</v>
      </c>
      <c r="B1725" s="27" t="s">
        <v>2814</v>
      </c>
      <c r="C1725" s="27" t="s">
        <v>116</v>
      </c>
      <c r="D1725" s="28">
        <v>0.1</v>
      </c>
      <c r="E1725" s="29">
        <v>280.98</v>
      </c>
      <c r="F1725" s="29">
        <v>35.67</v>
      </c>
      <c r="G1725" s="30" t="s">
        <v>27</v>
      </c>
      <c r="H1725" s="27" t="s">
        <v>71</v>
      </c>
      <c r="I1725" s="27" t="s">
        <v>29</v>
      </c>
      <c r="J1725" s="27" t="s">
        <v>30</v>
      </c>
      <c r="K1725" s="27" t="s">
        <v>31</v>
      </c>
      <c r="L1725" s="31" t="s">
        <v>2815</v>
      </c>
      <c r="M1725" s="32">
        <v>0.66</v>
      </c>
      <c r="N1725" s="27" t="s">
        <v>33</v>
      </c>
      <c r="O1725" s="27" t="s">
        <v>60</v>
      </c>
      <c r="P1725" s="27" t="s">
        <v>61</v>
      </c>
      <c r="Q1725" s="27" t="s">
        <v>2816</v>
      </c>
      <c r="R1725" s="33">
        <v>80126</v>
      </c>
      <c r="S1725" s="34">
        <v>42165</v>
      </c>
      <c r="T1725" s="34">
        <v>42166</v>
      </c>
      <c r="U1725" s="29">
        <v>-53.744999999999997</v>
      </c>
      <c r="V1725" s="26">
        <v>5</v>
      </c>
      <c r="W1725" s="29">
        <v>1332.82</v>
      </c>
      <c r="X1725" s="26">
        <v>86268</v>
      </c>
      <c r="Y1725" s="35">
        <v>2.21</v>
      </c>
      <c r="Z1725" s="1" t="s">
        <v>3013</v>
      </c>
      <c r="AA1725" s="36">
        <v>140.49</v>
      </c>
      <c r="AB1725" s="54">
        <v>453.15879999999993</v>
      </c>
      <c r="AC1725" s="54">
        <v>175.93223999999998</v>
      </c>
      <c r="AD1725" s="36">
        <v>1210.405</v>
      </c>
    </row>
    <row r="1726" spans="1:30" s="37" customFormat="1" ht="15.75" customHeight="1" x14ac:dyDescent="0.2">
      <c r="A1726" s="26">
        <v>2431</v>
      </c>
      <c r="B1726" s="27" t="s">
        <v>2570</v>
      </c>
      <c r="C1726" s="27" t="s">
        <v>3094</v>
      </c>
      <c r="D1726" s="28">
        <v>0.05</v>
      </c>
      <c r="E1726" s="29">
        <v>8.85</v>
      </c>
      <c r="F1726" s="29">
        <v>5.6</v>
      </c>
      <c r="G1726" s="30" t="s">
        <v>39</v>
      </c>
      <c r="H1726" s="27" t="s">
        <v>40</v>
      </c>
      <c r="I1726" s="27" t="s">
        <v>49</v>
      </c>
      <c r="J1726" s="27" t="s">
        <v>72</v>
      </c>
      <c r="K1726" s="27" t="s">
        <v>73</v>
      </c>
      <c r="L1726" s="31" t="s">
        <v>2818</v>
      </c>
      <c r="M1726" s="32">
        <v>0.36</v>
      </c>
      <c r="N1726" s="27" t="s">
        <v>33</v>
      </c>
      <c r="O1726" s="27" t="s">
        <v>60</v>
      </c>
      <c r="P1726" s="27" t="s">
        <v>90</v>
      </c>
      <c r="Q1726" s="27" t="s">
        <v>100</v>
      </c>
      <c r="R1726" s="33">
        <v>90004</v>
      </c>
      <c r="S1726" s="34">
        <v>42165</v>
      </c>
      <c r="T1726" s="34">
        <v>42166</v>
      </c>
      <c r="U1726" s="29">
        <v>-9.1769999999999996</v>
      </c>
      <c r="V1726" s="26">
        <v>21</v>
      </c>
      <c r="W1726" s="29">
        <v>199.08</v>
      </c>
      <c r="X1726" s="26">
        <v>24869</v>
      </c>
      <c r="Y1726" s="35">
        <v>7.28</v>
      </c>
      <c r="Z1726" s="1" t="s">
        <v>3013</v>
      </c>
      <c r="AA1726" s="36">
        <v>9.2925000000000004</v>
      </c>
      <c r="AB1726" s="54">
        <v>127.41120000000001</v>
      </c>
      <c r="AC1726" s="54">
        <v>3.4127999999999998</v>
      </c>
      <c r="AD1726" s="36">
        <v>193.36450000000002</v>
      </c>
    </row>
    <row r="1727" spans="1:30" s="37" customFormat="1" ht="15.75" customHeight="1" x14ac:dyDescent="0.2">
      <c r="A1727" s="26">
        <v>597</v>
      </c>
      <c r="B1727" s="27" t="s">
        <v>2817</v>
      </c>
      <c r="C1727" s="27" t="s">
        <v>3094</v>
      </c>
      <c r="D1727" s="28">
        <v>0.1</v>
      </c>
      <c r="E1727" s="29">
        <v>6.48</v>
      </c>
      <c r="F1727" s="29">
        <v>5.9</v>
      </c>
      <c r="G1727" s="30" t="s">
        <v>39</v>
      </c>
      <c r="H1727" s="27" t="s">
        <v>3095</v>
      </c>
      <c r="I1727" s="27" t="s">
        <v>49</v>
      </c>
      <c r="J1727" s="27" t="s">
        <v>88</v>
      </c>
      <c r="K1727" s="27" t="s">
        <v>73</v>
      </c>
      <c r="L1727" s="31" t="s">
        <v>1751</v>
      </c>
      <c r="M1727" s="32">
        <v>0.37</v>
      </c>
      <c r="N1727" s="27" t="s">
        <v>33</v>
      </c>
      <c r="O1727" s="27" t="s">
        <v>53</v>
      </c>
      <c r="P1727" s="27" t="s">
        <v>54</v>
      </c>
      <c r="Q1727" s="27" t="s">
        <v>1483</v>
      </c>
      <c r="R1727" s="33">
        <v>47201</v>
      </c>
      <c r="S1727" s="34">
        <v>42165</v>
      </c>
      <c r="T1727" s="34">
        <v>42165</v>
      </c>
      <c r="U1727" s="29">
        <v>-51.634999999999998</v>
      </c>
      <c r="V1727" s="26">
        <v>19</v>
      </c>
      <c r="W1727" s="29">
        <v>116.8</v>
      </c>
      <c r="X1727" s="26">
        <v>86310</v>
      </c>
      <c r="Y1727" s="35">
        <v>280.88</v>
      </c>
      <c r="Z1727" s="1" t="s">
        <v>3012</v>
      </c>
      <c r="AA1727" s="36">
        <v>12.312000000000003</v>
      </c>
      <c r="AB1727" s="54">
        <v>73.584000000000003</v>
      </c>
      <c r="AC1727" s="54">
        <v>2.2745263157894735</v>
      </c>
      <c r="AD1727" s="36">
        <v>150.22299999999998</v>
      </c>
    </row>
    <row r="1728" spans="1:30" s="37" customFormat="1" ht="15.75" customHeight="1" x14ac:dyDescent="0.2">
      <c r="A1728" s="26">
        <v>3079</v>
      </c>
      <c r="B1728" s="27" t="s">
        <v>319</v>
      </c>
      <c r="C1728" s="27" t="s">
        <v>26</v>
      </c>
      <c r="D1728" s="28">
        <v>0</v>
      </c>
      <c r="E1728" s="29">
        <v>2.21</v>
      </c>
      <c r="F1728" s="29">
        <v>1</v>
      </c>
      <c r="G1728" s="30" t="s">
        <v>87</v>
      </c>
      <c r="H1728" s="27" t="s">
        <v>3095</v>
      </c>
      <c r="I1728" s="27" t="s">
        <v>49</v>
      </c>
      <c r="J1728" s="27" t="s">
        <v>50</v>
      </c>
      <c r="K1728" s="27" t="s">
        <v>51</v>
      </c>
      <c r="L1728" s="31" t="s">
        <v>2811</v>
      </c>
      <c r="M1728" s="32">
        <v>0.38</v>
      </c>
      <c r="N1728" s="27" t="s">
        <v>33</v>
      </c>
      <c r="O1728" s="27" t="s">
        <v>111</v>
      </c>
      <c r="P1728" s="27" t="s">
        <v>320</v>
      </c>
      <c r="Q1728" s="27" t="s">
        <v>321</v>
      </c>
      <c r="R1728" s="33">
        <v>19112</v>
      </c>
      <c r="S1728" s="34">
        <v>42165</v>
      </c>
      <c r="T1728" s="34">
        <v>42166</v>
      </c>
      <c r="U1728" s="29">
        <v>10.01</v>
      </c>
      <c r="V1728" s="26">
        <v>33</v>
      </c>
      <c r="W1728" s="29">
        <v>87.18</v>
      </c>
      <c r="X1728" s="26">
        <v>48483</v>
      </c>
      <c r="Y1728" s="35">
        <v>6.3800000000000008</v>
      </c>
      <c r="Z1728" s="1" t="s">
        <v>3014</v>
      </c>
      <c r="AA1728" s="36">
        <v>0</v>
      </c>
      <c r="AB1728" s="54">
        <v>54.051600000000001</v>
      </c>
      <c r="AC1728" s="54">
        <v>1.0038909090909092</v>
      </c>
      <c r="AD1728" s="36">
        <v>76.17</v>
      </c>
    </row>
    <row r="1729" spans="1:30" s="37" customFormat="1" ht="15.75" customHeight="1" x14ac:dyDescent="0.2">
      <c r="A1729" s="26">
        <v>2433</v>
      </c>
      <c r="B1729" s="27" t="s">
        <v>2819</v>
      </c>
      <c r="C1729" s="27" t="s">
        <v>3094</v>
      </c>
      <c r="D1729" s="28">
        <v>0.05</v>
      </c>
      <c r="E1729" s="29">
        <v>8.85</v>
      </c>
      <c r="F1729" s="29">
        <v>5.6</v>
      </c>
      <c r="G1729" s="30" t="s">
        <v>39</v>
      </c>
      <c r="H1729" s="27" t="s">
        <v>40</v>
      </c>
      <c r="I1729" s="27" t="s">
        <v>49</v>
      </c>
      <c r="J1729" s="27" t="s">
        <v>72</v>
      </c>
      <c r="K1729" s="27" t="s">
        <v>73</v>
      </c>
      <c r="L1729" s="31" t="s">
        <v>2818</v>
      </c>
      <c r="M1729" s="32">
        <v>0.36</v>
      </c>
      <c r="N1729" s="27" t="s">
        <v>33</v>
      </c>
      <c r="O1729" s="27" t="s">
        <v>53</v>
      </c>
      <c r="P1729" s="27" t="s">
        <v>207</v>
      </c>
      <c r="Q1729" s="27" t="s">
        <v>611</v>
      </c>
      <c r="R1729" s="33">
        <v>73160</v>
      </c>
      <c r="S1729" s="34">
        <v>42165</v>
      </c>
      <c r="T1729" s="34">
        <v>42166</v>
      </c>
      <c r="U1729" s="29">
        <v>-7.3415999999999997</v>
      </c>
      <c r="V1729" s="26">
        <v>5</v>
      </c>
      <c r="W1729" s="29">
        <v>47.4</v>
      </c>
      <c r="X1729" s="26">
        <v>89095</v>
      </c>
      <c r="Y1729" s="35">
        <v>8.7999999999999989</v>
      </c>
      <c r="Z1729" s="1" t="s">
        <v>3012</v>
      </c>
      <c r="AA1729" s="36">
        <v>2.2124999999999999</v>
      </c>
      <c r="AB1729" s="54">
        <v>30.335999999999999</v>
      </c>
      <c r="AC1729" s="54">
        <v>3.4127999999999998</v>
      </c>
      <c r="AD1729" s="36">
        <v>46.929099999999998</v>
      </c>
    </row>
    <row r="1730" spans="1:30" s="37" customFormat="1" ht="15.75" customHeight="1" x14ac:dyDescent="0.2">
      <c r="A1730" s="26">
        <v>3243</v>
      </c>
      <c r="B1730" s="27" t="s">
        <v>2812</v>
      </c>
      <c r="C1730" s="27" t="s">
        <v>38</v>
      </c>
      <c r="D1730" s="28">
        <v>0</v>
      </c>
      <c r="E1730" s="29">
        <v>7.28</v>
      </c>
      <c r="F1730" s="29">
        <v>3.52</v>
      </c>
      <c r="G1730" s="30" t="s">
        <v>39</v>
      </c>
      <c r="H1730" s="27" t="s">
        <v>3095</v>
      </c>
      <c r="I1730" s="27" t="s">
        <v>41</v>
      </c>
      <c r="J1730" s="27" t="s">
        <v>42</v>
      </c>
      <c r="K1730" s="27" t="s">
        <v>43</v>
      </c>
      <c r="L1730" s="31" t="s">
        <v>2813</v>
      </c>
      <c r="M1730" s="32">
        <v>0.68</v>
      </c>
      <c r="N1730" s="27" t="s">
        <v>33</v>
      </c>
      <c r="O1730" s="27" t="s">
        <v>111</v>
      </c>
      <c r="P1730" s="27" t="s">
        <v>248</v>
      </c>
      <c r="Q1730" s="27" t="s">
        <v>249</v>
      </c>
      <c r="R1730" s="33">
        <v>6010</v>
      </c>
      <c r="S1730" s="34">
        <v>42165</v>
      </c>
      <c r="T1730" s="34">
        <v>42165</v>
      </c>
      <c r="U1730" s="29">
        <v>-25.103999999999999</v>
      </c>
      <c r="V1730" s="26">
        <v>3</v>
      </c>
      <c r="W1730" s="29">
        <v>24.44</v>
      </c>
      <c r="X1730" s="26">
        <v>88329</v>
      </c>
      <c r="Y1730" s="35">
        <v>8.7999999999999989</v>
      </c>
      <c r="Z1730" s="1" t="s">
        <v>3014</v>
      </c>
      <c r="AA1730" s="36">
        <v>0</v>
      </c>
      <c r="AB1730" s="54">
        <v>7.8207999999999993</v>
      </c>
      <c r="AC1730" s="54">
        <v>5.5397333333333334</v>
      </c>
      <c r="AD1730" s="36">
        <v>46.024000000000001</v>
      </c>
    </row>
    <row r="1731" spans="1:30" s="37" customFormat="1" ht="15.75" customHeight="1" x14ac:dyDescent="0.2">
      <c r="A1731" s="26">
        <v>3079</v>
      </c>
      <c r="B1731" s="27" t="s">
        <v>319</v>
      </c>
      <c r="C1731" s="27" t="s">
        <v>3094</v>
      </c>
      <c r="D1731" s="28">
        <v>0.01</v>
      </c>
      <c r="E1731" s="29">
        <v>193.17</v>
      </c>
      <c r="F1731" s="29">
        <v>19.989999999999998</v>
      </c>
      <c r="G1731" s="30" t="s">
        <v>87</v>
      </c>
      <c r="H1731" s="27" t="s">
        <v>3095</v>
      </c>
      <c r="I1731" s="27" t="s">
        <v>49</v>
      </c>
      <c r="J1731" s="27" t="s">
        <v>78</v>
      </c>
      <c r="K1731" s="27" t="s">
        <v>73</v>
      </c>
      <c r="L1731" s="31" t="s">
        <v>1582</v>
      </c>
      <c r="M1731" s="32">
        <v>0.71</v>
      </c>
      <c r="N1731" s="27" t="s">
        <v>33</v>
      </c>
      <c r="O1731" s="27" t="s">
        <v>111</v>
      </c>
      <c r="P1731" s="27" t="s">
        <v>320</v>
      </c>
      <c r="Q1731" s="27" t="s">
        <v>321</v>
      </c>
      <c r="R1731" s="33">
        <v>19112</v>
      </c>
      <c r="S1731" s="34">
        <v>42166</v>
      </c>
      <c r="T1731" s="34">
        <v>42166</v>
      </c>
      <c r="U1731" s="29">
        <v>1141.07</v>
      </c>
      <c r="V1731" s="26">
        <v>63</v>
      </c>
      <c r="W1731" s="29">
        <v>12190.98</v>
      </c>
      <c r="X1731" s="26">
        <v>53476</v>
      </c>
      <c r="Y1731" s="35">
        <v>5.23</v>
      </c>
      <c r="Z1731" s="1" t="s">
        <v>3014</v>
      </c>
      <c r="AA1731" s="36">
        <v>121.69709999999999</v>
      </c>
      <c r="AB1731" s="54">
        <v>3535.3842000000004</v>
      </c>
      <c r="AC1731" s="54">
        <v>137.39040952380952</v>
      </c>
      <c r="AD1731" s="36">
        <v>10908.222899999999</v>
      </c>
    </row>
    <row r="1732" spans="1:30" s="37" customFormat="1" ht="15.75" customHeight="1" x14ac:dyDescent="0.2">
      <c r="A1732" s="26">
        <v>2543</v>
      </c>
      <c r="B1732" s="27" t="s">
        <v>2827</v>
      </c>
      <c r="C1732" s="27" t="s">
        <v>116</v>
      </c>
      <c r="D1732" s="28">
        <v>0.02</v>
      </c>
      <c r="E1732" s="29">
        <v>195.99</v>
      </c>
      <c r="F1732" s="29">
        <v>4.2</v>
      </c>
      <c r="G1732" s="30" t="s">
        <v>39</v>
      </c>
      <c r="H1732" s="27" t="s">
        <v>3095</v>
      </c>
      <c r="I1732" s="27" t="s">
        <v>41</v>
      </c>
      <c r="J1732" s="27" t="s">
        <v>135</v>
      </c>
      <c r="K1732" s="27" t="s">
        <v>73</v>
      </c>
      <c r="L1732" s="31" t="s">
        <v>2828</v>
      </c>
      <c r="M1732" s="32">
        <v>0.56000000000000005</v>
      </c>
      <c r="N1732" s="27" t="s">
        <v>33</v>
      </c>
      <c r="O1732" s="27" t="s">
        <v>34</v>
      </c>
      <c r="P1732" s="27" t="s">
        <v>242</v>
      </c>
      <c r="Q1732" s="27" t="s">
        <v>2432</v>
      </c>
      <c r="R1732" s="33">
        <v>23223</v>
      </c>
      <c r="S1732" s="34">
        <v>42166</v>
      </c>
      <c r="T1732" s="34">
        <v>42167</v>
      </c>
      <c r="U1732" s="29">
        <v>40.283999999999999</v>
      </c>
      <c r="V1732" s="26">
        <v>19</v>
      </c>
      <c r="W1732" s="29">
        <v>3194.99</v>
      </c>
      <c r="X1732" s="26">
        <v>87917</v>
      </c>
      <c r="Y1732" s="35">
        <v>35.980000000000004</v>
      </c>
      <c r="Z1732" s="1" t="s">
        <v>3011</v>
      </c>
      <c r="AA1732" s="36">
        <v>74.476200000000006</v>
      </c>
      <c r="AB1732" s="54">
        <v>1405.7955999999997</v>
      </c>
      <c r="AC1732" s="54">
        <v>94.168126315789465</v>
      </c>
      <c r="AD1732" s="36">
        <v>3076.0297999999998</v>
      </c>
    </row>
    <row r="1733" spans="1:30" s="37" customFormat="1" ht="15.75" customHeight="1" x14ac:dyDescent="0.2">
      <c r="A1733" s="26">
        <v>3079</v>
      </c>
      <c r="B1733" s="27" t="s">
        <v>319</v>
      </c>
      <c r="C1733" s="27" t="s">
        <v>3094</v>
      </c>
      <c r="D1733" s="28">
        <v>0.04</v>
      </c>
      <c r="E1733" s="29">
        <v>35.44</v>
      </c>
      <c r="F1733" s="29">
        <v>5.09</v>
      </c>
      <c r="G1733" s="30" t="s">
        <v>39</v>
      </c>
      <c r="H1733" s="27" t="s">
        <v>3095</v>
      </c>
      <c r="I1733" s="27" t="s">
        <v>49</v>
      </c>
      <c r="J1733" s="27" t="s">
        <v>88</v>
      </c>
      <c r="K1733" s="27" t="s">
        <v>73</v>
      </c>
      <c r="L1733" s="31" t="s">
        <v>2078</v>
      </c>
      <c r="M1733" s="32">
        <v>0.38</v>
      </c>
      <c r="N1733" s="27" t="s">
        <v>33</v>
      </c>
      <c r="O1733" s="27" t="s">
        <v>111</v>
      </c>
      <c r="P1733" s="27" t="s">
        <v>320</v>
      </c>
      <c r="Q1733" s="27" t="s">
        <v>321</v>
      </c>
      <c r="R1733" s="33">
        <v>19112</v>
      </c>
      <c r="S1733" s="34">
        <v>42166</v>
      </c>
      <c r="T1733" s="34">
        <v>42166</v>
      </c>
      <c r="U1733" s="29">
        <v>150.72</v>
      </c>
      <c r="V1733" s="26">
        <v>21</v>
      </c>
      <c r="W1733" s="29">
        <v>722.1</v>
      </c>
      <c r="X1733" s="26">
        <v>53476</v>
      </c>
      <c r="Y1733" s="35">
        <v>5.2600000000000007</v>
      </c>
      <c r="Z1733" s="1" t="s">
        <v>3014</v>
      </c>
      <c r="AA1733" s="36">
        <v>29.769600000000001</v>
      </c>
      <c r="AB1733" s="54">
        <v>447.702</v>
      </c>
      <c r="AC1733" s="54">
        <v>13.066571428571429</v>
      </c>
      <c r="AD1733" s="36">
        <v>536.5204</v>
      </c>
    </row>
    <row r="1734" spans="1:30" s="37" customFormat="1" ht="15.75" customHeight="1" x14ac:dyDescent="0.2">
      <c r="A1734" s="26">
        <v>1466</v>
      </c>
      <c r="B1734" s="27" t="s">
        <v>2825</v>
      </c>
      <c r="C1734" s="27" t="s">
        <v>38</v>
      </c>
      <c r="D1734" s="28">
        <v>0</v>
      </c>
      <c r="E1734" s="29">
        <v>65.989999999999995</v>
      </c>
      <c r="F1734" s="29">
        <v>8.99</v>
      </c>
      <c r="G1734" s="30" t="s">
        <v>39</v>
      </c>
      <c r="H1734" s="27" t="s">
        <v>3095</v>
      </c>
      <c r="I1734" s="27" t="s">
        <v>41</v>
      </c>
      <c r="J1734" s="27" t="s">
        <v>135</v>
      </c>
      <c r="K1734" s="27" t="s">
        <v>73</v>
      </c>
      <c r="L1734" s="31" t="s">
        <v>2594</v>
      </c>
      <c r="M1734" s="32">
        <v>0.56000000000000005</v>
      </c>
      <c r="N1734" s="27" t="s">
        <v>33</v>
      </c>
      <c r="O1734" s="27" t="s">
        <v>53</v>
      </c>
      <c r="P1734" s="27" t="s">
        <v>133</v>
      </c>
      <c r="Q1734" s="27" t="s">
        <v>1483</v>
      </c>
      <c r="R1734" s="33">
        <v>68601</v>
      </c>
      <c r="S1734" s="34">
        <v>42166</v>
      </c>
      <c r="T1734" s="34">
        <v>42168</v>
      </c>
      <c r="U1734" s="29">
        <v>253.3032</v>
      </c>
      <c r="V1734" s="26">
        <v>10</v>
      </c>
      <c r="W1734" s="29">
        <v>575.07000000000005</v>
      </c>
      <c r="X1734" s="26">
        <v>91115</v>
      </c>
      <c r="Y1734" s="35">
        <v>5.2600000000000007</v>
      </c>
      <c r="Z1734" s="1" t="s">
        <v>3012</v>
      </c>
      <c r="AA1734" s="36">
        <v>0</v>
      </c>
      <c r="AB1734" s="54">
        <v>253.0308</v>
      </c>
      <c r="AC1734" s="54">
        <v>32.203920000000004</v>
      </c>
      <c r="AD1734" s="36">
        <v>312.77680000000004</v>
      </c>
    </row>
    <row r="1735" spans="1:30" s="37" customFormat="1" ht="15.75" customHeight="1" x14ac:dyDescent="0.2">
      <c r="A1735" s="26">
        <v>3251</v>
      </c>
      <c r="B1735" s="27" t="s">
        <v>2824</v>
      </c>
      <c r="C1735" s="27" t="s">
        <v>26</v>
      </c>
      <c r="D1735" s="28">
        <v>0.02</v>
      </c>
      <c r="E1735" s="29">
        <v>5.28</v>
      </c>
      <c r="F1735" s="29">
        <v>6.26</v>
      </c>
      <c r="G1735" s="30" t="s">
        <v>39</v>
      </c>
      <c r="H1735" s="27" t="s">
        <v>94</v>
      </c>
      <c r="I1735" s="27" t="s">
        <v>49</v>
      </c>
      <c r="J1735" s="27" t="s">
        <v>88</v>
      </c>
      <c r="K1735" s="27" t="s">
        <v>73</v>
      </c>
      <c r="L1735" s="31" t="s">
        <v>2458</v>
      </c>
      <c r="M1735" s="32">
        <v>0.4</v>
      </c>
      <c r="N1735" s="27" t="s">
        <v>33</v>
      </c>
      <c r="O1735" s="27" t="s">
        <v>111</v>
      </c>
      <c r="P1735" s="27" t="s">
        <v>112</v>
      </c>
      <c r="Q1735" s="27" t="s">
        <v>113</v>
      </c>
      <c r="R1735" s="33">
        <v>10112</v>
      </c>
      <c r="S1735" s="34">
        <v>42166</v>
      </c>
      <c r="T1735" s="34">
        <v>42167</v>
      </c>
      <c r="U1735" s="29">
        <v>-131.16</v>
      </c>
      <c r="V1735" s="26">
        <v>76</v>
      </c>
      <c r="W1735" s="29">
        <v>412.72</v>
      </c>
      <c r="X1735" s="26">
        <v>39076</v>
      </c>
      <c r="Y1735" s="35">
        <v>65.989999999999995</v>
      </c>
      <c r="Z1735" s="1" t="s">
        <v>3014</v>
      </c>
      <c r="AA1735" s="36">
        <v>8.0256000000000007</v>
      </c>
      <c r="AB1735" s="54">
        <v>247.63200000000001</v>
      </c>
      <c r="AC1735" s="54">
        <v>2.1722105263157898</v>
      </c>
      <c r="AD1735" s="36">
        <v>529.59440000000006</v>
      </c>
    </row>
    <row r="1736" spans="1:30" s="37" customFormat="1" ht="15.75" customHeight="1" x14ac:dyDescent="0.2">
      <c r="A1736" s="26">
        <v>2779</v>
      </c>
      <c r="B1736" s="27" t="s">
        <v>2822</v>
      </c>
      <c r="C1736" s="27" t="s">
        <v>26</v>
      </c>
      <c r="D1736" s="28">
        <v>0.01</v>
      </c>
      <c r="E1736" s="29">
        <v>35.99</v>
      </c>
      <c r="F1736" s="29">
        <v>5.99</v>
      </c>
      <c r="G1736" s="30" t="s">
        <v>39</v>
      </c>
      <c r="H1736" s="27" t="s">
        <v>94</v>
      </c>
      <c r="I1736" s="27" t="s">
        <v>41</v>
      </c>
      <c r="J1736" s="27" t="s">
        <v>135</v>
      </c>
      <c r="K1736" s="27" t="s">
        <v>51</v>
      </c>
      <c r="L1736" s="31" t="s">
        <v>1372</v>
      </c>
      <c r="M1736" s="32">
        <v>0.38</v>
      </c>
      <c r="N1736" s="27" t="s">
        <v>33</v>
      </c>
      <c r="O1736" s="27" t="s">
        <v>34</v>
      </c>
      <c r="P1736" s="27" t="s">
        <v>97</v>
      </c>
      <c r="Q1736" s="27" t="s">
        <v>2823</v>
      </c>
      <c r="R1736" s="33">
        <v>27893</v>
      </c>
      <c r="S1736" s="34">
        <v>42166</v>
      </c>
      <c r="T1736" s="34">
        <v>42167</v>
      </c>
      <c r="U1736" s="29">
        <v>-60.704000000000001</v>
      </c>
      <c r="V1736" s="26">
        <v>11</v>
      </c>
      <c r="W1736" s="29">
        <v>345.07</v>
      </c>
      <c r="X1736" s="26">
        <v>87161</v>
      </c>
      <c r="Y1736" s="35">
        <v>39.97</v>
      </c>
      <c r="Z1736" s="1" t="s">
        <v>3011</v>
      </c>
      <c r="AA1736" s="36">
        <v>3.9589000000000008</v>
      </c>
      <c r="AB1736" s="54">
        <v>213.9434</v>
      </c>
      <c r="AC1736" s="54">
        <v>11.9206</v>
      </c>
      <c r="AD1736" s="36">
        <v>395.82510000000002</v>
      </c>
    </row>
    <row r="1737" spans="1:30" s="37" customFormat="1" ht="15.75" customHeight="1" x14ac:dyDescent="0.2">
      <c r="A1737" s="26">
        <v>2840</v>
      </c>
      <c r="B1737" s="27" t="s">
        <v>1737</v>
      </c>
      <c r="C1737" s="27" t="s">
        <v>116</v>
      </c>
      <c r="D1737" s="28">
        <v>0</v>
      </c>
      <c r="E1737" s="29">
        <v>14.98</v>
      </c>
      <c r="F1737" s="29">
        <v>8.99</v>
      </c>
      <c r="G1737" s="30" t="s">
        <v>39</v>
      </c>
      <c r="H1737" s="27" t="s">
        <v>94</v>
      </c>
      <c r="I1737" s="27" t="s">
        <v>29</v>
      </c>
      <c r="J1737" s="27" t="s">
        <v>126</v>
      </c>
      <c r="K1737" s="27" t="s">
        <v>43</v>
      </c>
      <c r="L1737" s="31" t="s">
        <v>1486</v>
      </c>
      <c r="M1737" s="32">
        <v>0.39</v>
      </c>
      <c r="N1737" s="27" t="s">
        <v>33</v>
      </c>
      <c r="O1737" s="27" t="s">
        <v>34</v>
      </c>
      <c r="P1737" s="27" t="s">
        <v>123</v>
      </c>
      <c r="Q1737" s="27" t="s">
        <v>1739</v>
      </c>
      <c r="R1737" s="33">
        <v>33161</v>
      </c>
      <c r="S1737" s="34">
        <v>42166</v>
      </c>
      <c r="T1737" s="34">
        <v>42167</v>
      </c>
      <c r="U1737" s="29">
        <v>-40.604199999999999</v>
      </c>
      <c r="V1737" s="26">
        <v>18</v>
      </c>
      <c r="W1737" s="29">
        <v>273.79000000000002</v>
      </c>
      <c r="X1737" s="26">
        <v>87885</v>
      </c>
      <c r="Y1737" s="35">
        <v>12.27</v>
      </c>
      <c r="Z1737" s="1" t="s">
        <v>3011</v>
      </c>
      <c r="AA1737" s="36">
        <v>0</v>
      </c>
      <c r="AB1737" s="54">
        <v>167.0119</v>
      </c>
      <c r="AC1737" s="54">
        <v>5.9321166666666674</v>
      </c>
      <c r="AD1737" s="36">
        <v>305.4042</v>
      </c>
    </row>
    <row r="1738" spans="1:30" s="37" customFormat="1" ht="15.75" customHeight="1" x14ac:dyDescent="0.2">
      <c r="A1738" s="26">
        <v>2840</v>
      </c>
      <c r="B1738" s="27" t="s">
        <v>1737</v>
      </c>
      <c r="C1738" s="27" t="s">
        <v>116</v>
      </c>
      <c r="D1738" s="28">
        <v>0.05</v>
      </c>
      <c r="E1738" s="29">
        <v>15.68</v>
      </c>
      <c r="F1738" s="29">
        <v>3.73</v>
      </c>
      <c r="G1738" s="30" t="s">
        <v>39</v>
      </c>
      <c r="H1738" s="27" t="s">
        <v>94</v>
      </c>
      <c r="I1738" s="27" t="s">
        <v>29</v>
      </c>
      <c r="J1738" s="27" t="s">
        <v>126</v>
      </c>
      <c r="K1738" s="27" t="s">
        <v>43</v>
      </c>
      <c r="L1738" s="31" t="s">
        <v>2727</v>
      </c>
      <c r="M1738" s="32">
        <v>0.46</v>
      </c>
      <c r="N1738" s="27" t="s">
        <v>33</v>
      </c>
      <c r="O1738" s="27" t="s">
        <v>34</v>
      </c>
      <c r="P1738" s="27" t="s">
        <v>123</v>
      </c>
      <c r="Q1738" s="27" t="s">
        <v>1739</v>
      </c>
      <c r="R1738" s="33">
        <v>33161</v>
      </c>
      <c r="S1738" s="34">
        <v>42166</v>
      </c>
      <c r="T1738" s="34">
        <v>42168</v>
      </c>
      <c r="U1738" s="29">
        <v>1166.6279999999999</v>
      </c>
      <c r="V1738" s="26">
        <v>17</v>
      </c>
      <c r="W1738" s="29">
        <v>260.01</v>
      </c>
      <c r="X1738" s="26">
        <v>87885</v>
      </c>
      <c r="Y1738" s="35">
        <v>15.629999999999999</v>
      </c>
      <c r="Z1738" s="1" t="s">
        <v>3011</v>
      </c>
      <c r="AA1738" s="36">
        <v>13.328000000000001</v>
      </c>
      <c r="AB1738" s="54">
        <v>140.40540000000001</v>
      </c>
      <c r="AC1738" s="54">
        <v>7.0355647058823534</v>
      </c>
      <c r="AD1738" s="36">
        <v>-923.67599999999993</v>
      </c>
    </row>
    <row r="1739" spans="1:30" s="37" customFormat="1" ht="15.75" customHeight="1" x14ac:dyDescent="0.2">
      <c r="A1739" s="26">
        <v>2543</v>
      </c>
      <c r="B1739" s="27" t="s">
        <v>2827</v>
      </c>
      <c r="C1739" s="27" t="s">
        <v>116</v>
      </c>
      <c r="D1739" s="28">
        <v>0.05</v>
      </c>
      <c r="E1739" s="29">
        <v>15.68</v>
      </c>
      <c r="F1739" s="29">
        <v>3.73</v>
      </c>
      <c r="G1739" s="30" t="s">
        <v>39</v>
      </c>
      <c r="H1739" s="27" t="s">
        <v>3095</v>
      </c>
      <c r="I1739" s="27" t="s">
        <v>29</v>
      </c>
      <c r="J1739" s="27" t="s">
        <v>126</v>
      </c>
      <c r="K1739" s="27" t="s">
        <v>43</v>
      </c>
      <c r="L1739" s="31" t="s">
        <v>2727</v>
      </c>
      <c r="M1739" s="32">
        <v>0.46</v>
      </c>
      <c r="N1739" s="27" t="s">
        <v>33</v>
      </c>
      <c r="O1739" s="27" t="s">
        <v>34</v>
      </c>
      <c r="P1739" s="27" t="s">
        <v>242</v>
      </c>
      <c r="Q1739" s="27" t="s">
        <v>2432</v>
      </c>
      <c r="R1739" s="33">
        <v>23223</v>
      </c>
      <c r="S1739" s="34">
        <v>42166</v>
      </c>
      <c r="T1739" s="34">
        <v>42167</v>
      </c>
      <c r="U1739" s="29">
        <v>3.54</v>
      </c>
      <c r="V1739" s="26">
        <v>17</v>
      </c>
      <c r="W1739" s="29">
        <v>257.48</v>
      </c>
      <c r="X1739" s="26">
        <v>87917</v>
      </c>
      <c r="Y1739" s="35">
        <v>195.97</v>
      </c>
      <c r="Z1739" s="1" t="s">
        <v>3011</v>
      </c>
      <c r="AA1739" s="36">
        <v>13.328000000000001</v>
      </c>
      <c r="AB1739" s="54">
        <v>139.03920000000002</v>
      </c>
      <c r="AC1739" s="54">
        <v>6.9671058823529419</v>
      </c>
      <c r="AD1739" s="36">
        <v>236.88200000000001</v>
      </c>
    </row>
    <row r="1740" spans="1:30" s="37" customFormat="1" ht="15.75" customHeight="1" x14ac:dyDescent="0.2">
      <c r="A1740" s="26">
        <v>2649</v>
      </c>
      <c r="B1740" s="27" t="s">
        <v>2826</v>
      </c>
      <c r="C1740" s="27" t="s">
        <v>38</v>
      </c>
      <c r="D1740" s="28">
        <v>0.01</v>
      </c>
      <c r="E1740" s="29">
        <v>39.979999999999997</v>
      </c>
      <c r="F1740" s="29">
        <v>4</v>
      </c>
      <c r="G1740" s="30" t="s">
        <v>39</v>
      </c>
      <c r="H1740" s="27" t="s">
        <v>94</v>
      </c>
      <c r="I1740" s="27" t="s">
        <v>41</v>
      </c>
      <c r="J1740" s="27" t="s">
        <v>42</v>
      </c>
      <c r="K1740" s="27" t="s">
        <v>73</v>
      </c>
      <c r="L1740" s="31" t="s">
        <v>1927</v>
      </c>
      <c r="M1740" s="32">
        <v>0.7</v>
      </c>
      <c r="N1740" s="27" t="s">
        <v>33</v>
      </c>
      <c r="O1740" s="27" t="s">
        <v>111</v>
      </c>
      <c r="P1740" s="27" t="s">
        <v>418</v>
      </c>
      <c r="Q1740" s="27" t="s">
        <v>2330</v>
      </c>
      <c r="R1740" s="33">
        <v>21040</v>
      </c>
      <c r="S1740" s="34">
        <v>42166</v>
      </c>
      <c r="T1740" s="34">
        <v>42167</v>
      </c>
      <c r="U1740" s="29">
        <v>-30.808</v>
      </c>
      <c r="V1740" s="26">
        <v>5</v>
      </c>
      <c r="W1740" s="29">
        <v>203.29</v>
      </c>
      <c r="X1740" s="26">
        <v>88814</v>
      </c>
      <c r="Y1740" s="35">
        <v>15.629999999999999</v>
      </c>
      <c r="Z1740" s="1" t="s">
        <v>3014</v>
      </c>
      <c r="AA1740" s="36">
        <v>1.9989999999999999</v>
      </c>
      <c r="AB1740" s="54">
        <v>60.987000000000009</v>
      </c>
      <c r="AC1740" s="54">
        <v>28.460599999999999</v>
      </c>
      <c r="AD1740" s="36">
        <v>228.09899999999999</v>
      </c>
    </row>
    <row r="1741" spans="1:30" s="37" customFormat="1" ht="15.75" customHeight="1" x14ac:dyDescent="0.2">
      <c r="A1741" s="26">
        <v>3078</v>
      </c>
      <c r="B1741" s="27" t="s">
        <v>2830</v>
      </c>
      <c r="C1741" s="27" t="s">
        <v>3094</v>
      </c>
      <c r="D1741" s="28">
        <v>0.04</v>
      </c>
      <c r="E1741" s="29">
        <v>35.44</v>
      </c>
      <c r="F1741" s="29">
        <v>5.09</v>
      </c>
      <c r="G1741" s="30" t="s">
        <v>39</v>
      </c>
      <c r="H1741" s="27" t="s">
        <v>3095</v>
      </c>
      <c r="I1741" s="27" t="s">
        <v>49</v>
      </c>
      <c r="J1741" s="27" t="s">
        <v>88</v>
      </c>
      <c r="K1741" s="27" t="s">
        <v>73</v>
      </c>
      <c r="L1741" s="31" t="s">
        <v>2078</v>
      </c>
      <c r="M1741" s="32">
        <v>0.38</v>
      </c>
      <c r="N1741" s="27" t="s">
        <v>33</v>
      </c>
      <c r="O1741" s="27" t="s">
        <v>111</v>
      </c>
      <c r="P1741" s="27" t="s">
        <v>317</v>
      </c>
      <c r="Q1741" s="27" t="s">
        <v>2831</v>
      </c>
      <c r="R1741" s="33">
        <v>43615</v>
      </c>
      <c r="S1741" s="34">
        <v>42166</v>
      </c>
      <c r="T1741" s="34">
        <v>42166</v>
      </c>
      <c r="U1741" s="29">
        <v>118.6317</v>
      </c>
      <c r="V1741" s="26">
        <v>5</v>
      </c>
      <c r="W1741" s="29">
        <v>171.93</v>
      </c>
      <c r="X1741" s="26">
        <v>88240</v>
      </c>
      <c r="Y1741" s="35">
        <v>14.98</v>
      </c>
      <c r="Z1741" s="1" t="s">
        <v>3014</v>
      </c>
      <c r="AA1741" s="36">
        <v>7.0880000000000001</v>
      </c>
      <c r="AB1741" s="54">
        <v>106.59660000000001</v>
      </c>
      <c r="AC1741" s="54">
        <v>13.066680000000002</v>
      </c>
      <c r="AD1741" s="36">
        <v>41.120300000000015</v>
      </c>
    </row>
    <row r="1742" spans="1:30" s="37" customFormat="1" ht="15.75" customHeight="1" x14ac:dyDescent="0.2">
      <c r="A1742" s="26">
        <v>3008</v>
      </c>
      <c r="B1742" s="27" t="s">
        <v>1518</v>
      </c>
      <c r="C1742" s="27" t="s">
        <v>38</v>
      </c>
      <c r="D1742" s="28">
        <v>0.01</v>
      </c>
      <c r="E1742" s="29">
        <v>12.28</v>
      </c>
      <c r="F1742" s="29">
        <v>6.47</v>
      </c>
      <c r="G1742" s="30" t="s">
        <v>39</v>
      </c>
      <c r="H1742" s="27" t="s">
        <v>71</v>
      </c>
      <c r="I1742" s="27" t="s">
        <v>49</v>
      </c>
      <c r="J1742" s="27" t="s">
        <v>88</v>
      </c>
      <c r="K1742" s="27" t="s">
        <v>73</v>
      </c>
      <c r="L1742" s="31" t="s">
        <v>2558</v>
      </c>
      <c r="M1742" s="32">
        <v>0.38</v>
      </c>
      <c r="N1742" s="27" t="s">
        <v>33</v>
      </c>
      <c r="O1742" s="27" t="s">
        <v>53</v>
      </c>
      <c r="P1742" s="27" t="s">
        <v>84</v>
      </c>
      <c r="Q1742" s="27" t="s">
        <v>1520</v>
      </c>
      <c r="R1742" s="33">
        <v>55343</v>
      </c>
      <c r="S1742" s="34">
        <v>42166</v>
      </c>
      <c r="T1742" s="34">
        <v>42167</v>
      </c>
      <c r="U1742" s="29">
        <v>47.61</v>
      </c>
      <c r="V1742" s="26">
        <v>12</v>
      </c>
      <c r="W1742" s="29">
        <v>160.66</v>
      </c>
      <c r="X1742" s="26">
        <v>89415</v>
      </c>
      <c r="Y1742" s="35">
        <v>38.739999999999995</v>
      </c>
      <c r="Z1742" s="1" t="s">
        <v>3012</v>
      </c>
      <c r="AA1742" s="36">
        <v>1.4735999999999998</v>
      </c>
      <c r="AB1742" s="54">
        <v>99.609200000000001</v>
      </c>
      <c r="AC1742" s="54">
        <v>5.0875666666666666</v>
      </c>
      <c r="AD1742" s="36">
        <v>105.10640000000001</v>
      </c>
    </row>
    <row r="1743" spans="1:30" s="37" customFormat="1" ht="15.75" customHeight="1" x14ac:dyDescent="0.2">
      <c r="A1743" s="26">
        <v>3079</v>
      </c>
      <c r="B1743" s="27" t="s">
        <v>319</v>
      </c>
      <c r="C1743" s="27" t="s">
        <v>3094</v>
      </c>
      <c r="D1743" s="28">
        <v>0.08</v>
      </c>
      <c r="E1743" s="29">
        <v>3.98</v>
      </c>
      <c r="F1743" s="29">
        <v>0.7</v>
      </c>
      <c r="G1743" s="30" t="s">
        <v>39</v>
      </c>
      <c r="H1743" s="27" t="s">
        <v>3095</v>
      </c>
      <c r="I1743" s="27" t="s">
        <v>49</v>
      </c>
      <c r="J1743" s="27" t="s">
        <v>50</v>
      </c>
      <c r="K1743" s="27" t="s">
        <v>51</v>
      </c>
      <c r="L1743" s="31" t="s">
        <v>348</v>
      </c>
      <c r="M1743" s="32">
        <v>0.52</v>
      </c>
      <c r="N1743" s="27" t="s">
        <v>33</v>
      </c>
      <c r="O1743" s="27" t="s">
        <v>111</v>
      </c>
      <c r="P1743" s="27" t="s">
        <v>320</v>
      </c>
      <c r="Q1743" s="27" t="s">
        <v>321</v>
      </c>
      <c r="R1743" s="33">
        <v>19112</v>
      </c>
      <c r="S1743" s="34">
        <v>42166</v>
      </c>
      <c r="T1743" s="34">
        <v>42169</v>
      </c>
      <c r="U1743" s="29">
        <v>19.420000000000002</v>
      </c>
      <c r="V1743" s="26">
        <v>36</v>
      </c>
      <c r="W1743" s="29">
        <v>140.78</v>
      </c>
      <c r="X1743" s="26">
        <v>53476</v>
      </c>
      <c r="Y1743" s="35">
        <v>35.4</v>
      </c>
      <c r="Z1743" s="1" t="s">
        <v>3014</v>
      </c>
      <c r="AA1743" s="36">
        <v>11.462400000000001</v>
      </c>
      <c r="AB1743" s="54">
        <v>67.574399999999997</v>
      </c>
      <c r="AC1743" s="54">
        <v>2.0334888888888889</v>
      </c>
      <c r="AD1743" s="36">
        <v>109.19759999999999</v>
      </c>
    </row>
    <row r="1744" spans="1:30" s="37" customFormat="1" ht="15.75" customHeight="1" x14ac:dyDescent="0.2">
      <c r="A1744" s="26">
        <v>3079</v>
      </c>
      <c r="B1744" s="27" t="s">
        <v>319</v>
      </c>
      <c r="C1744" s="27" t="s">
        <v>3094</v>
      </c>
      <c r="D1744" s="28">
        <v>0.01</v>
      </c>
      <c r="E1744" s="29">
        <v>1.76</v>
      </c>
      <c r="F1744" s="29">
        <v>0.7</v>
      </c>
      <c r="G1744" s="30" t="s">
        <v>39</v>
      </c>
      <c r="H1744" s="27" t="s">
        <v>3095</v>
      </c>
      <c r="I1744" s="27" t="s">
        <v>49</v>
      </c>
      <c r="J1744" s="27" t="s">
        <v>50</v>
      </c>
      <c r="K1744" s="27" t="s">
        <v>51</v>
      </c>
      <c r="L1744" s="31" t="s">
        <v>1663</v>
      </c>
      <c r="M1744" s="32">
        <v>0.56000000000000005</v>
      </c>
      <c r="N1744" s="27" t="s">
        <v>33</v>
      </c>
      <c r="O1744" s="27" t="s">
        <v>111</v>
      </c>
      <c r="P1744" s="27" t="s">
        <v>320</v>
      </c>
      <c r="Q1744" s="27" t="s">
        <v>321</v>
      </c>
      <c r="R1744" s="33">
        <v>19112</v>
      </c>
      <c r="S1744" s="34">
        <v>42166</v>
      </c>
      <c r="T1744" s="34">
        <v>42167</v>
      </c>
      <c r="U1744" s="29">
        <v>3.13</v>
      </c>
      <c r="V1744" s="26">
        <v>71</v>
      </c>
      <c r="W1744" s="29">
        <v>129.72</v>
      </c>
      <c r="X1744" s="26">
        <v>53476</v>
      </c>
      <c r="Y1744" s="35">
        <v>3.9</v>
      </c>
      <c r="Z1744" s="1" t="s">
        <v>3014</v>
      </c>
      <c r="AA1744" s="36">
        <v>1.2496</v>
      </c>
      <c r="AB1744" s="54">
        <v>57.076799999999992</v>
      </c>
      <c r="AC1744" s="54">
        <v>1.023143661971831</v>
      </c>
      <c r="AD1744" s="36">
        <v>124.6404</v>
      </c>
    </row>
    <row r="1745" spans="1:30" s="37" customFormat="1" ht="15.75" customHeight="1" x14ac:dyDescent="0.2">
      <c r="A1745" s="26">
        <v>3252</v>
      </c>
      <c r="B1745" s="27" t="s">
        <v>1923</v>
      </c>
      <c r="C1745" s="27" t="s">
        <v>26</v>
      </c>
      <c r="D1745" s="28">
        <v>0.02</v>
      </c>
      <c r="E1745" s="29">
        <v>5.28</v>
      </c>
      <c r="F1745" s="29">
        <v>6.26</v>
      </c>
      <c r="G1745" s="30" t="s">
        <v>39</v>
      </c>
      <c r="H1745" s="27" t="s">
        <v>94</v>
      </c>
      <c r="I1745" s="27" t="s">
        <v>49</v>
      </c>
      <c r="J1745" s="27" t="s">
        <v>88</v>
      </c>
      <c r="K1745" s="27" t="s">
        <v>73</v>
      </c>
      <c r="L1745" s="31" t="s">
        <v>2458</v>
      </c>
      <c r="M1745" s="32">
        <v>0.4</v>
      </c>
      <c r="N1745" s="27" t="s">
        <v>33</v>
      </c>
      <c r="O1745" s="27" t="s">
        <v>111</v>
      </c>
      <c r="P1745" s="27" t="s">
        <v>112</v>
      </c>
      <c r="Q1745" s="27" t="s">
        <v>1924</v>
      </c>
      <c r="R1745" s="33">
        <v>12306</v>
      </c>
      <c r="S1745" s="34">
        <v>42166</v>
      </c>
      <c r="T1745" s="34">
        <v>42167</v>
      </c>
      <c r="U1745" s="29">
        <v>-65.58</v>
      </c>
      <c r="V1745" s="26">
        <v>19</v>
      </c>
      <c r="W1745" s="29">
        <v>103.18</v>
      </c>
      <c r="X1745" s="26">
        <v>87299</v>
      </c>
      <c r="Y1745" s="35">
        <v>35.4</v>
      </c>
      <c r="Z1745" s="1" t="s">
        <v>3014</v>
      </c>
      <c r="AA1745" s="36">
        <v>2.0064000000000002</v>
      </c>
      <c r="AB1745" s="54">
        <v>61.908000000000001</v>
      </c>
      <c r="AC1745" s="54">
        <v>2.1722105263157898</v>
      </c>
      <c r="AD1745" s="36">
        <v>160.49360000000001</v>
      </c>
    </row>
    <row r="1746" spans="1:30" s="37" customFormat="1" ht="15.75" customHeight="1" x14ac:dyDescent="0.2">
      <c r="A1746" s="26">
        <v>2840</v>
      </c>
      <c r="B1746" s="27" t="s">
        <v>1737</v>
      </c>
      <c r="C1746" s="27" t="s">
        <v>116</v>
      </c>
      <c r="D1746" s="28">
        <v>0.02</v>
      </c>
      <c r="E1746" s="29">
        <v>38.76</v>
      </c>
      <c r="F1746" s="29">
        <v>13.26</v>
      </c>
      <c r="G1746" s="30" t="s">
        <v>39</v>
      </c>
      <c r="H1746" s="27" t="s">
        <v>94</v>
      </c>
      <c r="I1746" s="27" t="s">
        <v>49</v>
      </c>
      <c r="J1746" s="27" t="s">
        <v>88</v>
      </c>
      <c r="K1746" s="27" t="s">
        <v>73</v>
      </c>
      <c r="L1746" s="31" t="s">
        <v>2829</v>
      </c>
      <c r="M1746" s="32">
        <v>0.36</v>
      </c>
      <c r="N1746" s="27" t="s">
        <v>33</v>
      </c>
      <c r="O1746" s="27" t="s">
        <v>34</v>
      </c>
      <c r="P1746" s="27" t="s">
        <v>123</v>
      </c>
      <c r="Q1746" s="27" t="s">
        <v>1739</v>
      </c>
      <c r="R1746" s="33">
        <v>33161</v>
      </c>
      <c r="S1746" s="34">
        <v>42166</v>
      </c>
      <c r="T1746" s="34">
        <v>42167</v>
      </c>
      <c r="U1746" s="29">
        <v>-294.084</v>
      </c>
      <c r="V1746" s="26">
        <v>1</v>
      </c>
      <c r="W1746" s="29">
        <v>44.62</v>
      </c>
      <c r="X1746" s="26">
        <v>87885</v>
      </c>
      <c r="Y1746" s="35">
        <v>3.9</v>
      </c>
      <c r="Z1746" s="1" t="s">
        <v>3011</v>
      </c>
      <c r="AA1746" s="36">
        <v>0.7752</v>
      </c>
      <c r="AB1746" s="54">
        <v>28.556799999999999</v>
      </c>
      <c r="AC1746" s="54">
        <v>16.063199999999998</v>
      </c>
      <c r="AD1746" s="36">
        <v>324.66880000000003</v>
      </c>
    </row>
    <row r="1747" spans="1:30" s="37" customFormat="1" ht="15.75" customHeight="1" x14ac:dyDescent="0.2">
      <c r="A1747" s="26">
        <v>3078</v>
      </c>
      <c r="B1747" s="27" t="s">
        <v>2830</v>
      </c>
      <c r="C1747" s="27" t="s">
        <v>3094</v>
      </c>
      <c r="D1747" s="28">
        <v>0.08</v>
      </c>
      <c r="E1747" s="29">
        <v>3.98</v>
      </c>
      <c r="F1747" s="29">
        <v>0.7</v>
      </c>
      <c r="G1747" s="30" t="s">
        <v>39</v>
      </c>
      <c r="H1747" s="27" t="s">
        <v>3095</v>
      </c>
      <c r="I1747" s="27" t="s">
        <v>49</v>
      </c>
      <c r="J1747" s="27" t="s">
        <v>50</v>
      </c>
      <c r="K1747" s="27" t="s">
        <v>51</v>
      </c>
      <c r="L1747" s="31" t="s">
        <v>348</v>
      </c>
      <c r="M1747" s="32">
        <v>0.52</v>
      </c>
      <c r="N1747" s="27" t="s">
        <v>33</v>
      </c>
      <c r="O1747" s="27" t="s">
        <v>111</v>
      </c>
      <c r="P1747" s="27" t="s">
        <v>317</v>
      </c>
      <c r="Q1747" s="27" t="s">
        <v>2831</v>
      </c>
      <c r="R1747" s="33">
        <v>43615</v>
      </c>
      <c r="S1747" s="34">
        <v>42166</v>
      </c>
      <c r="T1747" s="34">
        <v>42169</v>
      </c>
      <c r="U1747" s="29">
        <v>23.303999999999998</v>
      </c>
      <c r="V1747" s="26">
        <v>9</v>
      </c>
      <c r="W1747" s="29">
        <v>35.19</v>
      </c>
      <c r="X1747" s="26">
        <v>88240</v>
      </c>
      <c r="Y1747" s="35">
        <v>1.75</v>
      </c>
      <c r="Z1747" s="1" t="s">
        <v>3014</v>
      </c>
      <c r="AA1747" s="36">
        <v>2.8656000000000001</v>
      </c>
      <c r="AB1747" s="54">
        <v>16.891199999999998</v>
      </c>
      <c r="AC1747" s="54">
        <v>2.0331999999999999</v>
      </c>
      <c r="AD1747" s="36">
        <v>8.3203999999999994</v>
      </c>
    </row>
    <row r="1748" spans="1:30" s="37" customFormat="1" ht="15.75" customHeight="1" x14ac:dyDescent="0.2">
      <c r="A1748" s="26">
        <v>1265</v>
      </c>
      <c r="B1748" s="27" t="s">
        <v>2820</v>
      </c>
      <c r="C1748" s="27" t="s">
        <v>26</v>
      </c>
      <c r="D1748" s="28">
        <v>0.05</v>
      </c>
      <c r="E1748" s="29">
        <v>5.28</v>
      </c>
      <c r="F1748" s="29">
        <v>6.26</v>
      </c>
      <c r="G1748" s="30" t="s">
        <v>39</v>
      </c>
      <c r="H1748" s="27" t="s">
        <v>71</v>
      </c>
      <c r="I1748" s="27" t="s">
        <v>49</v>
      </c>
      <c r="J1748" s="27" t="s">
        <v>88</v>
      </c>
      <c r="K1748" s="27" t="s">
        <v>73</v>
      </c>
      <c r="L1748" s="31" t="s">
        <v>2458</v>
      </c>
      <c r="M1748" s="32">
        <v>0.4</v>
      </c>
      <c r="N1748" s="27" t="s">
        <v>33</v>
      </c>
      <c r="O1748" s="27" t="s">
        <v>53</v>
      </c>
      <c r="P1748" s="27" t="s">
        <v>207</v>
      </c>
      <c r="Q1748" s="27" t="s">
        <v>2821</v>
      </c>
      <c r="R1748" s="33">
        <v>73521</v>
      </c>
      <c r="S1748" s="34">
        <v>42166</v>
      </c>
      <c r="T1748" s="34">
        <v>42167</v>
      </c>
      <c r="U1748" s="29">
        <v>-11.375999999999999</v>
      </c>
      <c r="V1748" s="26">
        <v>1</v>
      </c>
      <c r="W1748" s="29">
        <v>7.15</v>
      </c>
      <c r="X1748" s="26">
        <v>89729</v>
      </c>
      <c r="Y1748" s="35">
        <v>193.16</v>
      </c>
      <c r="Z1748" s="1" t="s">
        <v>3012</v>
      </c>
      <c r="AA1748" s="36">
        <v>0.26400000000000001</v>
      </c>
      <c r="AB1748" s="54">
        <v>4.29</v>
      </c>
      <c r="AC1748" s="54">
        <v>2.8600000000000003</v>
      </c>
      <c r="AD1748" s="36">
        <v>12.001999999999999</v>
      </c>
    </row>
    <row r="1749" spans="1:30" s="37" customFormat="1" ht="15.75" customHeight="1" x14ac:dyDescent="0.2">
      <c r="A1749" s="26">
        <v>2046</v>
      </c>
      <c r="B1749" s="27" t="s">
        <v>2832</v>
      </c>
      <c r="C1749" s="27" t="s">
        <v>26</v>
      </c>
      <c r="D1749" s="28">
        <v>0.06</v>
      </c>
      <c r="E1749" s="29">
        <v>424.21</v>
      </c>
      <c r="F1749" s="29">
        <v>110.2</v>
      </c>
      <c r="G1749" s="30" t="s">
        <v>27</v>
      </c>
      <c r="H1749" s="27" t="s">
        <v>94</v>
      </c>
      <c r="I1749" s="27" t="s">
        <v>29</v>
      </c>
      <c r="J1749" s="27" t="s">
        <v>30</v>
      </c>
      <c r="K1749" s="27" t="s">
        <v>31</v>
      </c>
      <c r="L1749" s="31" t="s">
        <v>915</v>
      </c>
      <c r="M1749" s="32">
        <v>0.67</v>
      </c>
      <c r="N1749" s="27" t="s">
        <v>33</v>
      </c>
      <c r="O1749" s="27" t="s">
        <v>53</v>
      </c>
      <c r="P1749" s="27" t="s">
        <v>537</v>
      </c>
      <c r="Q1749" s="27" t="s">
        <v>2834</v>
      </c>
      <c r="R1749" s="33">
        <v>67901</v>
      </c>
      <c r="S1749" s="34">
        <v>42167</v>
      </c>
      <c r="T1749" s="34">
        <v>42168</v>
      </c>
      <c r="U1749" s="29">
        <v>682.53</v>
      </c>
      <c r="V1749" s="26">
        <v>17</v>
      </c>
      <c r="W1749" s="29">
        <v>7304.03</v>
      </c>
      <c r="X1749" s="26">
        <v>88219</v>
      </c>
      <c r="Y1749" s="35">
        <v>4.24</v>
      </c>
      <c r="Z1749" s="1" t="s">
        <v>3012</v>
      </c>
      <c r="AA1749" s="36">
        <v>432.69419999999997</v>
      </c>
      <c r="AB1749" s="54">
        <v>2410.3298999999997</v>
      </c>
      <c r="AC1749" s="54">
        <v>287.86471176470587</v>
      </c>
      <c r="AD1749" s="36">
        <v>6078.6057999999994</v>
      </c>
    </row>
    <row r="1750" spans="1:30" s="37" customFormat="1" ht="15.75" customHeight="1" x14ac:dyDescent="0.2">
      <c r="A1750" s="26">
        <v>550</v>
      </c>
      <c r="B1750" s="27" t="s">
        <v>872</v>
      </c>
      <c r="C1750" s="27" t="s">
        <v>116</v>
      </c>
      <c r="D1750" s="28">
        <v>0.06</v>
      </c>
      <c r="E1750" s="29">
        <v>549.99</v>
      </c>
      <c r="F1750" s="29">
        <v>49</v>
      </c>
      <c r="G1750" s="30" t="s">
        <v>27</v>
      </c>
      <c r="H1750" s="27" t="s">
        <v>94</v>
      </c>
      <c r="I1750" s="27" t="s">
        <v>41</v>
      </c>
      <c r="J1750" s="27" t="s">
        <v>64</v>
      </c>
      <c r="K1750" s="27" t="s">
        <v>58</v>
      </c>
      <c r="L1750" s="31" t="s">
        <v>1244</v>
      </c>
      <c r="M1750" s="32">
        <v>0.35</v>
      </c>
      <c r="N1750" s="27" t="s">
        <v>33</v>
      </c>
      <c r="O1750" s="27" t="s">
        <v>53</v>
      </c>
      <c r="P1750" s="27" t="s">
        <v>187</v>
      </c>
      <c r="Q1750" s="27" t="s">
        <v>873</v>
      </c>
      <c r="R1750" s="33">
        <v>78155</v>
      </c>
      <c r="S1750" s="34">
        <v>42167</v>
      </c>
      <c r="T1750" s="34">
        <v>42168</v>
      </c>
      <c r="U1750" s="29">
        <v>4637.4071999999996</v>
      </c>
      <c r="V1750" s="26">
        <v>13</v>
      </c>
      <c r="W1750" s="29">
        <v>6720.88</v>
      </c>
      <c r="X1750" s="26">
        <v>90910</v>
      </c>
      <c r="Y1750" s="35">
        <v>376.07</v>
      </c>
      <c r="Z1750" s="1" t="s">
        <v>3012</v>
      </c>
      <c r="AA1750" s="36">
        <v>428.99220000000003</v>
      </c>
      <c r="AB1750" s="54">
        <v>4368.5720000000001</v>
      </c>
      <c r="AC1750" s="54">
        <v>180.94676923076923</v>
      </c>
      <c r="AD1750" s="36">
        <v>1605.4806000000008</v>
      </c>
    </row>
    <row r="1751" spans="1:30" s="37" customFormat="1" ht="15.75" customHeight="1" x14ac:dyDescent="0.2">
      <c r="A1751" s="26">
        <v>2046</v>
      </c>
      <c r="B1751" s="27" t="s">
        <v>2832</v>
      </c>
      <c r="C1751" s="27" t="s">
        <v>26</v>
      </c>
      <c r="D1751" s="28">
        <v>0.06</v>
      </c>
      <c r="E1751" s="29">
        <v>376.13</v>
      </c>
      <c r="F1751" s="29">
        <v>85.63</v>
      </c>
      <c r="G1751" s="30" t="s">
        <v>27</v>
      </c>
      <c r="H1751" s="27" t="s">
        <v>94</v>
      </c>
      <c r="I1751" s="27" t="s">
        <v>29</v>
      </c>
      <c r="J1751" s="27" t="s">
        <v>30</v>
      </c>
      <c r="K1751" s="27" t="s">
        <v>31</v>
      </c>
      <c r="L1751" s="31" t="s">
        <v>2835</v>
      </c>
      <c r="M1751" s="32">
        <v>0.74</v>
      </c>
      <c r="N1751" s="27" t="s">
        <v>33</v>
      </c>
      <c r="O1751" s="27" t="s">
        <v>53</v>
      </c>
      <c r="P1751" s="27" t="s">
        <v>537</v>
      </c>
      <c r="Q1751" s="27" t="s">
        <v>2834</v>
      </c>
      <c r="R1751" s="33">
        <v>67901</v>
      </c>
      <c r="S1751" s="34">
        <v>42167</v>
      </c>
      <c r="T1751" s="34">
        <v>42169</v>
      </c>
      <c r="U1751" s="29">
        <v>-435.75749999999999</v>
      </c>
      <c r="V1751" s="26">
        <v>13</v>
      </c>
      <c r="W1751" s="29">
        <v>4634.6899999999996</v>
      </c>
      <c r="X1751" s="26">
        <v>88219</v>
      </c>
      <c r="Y1751" s="35">
        <v>424.15</v>
      </c>
      <c r="Z1751" s="1" t="s">
        <v>3012</v>
      </c>
      <c r="AA1751" s="36">
        <v>293.38139999999999</v>
      </c>
      <c r="AB1751" s="54">
        <v>1205.0193999999999</v>
      </c>
      <c r="AC1751" s="54">
        <v>263.82081538461534</v>
      </c>
      <c r="AD1751" s="36">
        <v>4691.4360999999999</v>
      </c>
    </row>
    <row r="1752" spans="1:30" s="37" customFormat="1" ht="15.75" customHeight="1" x14ac:dyDescent="0.2">
      <c r="A1752" s="26">
        <v>1466</v>
      </c>
      <c r="B1752" s="27" t="s">
        <v>2825</v>
      </c>
      <c r="C1752" s="27" t="s">
        <v>48</v>
      </c>
      <c r="D1752" s="28">
        <v>0.04</v>
      </c>
      <c r="E1752" s="29">
        <v>130.97999999999999</v>
      </c>
      <c r="F1752" s="29">
        <v>54.74</v>
      </c>
      <c r="G1752" s="30" t="s">
        <v>27</v>
      </c>
      <c r="H1752" s="27" t="s">
        <v>3095</v>
      </c>
      <c r="I1752" s="27" t="s">
        <v>29</v>
      </c>
      <c r="J1752" s="27" t="s">
        <v>117</v>
      </c>
      <c r="K1752" s="27" t="s">
        <v>31</v>
      </c>
      <c r="L1752" s="31" t="s">
        <v>1403</v>
      </c>
      <c r="M1752" s="32">
        <v>0.69</v>
      </c>
      <c r="N1752" s="27" t="s">
        <v>33</v>
      </c>
      <c r="O1752" s="27" t="s">
        <v>53</v>
      </c>
      <c r="P1752" s="27" t="s">
        <v>133</v>
      </c>
      <c r="Q1752" s="27" t="s">
        <v>1483</v>
      </c>
      <c r="R1752" s="33">
        <v>68601</v>
      </c>
      <c r="S1752" s="34">
        <v>42167</v>
      </c>
      <c r="T1752" s="34">
        <v>42167</v>
      </c>
      <c r="U1752" s="29">
        <v>-723.78399999999999</v>
      </c>
      <c r="V1752" s="26">
        <v>14</v>
      </c>
      <c r="W1752" s="29">
        <v>1781.66</v>
      </c>
      <c r="X1752" s="26">
        <v>91116</v>
      </c>
      <c r="Y1752" s="35">
        <v>195.93</v>
      </c>
      <c r="Z1752" s="1" t="s">
        <v>3012</v>
      </c>
      <c r="AA1752" s="36">
        <v>73.348799999999997</v>
      </c>
      <c r="AB1752" s="54">
        <v>552.31460000000015</v>
      </c>
      <c r="AC1752" s="54">
        <v>87.810385714285715</v>
      </c>
      <c r="AD1752" s="36">
        <v>2377.3552</v>
      </c>
    </row>
    <row r="1753" spans="1:30" s="37" customFormat="1" ht="15.75" customHeight="1" x14ac:dyDescent="0.2">
      <c r="A1753" s="26">
        <v>1745</v>
      </c>
      <c r="B1753" s="27" t="s">
        <v>359</v>
      </c>
      <c r="C1753" s="27" t="s">
        <v>38</v>
      </c>
      <c r="D1753" s="28">
        <v>0.1</v>
      </c>
      <c r="E1753" s="29">
        <v>35.99</v>
      </c>
      <c r="F1753" s="29">
        <v>5</v>
      </c>
      <c r="G1753" s="30" t="s">
        <v>39</v>
      </c>
      <c r="H1753" s="27" t="s">
        <v>40</v>
      </c>
      <c r="I1753" s="27" t="s">
        <v>41</v>
      </c>
      <c r="J1753" s="27" t="s">
        <v>135</v>
      </c>
      <c r="K1753" s="27" t="s">
        <v>51</v>
      </c>
      <c r="L1753" s="31" t="s">
        <v>1849</v>
      </c>
      <c r="M1753" s="32">
        <v>0.82</v>
      </c>
      <c r="N1753" s="27" t="s">
        <v>33</v>
      </c>
      <c r="O1753" s="27" t="s">
        <v>34</v>
      </c>
      <c r="P1753" s="27" t="s">
        <v>75</v>
      </c>
      <c r="Q1753" s="27" t="s">
        <v>361</v>
      </c>
      <c r="R1753" s="33">
        <v>30305</v>
      </c>
      <c r="S1753" s="34">
        <v>42167</v>
      </c>
      <c r="T1753" s="34">
        <v>42167</v>
      </c>
      <c r="U1753" s="29">
        <v>-277.20924000000002</v>
      </c>
      <c r="V1753" s="26">
        <v>54</v>
      </c>
      <c r="W1753" s="29">
        <v>1569</v>
      </c>
      <c r="X1753" s="26">
        <v>12224</v>
      </c>
      <c r="Y1753" s="35">
        <v>29.1</v>
      </c>
      <c r="Z1753" s="1" t="s">
        <v>3011</v>
      </c>
      <c r="AA1753" s="36">
        <v>194.346</v>
      </c>
      <c r="AB1753" s="54">
        <v>282.42000000000007</v>
      </c>
      <c r="AC1753" s="54">
        <v>23.825555555555557</v>
      </c>
      <c r="AD1753" s="36">
        <v>1646.8632400000001</v>
      </c>
    </row>
    <row r="1754" spans="1:30" s="37" customFormat="1" ht="15.75" customHeight="1" x14ac:dyDescent="0.2">
      <c r="A1754" s="26">
        <v>1469</v>
      </c>
      <c r="B1754" s="27" t="s">
        <v>2845</v>
      </c>
      <c r="C1754" s="27" t="s">
        <v>48</v>
      </c>
      <c r="D1754" s="28">
        <v>0.04</v>
      </c>
      <c r="E1754" s="29">
        <v>105.29</v>
      </c>
      <c r="F1754" s="29">
        <v>10.119999999999999</v>
      </c>
      <c r="G1754" s="30" t="s">
        <v>39</v>
      </c>
      <c r="H1754" s="27" t="s">
        <v>3095</v>
      </c>
      <c r="I1754" s="27" t="s">
        <v>29</v>
      </c>
      <c r="J1754" s="27" t="s">
        <v>126</v>
      </c>
      <c r="K1754" s="27" t="s">
        <v>65</v>
      </c>
      <c r="L1754" s="31" t="s">
        <v>194</v>
      </c>
      <c r="M1754" s="32">
        <v>0.79</v>
      </c>
      <c r="N1754" s="27" t="s">
        <v>33</v>
      </c>
      <c r="O1754" s="27" t="s">
        <v>60</v>
      </c>
      <c r="P1754" s="27" t="s">
        <v>146</v>
      </c>
      <c r="Q1754" s="27" t="s">
        <v>2846</v>
      </c>
      <c r="R1754" s="33">
        <v>84015</v>
      </c>
      <c r="S1754" s="34">
        <v>42167</v>
      </c>
      <c r="T1754" s="34">
        <v>42171</v>
      </c>
      <c r="U1754" s="29">
        <v>589.18799999999999</v>
      </c>
      <c r="V1754" s="26">
        <v>9</v>
      </c>
      <c r="W1754" s="29">
        <v>940.64</v>
      </c>
      <c r="X1754" s="26">
        <v>91116</v>
      </c>
      <c r="Y1754" s="35">
        <v>8.7800000000000011</v>
      </c>
      <c r="Z1754" s="1" t="s">
        <v>3013</v>
      </c>
      <c r="AA1754" s="36">
        <v>37.90440000000001</v>
      </c>
      <c r="AB1754" s="54">
        <v>197.53439999999998</v>
      </c>
      <c r="AC1754" s="54">
        <v>82.567288888888882</v>
      </c>
      <c r="AD1754" s="36">
        <v>303.42759999999998</v>
      </c>
    </row>
    <row r="1755" spans="1:30" s="37" customFormat="1" ht="15.75" customHeight="1" x14ac:dyDescent="0.2">
      <c r="A1755" s="26">
        <v>1781</v>
      </c>
      <c r="B1755" s="27" t="s">
        <v>299</v>
      </c>
      <c r="C1755" s="27" t="s">
        <v>38</v>
      </c>
      <c r="D1755" s="28">
        <v>0</v>
      </c>
      <c r="E1755" s="29">
        <v>55.48</v>
      </c>
      <c r="F1755" s="29">
        <v>14.3</v>
      </c>
      <c r="G1755" s="30" t="s">
        <v>39</v>
      </c>
      <c r="H1755" s="27" t="s">
        <v>94</v>
      </c>
      <c r="I1755" s="27" t="s">
        <v>49</v>
      </c>
      <c r="J1755" s="27" t="s">
        <v>88</v>
      </c>
      <c r="K1755" s="27" t="s">
        <v>73</v>
      </c>
      <c r="L1755" s="31" t="s">
        <v>847</v>
      </c>
      <c r="M1755" s="32">
        <v>0.37</v>
      </c>
      <c r="N1755" s="27" t="s">
        <v>33</v>
      </c>
      <c r="O1755" s="27" t="s">
        <v>60</v>
      </c>
      <c r="P1755" s="27" t="s">
        <v>90</v>
      </c>
      <c r="Q1755" s="27" t="s">
        <v>301</v>
      </c>
      <c r="R1755" s="33">
        <v>94070</v>
      </c>
      <c r="S1755" s="34">
        <v>42167</v>
      </c>
      <c r="T1755" s="34">
        <v>42169</v>
      </c>
      <c r="U1755" s="29">
        <v>454.44779999999997</v>
      </c>
      <c r="V1755" s="26">
        <v>11</v>
      </c>
      <c r="W1755" s="29">
        <v>658.62</v>
      </c>
      <c r="X1755" s="26">
        <v>89857</v>
      </c>
      <c r="Y1755" s="35">
        <v>6.4600000000000009</v>
      </c>
      <c r="Z1755" s="1" t="s">
        <v>3013</v>
      </c>
      <c r="AA1755" s="36">
        <v>0</v>
      </c>
      <c r="AB1755" s="54">
        <v>414.93060000000003</v>
      </c>
      <c r="AC1755" s="54">
        <v>22.153581818181816</v>
      </c>
      <c r="AD1755" s="36">
        <v>189.87220000000002</v>
      </c>
    </row>
    <row r="1756" spans="1:30" s="37" customFormat="1" ht="15.75" customHeight="1" x14ac:dyDescent="0.2">
      <c r="A1756" s="26">
        <v>2046</v>
      </c>
      <c r="B1756" s="27" t="s">
        <v>2832</v>
      </c>
      <c r="C1756" s="27" t="s">
        <v>26</v>
      </c>
      <c r="D1756" s="28">
        <v>0.06</v>
      </c>
      <c r="E1756" s="29">
        <v>195.99</v>
      </c>
      <c r="F1756" s="29">
        <v>8.99</v>
      </c>
      <c r="G1756" s="30" t="s">
        <v>39</v>
      </c>
      <c r="H1756" s="27" t="s">
        <v>94</v>
      </c>
      <c r="I1756" s="27" t="s">
        <v>41</v>
      </c>
      <c r="J1756" s="27" t="s">
        <v>135</v>
      </c>
      <c r="K1756" s="27" t="s">
        <v>73</v>
      </c>
      <c r="L1756" s="31" t="s">
        <v>1343</v>
      </c>
      <c r="M1756" s="32">
        <v>0.6</v>
      </c>
      <c r="N1756" s="27" t="s">
        <v>33</v>
      </c>
      <c r="O1756" s="27" t="s">
        <v>53</v>
      </c>
      <c r="P1756" s="27" t="s">
        <v>537</v>
      </c>
      <c r="Q1756" s="27" t="s">
        <v>2834</v>
      </c>
      <c r="R1756" s="33">
        <v>67901</v>
      </c>
      <c r="S1756" s="34">
        <v>42167</v>
      </c>
      <c r="T1756" s="34">
        <v>42169</v>
      </c>
      <c r="U1756" s="29">
        <v>-277.22199999999998</v>
      </c>
      <c r="V1756" s="26">
        <v>4</v>
      </c>
      <c r="W1756" s="29">
        <v>632.65</v>
      </c>
      <c r="X1756" s="26">
        <v>88219</v>
      </c>
      <c r="Y1756" s="35">
        <v>124.44999999999999</v>
      </c>
      <c r="Z1756" s="1" t="s">
        <v>3012</v>
      </c>
      <c r="AA1756" s="36">
        <v>47.037599999999998</v>
      </c>
      <c r="AB1756" s="54">
        <v>253.06</v>
      </c>
      <c r="AC1756" s="54">
        <v>94.897499999999994</v>
      </c>
      <c r="AD1756" s="36">
        <v>853.84439999999995</v>
      </c>
    </row>
    <row r="1757" spans="1:30" s="37" customFormat="1" ht="15.75" customHeight="1" x14ac:dyDescent="0.2">
      <c r="A1757" s="26">
        <v>1745</v>
      </c>
      <c r="B1757" s="27" t="s">
        <v>359</v>
      </c>
      <c r="C1757" s="27" t="s">
        <v>38</v>
      </c>
      <c r="D1757" s="28">
        <v>0.04</v>
      </c>
      <c r="E1757" s="29">
        <v>124.49</v>
      </c>
      <c r="F1757" s="29">
        <v>51.94</v>
      </c>
      <c r="G1757" s="30" t="s">
        <v>27</v>
      </c>
      <c r="H1757" s="27" t="s">
        <v>40</v>
      </c>
      <c r="I1757" s="27" t="s">
        <v>29</v>
      </c>
      <c r="J1757" s="27" t="s">
        <v>30</v>
      </c>
      <c r="K1757" s="27" t="s">
        <v>31</v>
      </c>
      <c r="L1757" s="31" t="s">
        <v>1149</v>
      </c>
      <c r="M1757" s="32">
        <v>0.63</v>
      </c>
      <c r="N1757" s="27" t="s">
        <v>33</v>
      </c>
      <c r="O1757" s="27" t="s">
        <v>34</v>
      </c>
      <c r="P1757" s="27" t="s">
        <v>75</v>
      </c>
      <c r="Q1757" s="27" t="s">
        <v>361</v>
      </c>
      <c r="R1757" s="33">
        <v>30305</v>
      </c>
      <c r="S1757" s="34">
        <v>42167</v>
      </c>
      <c r="T1757" s="34">
        <v>42169</v>
      </c>
      <c r="U1757" s="29">
        <v>-247.55157</v>
      </c>
      <c r="V1757" s="26">
        <v>4</v>
      </c>
      <c r="W1757" s="29">
        <v>605.82000000000005</v>
      </c>
      <c r="X1757" s="26">
        <v>12224</v>
      </c>
      <c r="Y1757" s="35">
        <v>35.89</v>
      </c>
      <c r="Z1757" s="1" t="s">
        <v>3011</v>
      </c>
      <c r="AA1757" s="36">
        <v>19.918399999999998</v>
      </c>
      <c r="AB1757" s="54">
        <v>224.1534</v>
      </c>
      <c r="AC1757" s="54">
        <v>95.416650000000004</v>
      </c>
      <c r="AD1757" s="36">
        <v>781.51317000000006</v>
      </c>
    </row>
    <row r="1758" spans="1:30" s="37" customFormat="1" ht="15.75" customHeight="1" x14ac:dyDescent="0.2">
      <c r="A1758" s="26">
        <v>62</v>
      </c>
      <c r="B1758" s="27" t="s">
        <v>2467</v>
      </c>
      <c r="C1758" s="27" t="s">
        <v>38</v>
      </c>
      <c r="D1758" s="28">
        <v>0.04</v>
      </c>
      <c r="E1758" s="29">
        <v>29.14</v>
      </c>
      <c r="F1758" s="29">
        <v>4.8600000000000003</v>
      </c>
      <c r="G1758" s="30" t="s">
        <v>39</v>
      </c>
      <c r="H1758" s="27" t="s">
        <v>94</v>
      </c>
      <c r="I1758" s="27" t="s">
        <v>49</v>
      </c>
      <c r="J1758" s="27" t="s">
        <v>88</v>
      </c>
      <c r="K1758" s="27" t="s">
        <v>51</v>
      </c>
      <c r="L1758" s="31" t="s">
        <v>2836</v>
      </c>
      <c r="M1758" s="32">
        <v>0.38</v>
      </c>
      <c r="N1758" s="27" t="s">
        <v>33</v>
      </c>
      <c r="O1758" s="27" t="s">
        <v>53</v>
      </c>
      <c r="P1758" s="27" t="s">
        <v>187</v>
      </c>
      <c r="Q1758" s="27" t="s">
        <v>2469</v>
      </c>
      <c r="R1758" s="33">
        <v>78664</v>
      </c>
      <c r="S1758" s="34">
        <v>42167</v>
      </c>
      <c r="T1758" s="34">
        <v>42169</v>
      </c>
      <c r="U1758" s="29">
        <v>349.40910000000002</v>
      </c>
      <c r="V1758" s="26">
        <v>17</v>
      </c>
      <c r="W1758" s="29">
        <v>506.39</v>
      </c>
      <c r="X1758" s="26">
        <v>87408</v>
      </c>
      <c r="Y1758" s="35">
        <v>124.44999999999999</v>
      </c>
      <c r="Z1758" s="1" t="s">
        <v>3012</v>
      </c>
      <c r="AA1758" s="36">
        <v>19.815200000000001</v>
      </c>
      <c r="AB1758" s="54">
        <v>313.96179999999998</v>
      </c>
      <c r="AC1758" s="54">
        <v>11.319305882352941</v>
      </c>
      <c r="AD1758" s="36">
        <v>132.30569999999994</v>
      </c>
    </row>
    <row r="1759" spans="1:30" s="37" customFormat="1" ht="15.75" customHeight="1" x14ac:dyDescent="0.2">
      <c r="A1759" s="26">
        <v>1469</v>
      </c>
      <c r="B1759" s="27" t="s">
        <v>2845</v>
      </c>
      <c r="C1759" s="27" t="s">
        <v>48</v>
      </c>
      <c r="D1759" s="28">
        <v>7.0000000000000007E-2</v>
      </c>
      <c r="E1759" s="29">
        <v>31.76</v>
      </c>
      <c r="F1759" s="29">
        <v>45.51</v>
      </c>
      <c r="G1759" s="30" t="s">
        <v>27</v>
      </c>
      <c r="H1759" s="27" t="s">
        <v>3095</v>
      </c>
      <c r="I1759" s="27" t="s">
        <v>29</v>
      </c>
      <c r="J1759" s="27" t="s">
        <v>30</v>
      </c>
      <c r="K1759" s="27" t="s">
        <v>31</v>
      </c>
      <c r="L1759" s="31" t="s">
        <v>666</v>
      </c>
      <c r="M1759" s="32">
        <v>0.65</v>
      </c>
      <c r="N1759" s="27" t="s">
        <v>33</v>
      </c>
      <c r="O1759" s="27" t="s">
        <v>60</v>
      </c>
      <c r="P1759" s="27" t="s">
        <v>146</v>
      </c>
      <c r="Q1759" s="27" t="s">
        <v>2846</v>
      </c>
      <c r="R1759" s="33">
        <v>84015</v>
      </c>
      <c r="S1759" s="34">
        <v>42167</v>
      </c>
      <c r="T1759" s="34">
        <v>42169</v>
      </c>
      <c r="U1759" s="29">
        <v>-1314.992</v>
      </c>
      <c r="V1759" s="26">
        <v>18</v>
      </c>
      <c r="W1759" s="29">
        <v>439.27</v>
      </c>
      <c r="X1759" s="26">
        <v>91116</v>
      </c>
      <c r="Y1759" s="35">
        <v>55.48</v>
      </c>
      <c r="Z1759" s="1" t="s">
        <v>3013</v>
      </c>
      <c r="AA1759" s="36">
        <v>40.017600000000002</v>
      </c>
      <c r="AB1759" s="54">
        <v>153.74449999999999</v>
      </c>
      <c r="AC1759" s="54">
        <v>15.862527777777776</v>
      </c>
      <c r="AD1759" s="36">
        <v>1668.7344000000001</v>
      </c>
    </row>
    <row r="1760" spans="1:30" s="37" customFormat="1" ht="15.75" customHeight="1" x14ac:dyDescent="0.2">
      <c r="A1760" s="26">
        <v>3179</v>
      </c>
      <c r="B1760" s="27" t="s">
        <v>2847</v>
      </c>
      <c r="C1760" s="27" t="s">
        <v>48</v>
      </c>
      <c r="D1760" s="28">
        <v>7.0000000000000007E-2</v>
      </c>
      <c r="E1760" s="29">
        <v>35.44</v>
      </c>
      <c r="F1760" s="29">
        <v>7.5</v>
      </c>
      <c r="G1760" s="30" t="s">
        <v>39</v>
      </c>
      <c r="H1760" s="27" t="s">
        <v>94</v>
      </c>
      <c r="I1760" s="27" t="s">
        <v>49</v>
      </c>
      <c r="J1760" s="27" t="s">
        <v>88</v>
      </c>
      <c r="K1760" s="27" t="s">
        <v>73</v>
      </c>
      <c r="L1760" s="31" t="s">
        <v>567</v>
      </c>
      <c r="M1760" s="32">
        <v>0.38</v>
      </c>
      <c r="N1760" s="27" t="s">
        <v>33</v>
      </c>
      <c r="O1760" s="27" t="s">
        <v>53</v>
      </c>
      <c r="P1760" s="27" t="s">
        <v>84</v>
      </c>
      <c r="Q1760" s="27" t="s">
        <v>2848</v>
      </c>
      <c r="R1760" s="33">
        <v>55060</v>
      </c>
      <c r="S1760" s="34">
        <v>42167</v>
      </c>
      <c r="T1760" s="34">
        <v>42174</v>
      </c>
      <c r="U1760" s="29">
        <v>262.2</v>
      </c>
      <c r="V1760" s="26">
        <v>11</v>
      </c>
      <c r="W1760" s="29">
        <v>380</v>
      </c>
      <c r="X1760" s="26">
        <v>86989</v>
      </c>
      <c r="Y1760" s="35">
        <v>6.62</v>
      </c>
      <c r="Z1760" s="1" t="s">
        <v>3012</v>
      </c>
      <c r="AA1760" s="36">
        <v>27.288799999999998</v>
      </c>
      <c r="AB1760" s="54">
        <v>235.6</v>
      </c>
      <c r="AC1760" s="54">
        <v>13.127272727272729</v>
      </c>
      <c r="AD1760" s="36">
        <v>83.011200000000031</v>
      </c>
    </row>
    <row r="1761" spans="1:30" s="37" customFormat="1" ht="15.75" customHeight="1" x14ac:dyDescent="0.2">
      <c r="A1761" s="26">
        <v>1748</v>
      </c>
      <c r="B1761" s="27" t="s">
        <v>2841</v>
      </c>
      <c r="C1761" s="27" t="s">
        <v>38</v>
      </c>
      <c r="D1761" s="28">
        <v>0.04</v>
      </c>
      <c r="E1761" s="29">
        <v>124.49</v>
      </c>
      <c r="F1761" s="29">
        <v>51.94</v>
      </c>
      <c r="G1761" s="30" t="s">
        <v>27</v>
      </c>
      <c r="H1761" s="27" t="s">
        <v>40</v>
      </c>
      <c r="I1761" s="27" t="s">
        <v>29</v>
      </c>
      <c r="J1761" s="27" t="s">
        <v>30</v>
      </c>
      <c r="K1761" s="27" t="s">
        <v>31</v>
      </c>
      <c r="L1761" s="31" t="s">
        <v>1149</v>
      </c>
      <c r="M1761" s="32">
        <v>0.63</v>
      </c>
      <c r="N1761" s="27" t="s">
        <v>33</v>
      </c>
      <c r="O1761" s="27" t="s">
        <v>53</v>
      </c>
      <c r="P1761" s="27" t="s">
        <v>207</v>
      </c>
      <c r="Q1761" s="27" t="s">
        <v>2842</v>
      </c>
      <c r="R1761" s="33">
        <v>73703</v>
      </c>
      <c r="S1761" s="34">
        <v>42167</v>
      </c>
      <c r="T1761" s="34">
        <v>42169</v>
      </c>
      <c r="U1761" s="29">
        <v>-93.064499999999995</v>
      </c>
      <c r="V1761" s="26">
        <v>1</v>
      </c>
      <c r="W1761" s="29">
        <v>151.46</v>
      </c>
      <c r="X1761" s="26">
        <v>87245</v>
      </c>
      <c r="Y1761" s="35">
        <v>130.94</v>
      </c>
      <c r="Z1761" s="1" t="s">
        <v>3012</v>
      </c>
      <c r="AA1761" s="36">
        <v>4.9795999999999996</v>
      </c>
      <c r="AB1761" s="54">
        <v>56.040200000000006</v>
      </c>
      <c r="AC1761" s="54">
        <v>95.419800000000009</v>
      </c>
      <c r="AD1761" s="36">
        <v>187.60490000000001</v>
      </c>
    </row>
    <row r="1762" spans="1:30" s="37" customFormat="1" ht="15.75" customHeight="1" x14ac:dyDescent="0.2">
      <c r="A1762" s="26">
        <v>387</v>
      </c>
      <c r="B1762" s="27" t="s">
        <v>2837</v>
      </c>
      <c r="C1762" s="27" t="s">
        <v>38</v>
      </c>
      <c r="D1762" s="28">
        <v>0.1</v>
      </c>
      <c r="E1762" s="29">
        <v>8.8800000000000008</v>
      </c>
      <c r="F1762" s="29">
        <v>6.28</v>
      </c>
      <c r="G1762" s="30" t="s">
        <v>87</v>
      </c>
      <c r="H1762" s="27" t="s">
        <v>94</v>
      </c>
      <c r="I1762" s="27" t="s">
        <v>49</v>
      </c>
      <c r="J1762" s="27" t="s">
        <v>72</v>
      </c>
      <c r="K1762" s="27" t="s">
        <v>73</v>
      </c>
      <c r="L1762" s="31" t="s">
        <v>220</v>
      </c>
      <c r="M1762" s="32">
        <v>0.35</v>
      </c>
      <c r="N1762" s="27" t="s">
        <v>33</v>
      </c>
      <c r="O1762" s="27" t="s">
        <v>53</v>
      </c>
      <c r="P1762" s="27" t="s">
        <v>133</v>
      </c>
      <c r="Q1762" s="27" t="s">
        <v>2838</v>
      </c>
      <c r="R1762" s="33">
        <v>68801</v>
      </c>
      <c r="S1762" s="34">
        <v>42167</v>
      </c>
      <c r="T1762" s="34">
        <v>42169</v>
      </c>
      <c r="U1762" s="29">
        <v>-27.283750000000001</v>
      </c>
      <c r="V1762" s="26">
        <v>15</v>
      </c>
      <c r="W1762" s="29">
        <v>126.9</v>
      </c>
      <c r="X1762" s="26">
        <v>90339</v>
      </c>
      <c r="Y1762" s="35">
        <v>105.25</v>
      </c>
      <c r="Z1762" s="1" t="s">
        <v>3012</v>
      </c>
      <c r="AA1762" s="36">
        <v>13.320000000000002</v>
      </c>
      <c r="AB1762" s="54">
        <v>82.484999999999999</v>
      </c>
      <c r="AC1762" s="54">
        <v>2.9610000000000003</v>
      </c>
      <c r="AD1762" s="36">
        <v>134.58375000000001</v>
      </c>
    </row>
    <row r="1763" spans="1:30" s="37" customFormat="1" ht="15.75" customHeight="1" x14ac:dyDescent="0.2">
      <c r="A1763" s="26">
        <v>550</v>
      </c>
      <c r="B1763" s="27" t="s">
        <v>872</v>
      </c>
      <c r="C1763" s="27" t="s">
        <v>116</v>
      </c>
      <c r="D1763" s="28">
        <v>0.08</v>
      </c>
      <c r="E1763" s="29">
        <v>115.99</v>
      </c>
      <c r="F1763" s="29">
        <v>5.99</v>
      </c>
      <c r="G1763" s="30" t="s">
        <v>87</v>
      </c>
      <c r="H1763" s="27" t="s">
        <v>94</v>
      </c>
      <c r="I1763" s="27" t="s">
        <v>41</v>
      </c>
      <c r="J1763" s="27" t="s">
        <v>135</v>
      </c>
      <c r="K1763" s="27" t="s">
        <v>73</v>
      </c>
      <c r="L1763" s="31" t="s">
        <v>2849</v>
      </c>
      <c r="M1763" s="32">
        <v>0.56999999999999995</v>
      </c>
      <c r="N1763" s="27" t="s">
        <v>33</v>
      </c>
      <c r="O1763" s="27" t="s">
        <v>53</v>
      </c>
      <c r="P1763" s="27" t="s">
        <v>187</v>
      </c>
      <c r="Q1763" s="27" t="s">
        <v>873</v>
      </c>
      <c r="R1763" s="33">
        <v>78155</v>
      </c>
      <c r="S1763" s="34">
        <v>42167</v>
      </c>
      <c r="T1763" s="34">
        <v>42168</v>
      </c>
      <c r="U1763" s="29">
        <v>-239.54150000000001</v>
      </c>
      <c r="V1763" s="26">
        <v>1</v>
      </c>
      <c r="W1763" s="29">
        <v>102.21</v>
      </c>
      <c r="X1763" s="26">
        <v>90910</v>
      </c>
      <c r="Y1763" s="35">
        <v>31.69</v>
      </c>
      <c r="Z1763" s="1" t="s">
        <v>3012</v>
      </c>
      <c r="AA1763" s="36">
        <v>9.2791999999999994</v>
      </c>
      <c r="AB1763" s="54">
        <v>43.950300000000006</v>
      </c>
      <c r="AC1763" s="54">
        <v>58.259699999999988</v>
      </c>
      <c r="AD1763" s="36">
        <v>326.48230000000001</v>
      </c>
    </row>
    <row r="1764" spans="1:30" s="37" customFormat="1" ht="15.75" customHeight="1" x14ac:dyDescent="0.2">
      <c r="A1764" s="26">
        <v>2257</v>
      </c>
      <c r="B1764" s="27" t="s">
        <v>2843</v>
      </c>
      <c r="C1764" s="27" t="s">
        <v>38</v>
      </c>
      <c r="D1764" s="28">
        <v>0.06</v>
      </c>
      <c r="E1764" s="29">
        <v>6.68</v>
      </c>
      <c r="F1764" s="29">
        <v>6.93</v>
      </c>
      <c r="G1764" s="30" t="s">
        <v>39</v>
      </c>
      <c r="H1764" s="27" t="s">
        <v>94</v>
      </c>
      <c r="I1764" s="27" t="s">
        <v>49</v>
      </c>
      <c r="J1764" s="27" t="s">
        <v>88</v>
      </c>
      <c r="K1764" s="27" t="s">
        <v>73</v>
      </c>
      <c r="L1764" s="31" t="s">
        <v>976</v>
      </c>
      <c r="M1764" s="32">
        <v>0.37</v>
      </c>
      <c r="N1764" s="27" t="s">
        <v>33</v>
      </c>
      <c r="O1764" s="27" t="s">
        <v>34</v>
      </c>
      <c r="P1764" s="27" t="s">
        <v>97</v>
      </c>
      <c r="Q1764" s="27" t="s">
        <v>2844</v>
      </c>
      <c r="R1764" s="33">
        <v>27604</v>
      </c>
      <c r="S1764" s="34">
        <v>42167</v>
      </c>
      <c r="T1764" s="34">
        <v>42168</v>
      </c>
      <c r="U1764" s="29">
        <v>7.6245000000000003</v>
      </c>
      <c r="V1764" s="26">
        <v>14</v>
      </c>
      <c r="W1764" s="29">
        <v>91.92</v>
      </c>
      <c r="X1764" s="26">
        <v>87965</v>
      </c>
      <c r="Y1764" s="35">
        <v>35.369999999999997</v>
      </c>
      <c r="Z1764" s="1" t="s">
        <v>3011</v>
      </c>
      <c r="AA1764" s="36">
        <v>5.6112000000000002</v>
      </c>
      <c r="AB1764" s="54">
        <v>57.909600000000005</v>
      </c>
      <c r="AC1764" s="54">
        <v>2.4293142857142858</v>
      </c>
      <c r="AD1764" s="36">
        <v>71.754300000000001</v>
      </c>
    </row>
    <row r="1765" spans="1:30" s="37" customFormat="1" ht="15.75" customHeight="1" x14ac:dyDescent="0.2">
      <c r="A1765" s="26">
        <v>2046</v>
      </c>
      <c r="B1765" s="27" t="s">
        <v>2832</v>
      </c>
      <c r="C1765" s="27" t="s">
        <v>26</v>
      </c>
      <c r="D1765" s="28">
        <v>0.04</v>
      </c>
      <c r="E1765" s="29">
        <v>4.28</v>
      </c>
      <c r="F1765" s="29">
        <v>5.68</v>
      </c>
      <c r="G1765" s="30" t="s">
        <v>39</v>
      </c>
      <c r="H1765" s="27" t="s">
        <v>94</v>
      </c>
      <c r="I1765" s="27" t="s">
        <v>49</v>
      </c>
      <c r="J1765" s="27" t="s">
        <v>88</v>
      </c>
      <c r="K1765" s="27" t="s">
        <v>73</v>
      </c>
      <c r="L1765" s="31" t="s">
        <v>2833</v>
      </c>
      <c r="M1765" s="32">
        <v>0.4</v>
      </c>
      <c r="N1765" s="27" t="s">
        <v>33</v>
      </c>
      <c r="O1765" s="27" t="s">
        <v>53</v>
      </c>
      <c r="P1765" s="27" t="s">
        <v>537</v>
      </c>
      <c r="Q1765" s="27" t="s">
        <v>2834</v>
      </c>
      <c r="R1765" s="33">
        <v>67901</v>
      </c>
      <c r="S1765" s="34">
        <v>42167</v>
      </c>
      <c r="T1765" s="34">
        <v>42169</v>
      </c>
      <c r="U1765" s="29">
        <v>-27.375</v>
      </c>
      <c r="V1765" s="26">
        <v>7</v>
      </c>
      <c r="W1765" s="29">
        <v>31.54</v>
      </c>
      <c r="X1765" s="26">
        <v>88219</v>
      </c>
      <c r="Y1765" s="35">
        <v>549.93000000000006</v>
      </c>
      <c r="Z1765" s="1" t="s">
        <v>3012</v>
      </c>
      <c r="AA1765" s="36">
        <v>1.1984000000000001</v>
      </c>
      <c r="AB1765" s="54">
        <v>18.923999999999999</v>
      </c>
      <c r="AC1765" s="54">
        <v>1.8022857142857143</v>
      </c>
      <c r="AD1765" s="36">
        <v>52.0366</v>
      </c>
    </row>
    <row r="1766" spans="1:30" s="37" customFormat="1" ht="15.75" customHeight="1" x14ac:dyDescent="0.2">
      <c r="A1766" s="26">
        <v>1016</v>
      </c>
      <c r="B1766" s="27" t="s">
        <v>2839</v>
      </c>
      <c r="C1766" s="27" t="s">
        <v>38</v>
      </c>
      <c r="D1766" s="28">
        <v>0.02</v>
      </c>
      <c r="E1766" s="29">
        <v>6.48</v>
      </c>
      <c r="F1766" s="29">
        <v>7.86</v>
      </c>
      <c r="G1766" s="30" t="s">
        <v>87</v>
      </c>
      <c r="H1766" s="27" t="s">
        <v>71</v>
      </c>
      <c r="I1766" s="27" t="s">
        <v>49</v>
      </c>
      <c r="J1766" s="27" t="s">
        <v>88</v>
      </c>
      <c r="K1766" s="27" t="s">
        <v>73</v>
      </c>
      <c r="L1766" s="31" t="s">
        <v>860</v>
      </c>
      <c r="M1766" s="32">
        <v>0.37</v>
      </c>
      <c r="N1766" s="27" t="s">
        <v>33</v>
      </c>
      <c r="O1766" s="27" t="s">
        <v>34</v>
      </c>
      <c r="P1766" s="27" t="s">
        <v>97</v>
      </c>
      <c r="Q1766" s="27" t="s">
        <v>2840</v>
      </c>
      <c r="R1766" s="33">
        <v>28806</v>
      </c>
      <c r="S1766" s="34">
        <v>42167</v>
      </c>
      <c r="T1766" s="34">
        <v>42168</v>
      </c>
      <c r="U1766" s="29">
        <v>111.22199999999999</v>
      </c>
      <c r="V1766" s="26">
        <v>1</v>
      </c>
      <c r="W1766" s="29">
        <v>11.41</v>
      </c>
      <c r="X1766" s="26">
        <v>88389</v>
      </c>
      <c r="Y1766" s="35">
        <v>115.91</v>
      </c>
      <c r="Z1766" s="1" t="s">
        <v>3011</v>
      </c>
      <c r="AA1766" s="36">
        <v>0.12960000000000002</v>
      </c>
      <c r="AB1766" s="54">
        <v>7.1882999999999999</v>
      </c>
      <c r="AC1766" s="54">
        <v>4.2217000000000002</v>
      </c>
      <c r="AD1766" s="36">
        <v>-107.80159999999999</v>
      </c>
    </row>
    <row r="1767" spans="1:30" s="37" customFormat="1" ht="15.75" customHeight="1" x14ac:dyDescent="0.2">
      <c r="A1767" s="26">
        <v>5</v>
      </c>
      <c r="B1767" s="27" t="s">
        <v>2858</v>
      </c>
      <c r="C1767" s="27" t="s">
        <v>3094</v>
      </c>
      <c r="D1767" s="28">
        <v>0.02</v>
      </c>
      <c r="E1767" s="29">
        <v>500.98</v>
      </c>
      <c r="F1767" s="29">
        <v>26</v>
      </c>
      <c r="G1767" s="30" t="s">
        <v>27</v>
      </c>
      <c r="H1767" s="27" t="s">
        <v>71</v>
      </c>
      <c r="I1767" s="27" t="s">
        <v>29</v>
      </c>
      <c r="J1767" s="27" t="s">
        <v>109</v>
      </c>
      <c r="K1767" s="27" t="s">
        <v>58</v>
      </c>
      <c r="L1767" s="31" t="s">
        <v>2296</v>
      </c>
      <c r="M1767" s="32">
        <v>0.6</v>
      </c>
      <c r="N1767" s="27" t="s">
        <v>33</v>
      </c>
      <c r="O1767" s="27" t="s">
        <v>60</v>
      </c>
      <c r="P1767" s="27" t="s">
        <v>90</v>
      </c>
      <c r="Q1767" s="27" t="s">
        <v>2216</v>
      </c>
      <c r="R1767" s="33">
        <v>91776</v>
      </c>
      <c r="S1767" s="34">
        <v>42168</v>
      </c>
      <c r="T1767" s="34">
        <v>42170</v>
      </c>
      <c r="U1767" s="29">
        <v>4390.3665000000001</v>
      </c>
      <c r="V1767" s="26">
        <v>12</v>
      </c>
      <c r="W1767" s="29">
        <v>6362.85</v>
      </c>
      <c r="X1767" s="26">
        <v>90193</v>
      </c>
      <c r="Y1767" s="35">
        <v>4.8500000000000005</v>
      </c>
      <c r="Z1767" s="1" t="s">
        <v>3013</v>
      </c>
      <c r="AA1767" s="36">
        <v>120.23520000000001</v>
      </c>
      <c r="AB1767" s="54">
        <v>2545.1400000000003</v>
      </c>
      <c r="AC1767" s="54">
        <v>318.14250000000004</v>
      </c>
      <c r="AD1767" s="36">
        <v>1826.2483000000002</v>
      </c>
    </row>
    <row r="1768" spans="1:30" s="37" customFormat="1" ht="15.75" customHeight="1" x14ac:dyDescent="0.2">
      <c r="A1768" s="26">
        <v>1129</v>
      </c>
      <c r="B1768" s="27" t="s">
        <v>786</v>
      </c>
      <c r="C1768" s="27" t="s">
        <v>48</v>
      </c>
      <c r="D1768" s="28">
        <v>0.03</v>
      </c>
      <c r="E1768" s="29">
        <v>30.98</v>
      </c>
      <c r="F1768" s="29">
        <v>6.5</v>
      </c>
      <c r="G1768" s="30" t="s">
        <v>39</v>
      </c>
      <c r="H1768" s="27" t="s">
        <v>94</v>
      </c>
      <c r="I1768" s="27" t="s">
        <v>41</v>
      </c>
      <c r="J1768" s="27" t="s">
        <v>42</v>
      </c>
      <c r="K1768" s="27" t="s">
        <v>73</v>
      </c>
      <c r="L1768" s="31" t="s">
        <v>2855</v>
      </c>
      <c r="M1768" s="32">
        <v>0.79</v>
      </c>
      <c r="N1768" s="27" t="s">
        <v>33</v>
      </c>
      <c r="O1768" s="27" t="s">
        <v>111</v>
      </c>
      <c r="P1768" s="27" t="s">
        <v>403</v>
      </c>
      <c r="Q1768" s="27" t="s">
        <v>788</v>
      </c>
      <c r="R1768" s="33">
        <v>2118</v>
      </c>
      <c r="S1768" s="34">
        <v>42168</v>
      </c>
      <c r="T1768" s="34">
        <v>42172</v>
      </c>
      <c r="U1768" s="29">
        <v>-144.19999999999999</v>
      </c>
      <c r="V1768" s="26">
        <v>44</v>
      </c>
      <c r="W1768" s="29">
        <v>1332.09</v>
      </c>
      <c r="X1768" s="26">
        <v>39430</v>
      </c>
      <c r="Y1768" s="35">
        <v>48.87</v>
      </c>
      <c r="Z1768" s="1" t="s">
        <v>3014</v>
      </c>
      <c r="AA1768" s="36">
        <v>40.893599999999999</v>
      </c>
      <c r="AB1768" s="54">
        <v>279.73889999999994</v>
      </c>
      <c r="AC1768" s="54">
        <v>23.917070454545456</v>
      </c>
      <c r="AD1768" s="36">
        <v>1428.8963999999999</v>
      </c>
    </row>
    <row r="1769" spans="1:30" s="37" customFormat="1" ht="15.75" customHeight="1" x14ac:dyDescent="0.2">
      <c r="A1769" s="26">
        <v>3230</v>
      </c>
      <c r="B1769" s="27" t="s">
        <v>700</v>
      </c>
      <c r="C1769" s="27" t="s">
        <v>26</v>
      </c>
      <c r="D1769" s="28">
        <v>7.0000000000000007E-2</v>
      </c>
      <c r="E1769" s="29">
        <v>48.94</v>
      </c>
      <c r="F1769" s="29">
        <v>5.86</v>
      </c>
      <c r="G1769" s="30" t="s">
        <v>87</v>
      </c>
      <c r="H1769" s="27" t="s">
        <v>3095</v>
      </c>
      <c r="I1769" s="27" t="s">
        <v>49</v>
      </c>
      <c r="J1769" s="27" t="s">
        <v>88</v>
      </c>
      <c r="K1769" s="27" t="s">
        <v>73</v>
      </c>
      <c r="L1769" s="31" t="s">
        <v>2850</v>
      </c>
      <c r="M1769" s="32">
        <v>0.35</v>
      </c>
      <c r="N1769" s="27" t="s">
        <v>33</v>
      </c>
      <c r="O1769" s="27" t="s">
        <v>53</v>
      </c>
      <c r="P1769" s="27" t="s">
        <v>357</v>
      </c>
      <c r="Q1769" s="27" t="s">
        <v>702</v>
      </c>
      <c r="R1769" s="33">
        <v>53186</v>
      </c>
      <c r="S1769" s="34">
        <v>42168</v>
      </c>
      <c r="T1769" s="34">
        <v>42169</v>
      </c>
      <c r="U1769" s="29">
        <v>690.7038</v>
      </c>
      <c r="V1769" s="26">
        <v>21</v>
      </c>
      <c r="W1769" s="29">
        <v>1001.02</v>
      </c>
      <c r="X1769" s="26">
        <v>87436</v>
      </c>
      <c r="Y1769" s="35">
        <v>17.07</v>
      </c>
      <c r="Z1769" s="1" t="s">
        <v>3012</v>
      </c>
      <c r="AA1769" s="36">
        <v>71.941800000000001</v>
      </c>
      <c r="AB1769" s="54">
        <v>650.66300000000001</v>
      </c>
      <c r="AC1769" s="54">
        <v>16.683666666666667</v>
      </c>
      <c r="AD1769" s="36">
        <v>232.51440000000002</v>
      </c>
    </row>
    <row r="1770" spans="1:30" s="37" customFormat="1" ht="15.75" customHeight="1" x14ac:dyDescent="0.2">
      <c r="A1770" s="26">
        <v>2771</v>
      </c>
      <c r="B1770" s="27" t="s">
        <v>2852</v>
      </c>
      <c r="C1770" s="27" t="s">
        <v>38</v>
      </c>
      <c r="D1770" s="28">
        <v>7.0000000000000007E-2</v>
      </c>
      <c r="E1770" s="29">
        <v>177.98</v>
      </c>
      <c r="F1770" s="29">
        <v>0.99</v>
      </c>
      <c r="G1770" s="30" t="s">
        <v>39</v>
      </c>
      <c r="H1770" s="27" t="s">
        <v>94</v>
      </c>
      <c r="I1770" s="27" t="s">
        <v>49</v>
      </c>
      <c r="J1770" s="27" t="s">
        <v>95</v>
      </c>
      <c r="K1770" s="27" t="s">
        <v>73</v>
      </c>
      <c r="L1770" s="31" t="s">
        <v>2853</v>
      </c>
      <c r="M1770" s="32">
        <v>0.56000000000000005</v>
      </c>
      <c r="N1770" s="27" t="s">
        <v>33</v>
      </c>
      <c r="O1770" s="27" t="s">
        <v>34</v>
      </c>
      <c r="P1770" s="27" t="s">
        <v>75</v>
      </c>
      <c r="Q1770" s="27" t="s">
        <v>2854</v>
      </c>
      <c r="R1770" s="33">
        <v>30344</v>
      </c>
      <c r="S1770" s="34">
        <v>42168</v>
      </c>
      <c r="T1770" s="34">
        <v>42168</v>
      </c>
      <c r="U1770" s="29">
        <v>-191.548</v>
      </c>
      <c r="V1770" s="26">
        <v>3</v>
      </c>
      <c r="W1770" s="29">
        <v>536.29</v>
      </c>
      <c r="X1770" s="26">
        <v>88974</v>
      </c>
      <c r="Y1770" s="35">
        <v>177.91</v>
      </c>
      <c r="Z1770" s="1" t="s">
        <v>3011</v>
      </c>
      <c r="AA1770" s="36">
        <v>37.375799999999998</v>
      </c>
      <c r="AB1770" s="54">
        <v>235.96759999999995</v>
      </c>
      <c r="AC1770" s="54">
        <v>100.10746666666667</v>
      </c>
      <c r="AD1770" s="36">
        <v>689.47219999999993</v>
      </c>
    </row>
    <row r="1771" spans="1:30" s="37" customFormat="1" ht="15.75" customHeight="1" x14ac:dyDescent="0.2">
      <c r="A1771" s="26">
        <v>1505</v>
      </c>
      <c r="B1771" s="27" t="s">
        <v>2856</v>
      </c>
      <c r="C1771" s="27" t="s">
        <v>48</v>
      </c>
      <c r="D1771" s="28">
        <v>0</v>
      </c>
      <c r="E1771" s="29">
        <v>85.99</v>
      </c>
      <c r="F1771" s="29">
        <v>0.99</v>
      </c>
      <c r="G1771" s="30" t="s">
        <v>39</v>
      </c>
      <c r="H1771" s="27" t="s">
        <v>3095</v>
      </c>
      <c r="I1771" s="27" t="s">
        <v>41</v>
      </c>
      <c r="J1771" s="27" t="s">
        <v>135</v>
      </c>
      <c r="K1771" s="27" t="s">
        <v>51</v>
      </c>
      <c r="L1771" s="31" t="s">
        <v>1596</v>
      </c>
      <c r="M1771" s="32">
        <v>0.85</v>
      </c>
      <c r="N1771" s="27" t="s">
        <v>33</v>
      </c>
      <c r="O1771" s="27" t="s">
        <v>53</v>
      </c>
      <c r="P1771" s="27" t="s">
        <v>187</v>
      </c>
      <c r="Q1771" s="27" t="s">
        <v>2857</v>
      </c>
      <c r="R1771" s="33">
        <v>77840</v>
      </c>
      <c r="S1771" s="34">
        <v>42168</v>
      </c>
      <c r="T1771" s="34">
        <v>42173</v>
      </c>
      <c r="U1771" s="29">
        <v>-138.0368</v>
      </c>
      <c r="V1771" s="26">
        <v>6</v>
      </c>
      <c r="W1771" s="29">
        <v>464.86</v>
      </c>
      <c r="X1771" s="26">
        <v>86181</v>
      </c>
      <c r="Y1771" s="35">
        <v>30.95</v>
      </c>
      <c r="Z1771" s="1" t="s">
        <v>3012</v>
      </c>
      <c r="AA1771" s="36">
        <v>0</v>
      </c>
      <c r="AB1771" s="54">
        <v>69.729000000000013</v>
      </c>
      <c r="AC1771" s="54">
        <v>65.855166666666676</v>
      </c>
      <c r="AD1771" s="36">
        <v>601.90679999999998</v>
      </c>
    </row>
    <row r="1772" spans="1:30" s="37" customFormat="1" ht="15.75" customHeight="1" x14ac:dyDescent="0.2">
      <c r="A1772" s="26">
        <v>1132</v>
      </c>
      <c r="B1772" s="27" t="s">
        <v>1093</v>
      </c>
      <c r="C1772" s="27" t="s">
        <v>48</v>
      </c>
      <c r="D1772" s="28">
        <v>0.03</v>
      </c>
      <c r="E1772" s="29">
        <v>30.98</v>
      </c>
      <c r="F1772" s="29">
        <v>6.5</v>
      </c>
      <c r="G1772" s="30" t="s">
        <v>39</v>
      </c>
      <c r="H1772" s="27" t="s">
        <v>94</v>
      </c>
      <c r="I1772" s="27" t="s">
        <v>41</v>
      </c>
      <c r="J1772" s="27" t="s">
        <v>42</v>
      </c>
      <c r="K1772" s="27" t="s">
        <v>73</v>
      </c>
      <c r="L1772" s="31" t="s">
        <v>2855</v>
      </c>
      <c r="M1772" s="32">
        <v>0.79</v>
      </c>
      <c r="N1772" s="27" t="s">
        <v>33</v>
      </c>
      <c r="O1772" s="27" t="s">
        <v>53</v>
      </c>
      <c r="P1772" s="27" t="s">
        <v>187</v>
      </c>
      <c r="Q1772" s="27" t="s">
        <v>1094</v>
      </c>
      <c r="R1772" s="33">
        <v>76039</v>
      </c>
      <c r="S1772" s="34">
        <v>42168</v>
      </c>
      <c r="T1772" s="34">
        <v>42172</v>
      </c>
      <c r="U1772" s="29">
        <v>-115.36</v>
      </c>
      <c r="V1772" s="26">
        <v>11</v>
      </c>
      <c r="W1772" s="29">
        <v>333.02</v>
      </c>
      <c r="X1772" s="26">
        <v>88104</v>
      </c>
      <c r="Y1772" s="35">
        <v>30.95</v>
      </c>
      <c r="Z1772" s="1" t="s">
        <v>3012</v>
      </c>
      <c r="AA1772" s="36">
        <v>10.2234</v>
      </c>
      <c r="AB1772" s="54">
        <v>69.93419999999999</v>
      </c>
      <c r="AC1772" s="54">
        <v>23.91689090909091</v>
      </c>
      <c r="AD1772" s="36">
        <v>431.65659999999997</v>
      </c>
    </row>
    <row r="1773" spans="1:30" s="37" customFormat="1" ht="15.75" customHeight="1" x14ac:dyDescent="0.2">
      <c r="A1773" s="26">
        <v>2143</v>
      </c>
      <c r="B1773" s="27" t="s">
        <v>2851</v>
      </c>
      <c r="C1773" s="27" t="s">
        <v>38</v>
      </c>
      <c r="D1773" s="28">
        <v>0.08</v>
      </c>
      <c r="E1773" s="29">
        <v>17.149999999999999</v>
      </c>
      <c r="F1773" s="29">
        <v>4.96</v>
      </c>
      <c r="G1773" s="30" t="s">
        <v>39</v>
      </c>
      <c r="H1773" s="27" t="s">
        <v>71</v>
      </c>
      <c r="I1773" s="27" t="s">
        <v>49</v>
      </c>
      <c r="J1773" s="27" t="s">
        <v>78</v>
      </c>
      <c r="K1773" s="27" t="s">
        <v>73</v>
      </c>
      <c r="L1773" s="31" t="s">
        <v>650</v>
      </c>
      <c r="M1773" s="32">
        <v>0.57999999999999996</v>
      </c>
      <c r="N1773" s="27" t="s">
        <v>33</v>
      </c>
      <c r="O1773" s="27" t="s">
        <v>34</v>
      </c>
      <c r="P1773" s="27" t="s">
        <v>242</v>
      </c>
      <c r="Q1773" s="27" t="s">
        <v>261</v>
      </c>
      <c r="R1773" s="33">
        <v>20151</v>
      </c>
      <c r="S1773" s="34">
        <v>42168</v>
      </c>
      <c r="T1773" s="34">
        <v>42171</v>
      </c>
      <c r="U1773" s="29">
        <v>33.659999999999997</v>
      </c>
      <c r="V1773" s="26">
        <v>12</v>
      </c>
      <c r="W1773" s="29">
        <v>200.61</v>
      </c>
      <c r="X1773" s="26">
        <v>87569</v>
      </c>
      <c r="Y1773" s="35">
        <v>85.99</v>
      </c>
      <c r="Z1773" s="1" t="s">
        <v>3011</v>
      </c>
      <c r="AA1773" s="36">
        <v>16.463999999999999</v>
      </c>
      <c r="AB1773" s="54">
        <v>84.256200000000007</v>
      </c>
      <c r="AC1773" s="54">
        <v>9.6961499999999994</v>
      </c>
      <c r="AD1773" s="36">
        <v>145.52600000000001</v>
      </c>
    </row>
    <row r="1774" spans="1:30" s="37" customFormat="1" ht="15.75" customHeight="1" x14ac:dyDescent="0.2">
      <c r="A1774" s="26">
        <v>3230</v>
      </c>
      <c r="B1774" s="27" t="s">
        <v>700</v>
      </c>
      <c r="C1774" s="27" t="s">
        <v>26</v>
      </c>
      <c r="D1774" s="28">
        <v>0.06</v>
      </c>
      <c r="E1774" s="29">
        <v>4.91</v>
      </c>
      <c r="F1774" s="29">
        <v>5.68</v>
      </c>
      <c r="G1774" s="30" t="s">
        <v>87</v>
      </c>
      <c r="H1774" s="27" t="s">
        <v>3095</v>
      </c>
      <c r="I1774" s="27" t="s">
        <v>49</v>
      </c>
      <c r="J1774" s="27" t="s">
        <v>72</v>
      </c>
      <c r="K1774" s="27" t="s">
        <v>73</v>
      </c>
      <c r="L1774" s="31" t="s">
        <v>1933</v>
      </c>
      <c r="M1774" s="32">
        <v>0.36</v>
      </c>
      <c r="N1774" s="27" t="s">
        <v>33</v>
      </c>
      <c r="O1774" s="27" t="s">
        <v>53</v>
      </c>
      <c r="P1774" s="27" t="s">
        <v>357</v>
      </c>
      <c r="Q1774" s="27" t="s">
        <v>702</v>
      </c>
      <c r="R1774" s="33">
        <v>53186</v>
      </c>
      <c r="S1774" s="34">
        <v>42168</v>
      </c>
      <c r="T1774" s="34">
        <v>42168</v>
      </c>
      <c r="U1774" s="29">
        <v>-31.68825</v>
      </c>
      <c r="V1774" s="26">
        <v>10</v>
      </c>
      <c r="W1774" s="29">
        <v>53.89</v>
      </c>
      <c r="X1774" s="26">
        <v>87436</v>
      </c>
      <c r="Y1774" s="35">
        <v>500.96000000000004</v>
      </c>
      <c r="Z1774" s="1" t="s">
        <v>3012</v>
      </c>
      <c r="AA1774" s="36">
        <v>2.9459999999999997</v>
      </c>
      <c r="AB1774" s="54">
        <v>34.489600000000003</v>
      </c>
      <c r="AC1774" s="54">
        <v>1.94004</v>
      </c>
      <c r="AD1774" s="36">
        <v>76.952249999999992</v>
      </c>
    </row>
    <row r="1775" spans="1:30" s="37" customFormat="1" ht="15.75" customHeight="1" x14ac:dyDescent="0.2">
      <c r="A1775" s="26">
        <v>1044</v>
      </c>
      <c r="B1775" s="27" t="s">
        <v>1400</v>
      </c>
      <c r="C1775" s="27" t="s">
        <v>26</v>
      </c>
      <c r="D1775" s="28">
        <v>0.02</v>
      </c>
      <c r="E1775" s="29">
        <v>209.84</v>
      </c>
      <c r="F1775" s="29">
        <v>21.21</v>
      </c>
      <c r="G1775" s="30" t="s">
        <v>39</v>
      </c>
      <c r="H1775" s="27" t="s">
        <v>71</v>
      </c>
      <c r="I1775" s="27" t="s">
        <v>29</v>
      </c>
      <c r="J1775" s="27" t="s">
        <v>126</v>
      </c>
      <c r="K1775" s="27" t="s">
        <v>65</v>
      </c>
      <c r="L1775" s="31" t="s">
        <v>209</v>
      </c>
      <c r="M1775" s="32">
        <v>0.59</v>
      </c>
      <c r="N1775" s="27" t="s">
        <v>33</v>
      </c>
      <c r="O1775" s="27" t="s">
        <v>60</v>
      </c>
      <c r="P1775" s="27" t="s">
        <v>90</v>
      </c>
      <c r="Q1775" s="27" t="s">
        <v>100</v>
      </c>
      <c r="R1775" s="33">
        <v>90004</v>
      </c>
      <c r="S1775" s="34">
        <v>42169</v>
      </c>
      <c r="T1775" s="34">
        <v>42169</v>
      </c>
      <c r="U1775" s="29">
        <v>2593.14</v>
      </c>
      <c r="V1775" s="26">
        <v>62</v>
      </c>
      <c r="W1775" s="29">
        <v>13546.94</v>
      </c>
      <c r="X1775" s="26">
        <v>28001</v>
      </c>
      <c r="Y1775" s="35">
        <v>209.82</v>
      </c>
      <c r="Z1775" s="1" t="s">
        <v>3013</v>
      </c>
      <c r="AA1775" s="36">
        <v>260.20160000000004</v>
      </c>
      <c r="AB1775" s="54">
        <v>5554.2454000000007</v>
      </c>
      <c r="AC1775" s="54">
        <v>128.91442903225806</v>
      </c>
      <c r="AD1775" s="36">
        <v>10672.3884</v>
      </c>
    </row>
    <row r="1776" spans="1:30" s="37" customFormat="1" ht="15.75" customHeight="1" x14ac:dyDescent="0.2">
      <c r="A1776" s="26">
        <v>1044</v>
      </c>
      <c r="B1776" s="27" t="s">
        <v>1400</v>
      </c>
      <c r="C1776" s="27" t="s">
        <v>26</v>
      </c>
      <c r="D1776" s="28">
        <v>0.01</v>
      </c>
      <c r="E1776" s="29">
        <v>194.3</v>
      </c>
      <c r="F1776" s="29">
        <v>11.54</v>
      </c>
      <c r="G1776" s="30" t="s">
        <v>39</v>
      </c>
      <c r="H1776" s="27" t="s">
        <v>71</v>
      </c>
      <c r="I1776" s="27" t="s">
        <v>29</v>
      </c>
      <c r="J1776" s="27" t="s">
        <v>126</v>
      </c>
      <c r="K1776" s="27" t="s">
        <v>65</v>
      </c>
      <c r="L1776" s="31" t="s">
        <v>206</v>
      </c>
      <c r="M1776" s="32">
        <v>0.59</v>
      </c>
      <c r="N1776" s="27" t="s">
        <v>33</v>
      </c>
      <c r="O1776" s="27" t="s">
        <v>60</v>
      </c>
      <c r="P1776" s="27" t="s">
        <v>90</v>
      </c>
      <c r="Q1776" s="27" t="s">
        <v>100</v>
      </c>
      <c r="R1776" s="33">
        <v>90004</v>
      </c>
      <c r="S1776" s="34">
        <v>42169</v>
      </c>
      <c r="T1776" s="34">
        <v>42171</v>
      </c>
      <c r="U1776" s="29">
        <v>1162.76</v>
      </c>
      <c r="V1776" s="26">
        <v>32</v>
      </c>
      <c r="W1776" s="29">
        <v>6401.65</v>
      </c>
      <c r="X1776" s="26">
        <v>28001</v>
      </c>
      <c r="Y1776" s="35">
        <v>194.29000000000002</v>
      </c>
      <c r="Z1776" s="1" t="s">
        <v>3013</v>
      </c>
      <c r="AA1776" s="36">
        <v>62.176000000000002</v>
      </c>
      <c r="AB1776" s="54">
        <v>2624.6765</v>
      </c>
      <c r="AC1776" s="54">
        <v>118.03042187499999</v>
      </c>
      <c r="AD1776" s="36">
        <v>5165.174</v>
      </c>
    </row>
    <row r="1777" spans="1:30" s="37" customFormat="1" ht="15.75" customHeight="1" x14ac:dyDescent="0.2">
      <c r="A1777" s="26">
        <v>3120</v>
      </c>
      <c r="B1777" s="27" t="s">
        <v>2870</v>
      </c>
      <c r="C1777" s="27" t="s">
        <v>3094</v>
      </c>
      <c r="D1777" s="28">
        <v>0.08</v>
      </c>
      <c r="E1777" s="29">
        <v>315.98</v>
      </c>
      <c r="F1777" s="29">
        <v>19.989999999999998</v>
      </c>
      <c r="G1777" s="30" t="s">
        <v>39</v>
      </c>
      <c r="H1777" s="27" t="s">
        <v>71</v>
      </c>
      <c r="I1777" s="27" t="s">
        <v>49</v>
      </c>
      <c r="J1777" s="27" t="s">
        <v>72</v>
      </c>
      <c r="K1777" s="27" t="s">
        <v>73</v>
      </c>
      <c r="L1777" s="31" t="s">
        <v>2227</v>
      </c>
      <c r="M1777" s="32">
        <v>0.38</v>
      </c>
      <c r="N1777" s="27" t="s">
        <v>33</v>
      </c>
      <c r="O1777" s="27" t="s">
        <v>34</v>
      </c>
      <c r="P1777" s="27" t="s">
        <v>168</v>
      </c>
      <c r="Q1777" s="27" t="s">
        <v>2871</v>
      </c>
      <c r="R1777" s="33">
        <v>70117</v>
      </c>
      <c r="S1777" s="34">
        <v>42169</v>
      </c>
      <c r="T1777" s="34">
        <v>42169</v>
      </c>
      <c r="U1777" s="29">
        <v>44.52</v>
      </c>
      <c r="V1777" s="26">
        <v>9</v>
      </c>
      <c r="W1777" s="29">
        <v>2642.48</v>
      </c>
      <c r="X1777" s="26">
        <v>90160</v>
      </c>
      <c r="Y1777" s="35">
        <v>55.419999999999995</v>
      </c>
      <c r="Z1777" s="1" t="s">
        <v>3011</v>
      </c>
      <c r="AA1777" s="36">
        <v>227.50560000000002</v>
      </c>
      <c r="AB1777" s="54">
        <v>1638.3376000000001</v>
      </c>
      <c r="AC1777" s="54">
        <v>111.57137777777778</v>
      </c>
      <c r="AD1777" s="36">
        <v>2350.4643999999998</v>
      </c>
    </row>
    <row r="1778" spans="1:30" s="37" customFormat="1" ht="15.75" customHeight="1" x14ac:dyDescent="0.2">
      <c r="A1778" s="26">
        <v>1522</v>
      </c>
      <c r="B1778" s="27" t="s">
        <v>2861</v>
      </c>
      <c r="C1778" s="27" t="s">
        <v>26</v>
      </c>
      <c r="D1778" s="28">
        <v>0.1</v>
      </c>
      <c r="E1778" s="29">
        <v>122.99</v>
      </c>
      <c r="F1778" s="29">
        <v>70.2</v>
      </c>
      <c r="G1778" s="30" t="s">
        <v>27</v>
      </c>
      <c r="H1778" s="27" t="s">
        <v>40</v>
      </c>
      <c r="I1778" s="27" t="s">
        <v>29</v>
      </c>
      <c r="J1778" s="27" t="s">
        <v>109</v>
      </c>
      <c r="K1778" s="27" t="s">
        <v>58</v>
      </c>
      <c r="L1778" s="31" t="s">
        <v>804</v>
      </c>
      <c r="M1778" s="32">
        <v>0.74</v>
      </c>
      <c r="N1778" s="27" t="s">
        <v>33</v>
      </c>
      <c r="O1778" s="27" t="s">
        <v>53</v>
      </c>
      <c r="P1778" s="27" t="s">
        <v>84</v>
      </c>
      <c r="Q1778" s="27" t="s">
        <v>2862</v>
      </c>
      <c r="R1778" s="33">
        <v>55305</v>
      </c>
      <c r="S1778" s="34">
        <v>42169</v>
      </c>
      <c r="T1778" s="34">
        <v>42170</v>
      </c>
      <c r="U1778" s="29">
        <v>-899.67499999999995</v>
      </c>
      <c r="V1778" s="26">
        <v>17</v>
      </c>
      <c r="W1778" s="29">
        <v>2026.91</v>
      </c>
      <c r="X1778" s="26">
        <v>89957</v>
      </c>
      <c r="Y1778" s="35">
        <v>122.89</v>
      </c>
      <c r="Z1778" s="1" t="s">
        <v>3012</v>
      </c>
      <c r="AA1778" s="36">
        <v>209.083</v>
      </c>
      <c r="AB1778" s="54">
        <v>526.99660000000006</v>
      </c>
      <c r="AC1778" s="54">
        <v>88.230199999999996</v>
      </c>
      <c r="AD1778" s="36">
        <v>2647.3020000000001</v>
      </c>
    </row>
    <row r="1779" spans="1:30" s="37" customFormat="1" ht="15.75" customHeight="1" x14ac:dyDescent="0.2">
      <c r="A1779" s="26">
        <v>1519</v>
      </c>
      <c r="B1779" s="27" t="s">
        <v>2859</v>
      </c>
      <c r="C1779" s="27" t="s">
        <v>26</v>
      </c>
      <c r="D1779" s="28">
        <v>0.06</v>
      </c>
      <c r="E1779" s="29">
        <v>55.48</v>
      </c>
      <c r="F1779" s="29">
        <v>4.8499999999999996</v>
      </c>
      <c r="G1779" s="30" t="s">
        <v>39</v>
      </c>
      <c r="H1779" s="27" t="s">
        <v>40</v>
      </c>
      <c r="I1779" s="27" t="s">
        <v>49</v>
      </c>
      <c r="J1779" s="27" t="s">
        <v>88</v>
      </c>
      <c r="K1779" s="27" t="s">
        <v>73</v>
      </c>
      <c r="L1779" s="31" t="s">
        <v>2860</v>
      </c>
      <c r="M1779" s="32">
        <v>0.37</v>
      </c>
      <c r="N1779" s="27" t="s">
        <v>33</v>
      </c>
      <c r="O1779" s="27" t="s">
        <v>111</v>
      </c>
      <c r="P1779" s="27" t="s">
        <v>331</v>
      </c>
      <c r="Q1779" s="27" t="s">
        <v>1204</v>
      </c>
      <c r="R1779" s="33">
        <v>4210</v>
      </c>
      <c r="S1779" s="34">
        <v>42169</v>
      </c>
      <c r="T1779" s="34">
        <v>42169</v>
      </c>
      <c r="U1779" s="29">
        <v>711.05190000000005</v>
      </c>
      <c r="V1779" s="26">
        <v>19</v>
      </c>
      <c r="W1779" s="29">
        <v>1030.51</v>
      </c>
      <c r="X1779" s="26">
        <v>89957</v>
      </c>
      <c r="Y1779" s="35">
        <v>2.58</v>
      </c>
      <c r="Z1779" s="1" t="s">
        <v>3014</v>
      </c>
      <c r="AA1779" s="36">
        <v>63.247199999999992</v>
      </c>
      <c r="AB1779" s="54">
        <v>649.22130000000004</v>
      </c>
      <c r="AC1779" s="54">
        <v>20.067826315789471</v>
      </c>
      <c r="AD1779" s="36">
        <v>251.3608999999999</v>
      </c>
    </row>
    <row r="1780" spans="1:30" s="37" customFormat="1" ht="15.75" customHeight="1" x14ac:dyDescent="0.2">
      <c r="A1780" s="26">
        <v>1738</v>
      </c>
      <c r="B1780" s="27" t="s">
        <v>1901</v>
      </c>
      <c r="C1780" s="27" t="s">
        <v>48</v>
      </c>
      <c r="D1780" s="28">
        <v>0.04</v>
      </c>
      <c r="E1780" s="29">
        <v>35.44</v>
      </c>
      <c r="F1780" s="29">
        <v>19.989999999999998</v>
      </c>
      <c r="G1780" s="30" t="s">
        <v>39</v>
      </c>
      <c r="H1780" s="27" t="s">
        <v>94</v>
      </c>
      <c r="I1780" s="27" t="s">
        <v>49</v>
      </c>
      <c r="J1780" s="27" t="s">
        <v>88</v>
      </c>
      <c r="K1780" s="27" t="s">
        <v>73</v>
      </c>
      <c r="L1780" s="31" t="s">
        <v>2257</v>
      </c>
      <c r="M1780" s="32">
        <v>0.38</v>
      </c>
      <c r="N1780" s="27" t="s">
        <v>33</v>
      </c>
      <c r="O1780" s="27" t="s">
        <v>34</v>
      </c>
      <c r="P1780" s="27" t="s">
        <v>97</v>
      </c>
      <c r="Q1780" s="27" t="s">
        <v>1902</v>
      </c>
      <c r="R1780" s="33">
        <v>28052</v>
      </c>
      <c r="S1780" s="34">
        <v>42169</v>
      </c>
      <c r="T1780" s="34">
        <v>42176</v>
      </c>
      <c r="U1780" s="29">
        <v>-108.27249999999999</v>
      </c>
      <c r="V1780" s="26">
        <v>11</v>
      </c>
      <c r="W1780" s="29">
        <v>406.26</v>
      </c>
      <c r="X1780" s="26">
        <v>85868</v>
      </c>
      <c r="Y1780" s="35">
        <v>11.65</v>
      </c>
      <c r="Z1780" s="1" t="s">
        <v>3011</v>
      </c>
      <c r="AA1780" s="36">
        <v>15.5936</v>
      </c>
      <c r="AB1780" s="54">
        <v>251.88119999999998</v>
      </c>
      <c r="AC1780" s="54">
        <v>14.034436363636363</v>
      </c>
      <c r="AD1780" s="36">
        <v>478.94889999999998</v>
      </c>
    </row>
    <row r="1781" spans="1:30" s="37" customFormat="1" ht="15.75" customHeight="1" x14ac:dyDescent="0.2">
      <c r="A1781" s="26">
        <v>1775</v>
      </c>
      <c r="B1781" s="27" t="s">
        <v>2866</v>
      </c>
      <c r="C1781" s="27" t="s">
        <v>48</v>
      </c>
      <c r="D1781" s="28">
        <v>0.09</v>
      </c>
      <c r="E1781" s="29">
        <v>12.95</v>
      </c>
      <c r="F1781" s="29">
        <v>4.9800000000000004</v>
      </c>
      <c r="G1781" s="30" t="s">
        <v>39</v>
      </c>
      <c r="H1781" s="27" t="s">
        <v>40</v>
      </c>
      <c r="I1781" s="27" t="s">
        <v>49</v>
      </c>
      <c r="J1781" s="27" t="s">
        <v>72</v>
      </c>
      <c r="K1781" s="27" t="s">
        <v>73</v>
      </c>
      <c r="L1781" s="31" t="s">
        <v>2739</v>
      </c>
      <c r="M1781" s="32">
        <v>0.4</v>
      </c>
      <c r="N1781" s="27" t="s">
        <v>33</v>
      </c>
      <c r="O1781" s="27" t="s">
        <v>53</v>
      </c>
      <c r="P1781" s="27" t="s">
        <v>54</v>
      </c>
      <c r="Q1781" s="27" t="s">
        <v>2867</v>
      </c>
      <c r="R1781" s="33">
        <v>46614</v>
      </c>
      <c r="S1781" s="34">
        <v>42169</v>
      </c>
      <c r="T1781" s="34">
        <v>42176</v>
      </c>
      <c r="U1781" s="29">
        <v>123.89175</v>
      </c>
      <c r="V1781" s="26">
        <v>21</v>
      </c>
      <c r="W1781" s="29">
        <v>269.54000000000002</v>
      </c>
      <c r="X1781" s="26">
        <v>89944</v>
      </c>
      <c r="Y1781" s="35">
        <v>107.44</v>
      </c>
      <c r="Z1781" s="1" t="s">
        <v>3012</v>
      </c>
      <c r="AA1781" s="36">
        <v>24.4755</v>
      </c>
      <c r="AB1781" s="54">
        <v>161.72400000000002</v>
      </c>
      <c r="AC1781" s="54">
        <v>5.1340952380952389</v>
      </c>
      <c r="AD1781" s="36">
        <v>116.19275000000002</v>
      </c>
    </row>
    <row r="1782" spans="1:30" s="37" customFormat="1" ht="15.75" customHeight="1" x14ac:dyDescent="0.2">
      <c r="A1782" s="26">
        <v>3339</v>
      </c>
      <c r="B1782" s="27" t="s">
        <v>2863</v>
      </c>
      <c r="C1782" s="27" t="s">
        <v>38</v>
      </c>
      <c r="D1782" s="28">
        <v>0.01</v>
      </c>
      <c r="E1782" s="29">
        <v>11.66</v>
      </c>
      <c r="F1782" s="29">
        <v>7.95</v>
      </c>
      <c r="G1782" s="30" t="s">
        <v>39</v>
      </c>
      <c r="H1782" s="27" t="s">
        <v>40</v>
      </c>
      <c r="I1782" s="27" t="s">
        <v>49</v>
      </c>
      <c r="J1782" s="27" t="s">
        <v>50</v>
      </c>
      <c r="K1782" s="27" t="s">
        <v>43</v>
      </c>
      <c r="L1782" s="31" t="s">
        <v>2138</v>
      </c>
      <c r="M1782" s="32">
        <v>0.57999999999999996</v>
      </c>
      <c r="N1782" s="27" t="s">
        <v>33</v>
      </c>
      <c r="O1782" s="27" t="s">
        <v>34</v>
      </c>
      <c r="P1782" s="27" t="s">
        <v>123</v>
      </c>
      <c r="Q1782" s="27" t="s">
        <v>2864</v>
      </c>
      <c r="R1782" s="33">
        <v>32780</v>
      </c>
      <c r="S1782" s="34">
        <v>42169</v>
      </c>
      <c r="T1782" s="34">
        <v>42170</v>
      </c>
      <c r="U1782" s="29">
        <v>-10.368399999999999</v>
      </c>
      <c r="V1782" s="26">
        <v>16</v>
      </c>
      <c r="W1782" s="29">
        <v>193.87</v>
      </c>
      <c r="X1782" s="26">
        <v>85981</v>
      </c>
      <c r="Y1782" s="35">
        <v>35.4</v>
      </c>
      <c r="Z1782" s="1" t="s">
        <v>3011</v>
      </c>
      <c r="AA1782" s="36">
        <v>1.8656000000000001</v>
      </c>
      <c r="AB1782" s="54">
        <v>81.42540000000001</v>
      </c>
      <c r="AC1782" s="54">
        <v>7.0277874999999996</v>
      </c>
      <c r="AD1782" s="36">
        <v>194.4228</v>
      </c>
    </row>
    <row r="1783" spans="1:30" s="37" customFormat="1" ht="15.75" customHeight="1" x14ac:dyDescent="0.2">
      <c r="A1783" s="26">
        <v>1644</v>
      </c>
      <c r="B1783" s="27" t="s">
        <v>2865</v>
      </c>
      <c r="C1783" s="27" t="s">
        <v>48</v>
      </c>
      <c r="D1783" s="28">
        <v>0.09</v>
      </c>
      <c r="E1783" s="29">
        <v>107.53</v>
      </c>
      <c r="F1783" s="29">
        <v>5.81</v>
      </c>
      <c r="G1783" s="30" t="s">
        <v>39</v>
      </c>
      <c r="H1783" s="27" t="s">
        <v>3095</v>
      </c>
      <c r="I1783" s="27" t="s">
        <v>29</v>
      </c>
      <c r="J1783" s="27" t="s">
        <v>126</v>
      </c>
      <c r="K1783" s="27" t="s">
        <v>144</v>
      </c>
      <c r="L1783" s="31" t="s">
        <v>1495</v>
      </c>
      <c r="M1783" s="32">
        <v>0.65</v>
      </c>
      <c r="N1783" s="27" t="s">
        <v>33</v>
      </c>
      <c r="O1783" s="27" t="s">
        <v>53</v>
      </c>
      <c r="P1783" s="27" t="s">
        <v>187</v>
      </c>
      <c r="Q1783" s="27" t="s">
        <v>1131</v>
      </c>
      <c r="R1783" s="33">
        <v>77546</v>
      </c>
      <c r="S1783" s="34">
        <v>42169</v>
      </c>
      <c r="T1783" s="34">
        <v>42171</v>
      </c>
      <c r="U1783" s="29">
        <v>69.545100000000005</v>
      </c>
      <c r="V1783" s="26">
        <v>1</v>
      </c>
      <c r="W1783" s="29">
        <v>100.79</v>
      </c>
      <c r="X1783" s="26">
        <v>87342</v>
      </c>
      <c r="Y1783" s="35">
        <v>12.86</v>
      </c>
      <c r="Z1783" s="1" t="s">
        <v>3012</v>
      </c>
      <c r="AA1783" s="36">
        <v>9.6776999999999997</v>
      </c>
      <c r="AB1783" s="54">
        <v>35.276499999999999</v>
      </c>
      <c r="AC1783" s="54">
        <v>65.513500000000008</v>
      </c>
      <c r="AD1783" s="36">
        <v>15.757199999999997</v>
      </c>
    </row>
    <row r="1784" spans="1:30" s="37" customFormat="1" ht="15.75" customHeight="1" x14ac:dyDescent="0.2">
      <c r="A1784" s="26">
        <v>547</v>
      </c>
      <c r="B1784" s="27" t="s">
        <v>2868</v>
      </c>
      <c r="C1784" s="27" t="s">
        <v>3094</v>
      </c>
      <c r="D1784" s="28">
        <v>0.03</v>
      </c>
      <c r="E1784" s="29">
        <v>13.73</v>
      </c>
      <c r="F1784" s="29">
        <v>6.85</v>
      </c>
      <c r="G1784" s="30" t="s">
        <v>87</v>
      </c>
      <c r="H1784" s="27" t="s">
        <v>94</v>
      </c>
      <c r="I1784" s="27" t="s">
        <v>29</v>
      </c>
      <c r="J1784" s="27" t="s">
        <v>126</v>
      </c>
      <c r="K1784" s="27" t="s">
        <v>51</v>
      </c>
      <c r="L1784" s="31" t="s">
        <v>1767</v>
      </c>
      <c r="M1784" s="32">
        <v>0.54</v>
      </c>
      <c r="N1784" s="27" t="s">
        <v>33</v>
      </c>
      <c r="O1784" s="27" t="s">
        <v>111</v>
      </c>
      <c r="P1784" s="27" t="s">
        <v>903</v>
      </c>
      <c r="Q1784" s="27" t="s">
        <v>2869</v>
      </c>
      <c r="R1784" s="33">
        <v>26501</v>
      </c>
      <c r="S1784" s="34">
        <v>42169</v>
      </c>
      <c r="T1784" s="34">
        <v>42170</v>
      </c>
      <c r="U1784" s="29">
        <v>39.585299999999997</v>
      </c>
      <c r="V1784" s="26">
        <v>4</v>
      </c>
      <c r="W1784" s="29">
        <v>57.37</v>
      </c>
      <c r="X1784" s="26">
        <v>86250</v>
      </c>
      <c r="Y1784" s="35">
        <v>13.700000000000001</v>
      </c>
      <c r="Z1784" s="1" t="s">
        <v>3014</v>
      </c>
      <c r="AA1784" s="36">
        <v>1.6476</v>
      </c>
      <c r="AB1784" s="54">
        <v>26.390199999999997</v>
      </c>
      <c r="AC1784" s="54">
        <v>7.7449500000000002</v>
      </c>
      <c r="AD1784" s="36">
        <v>9.2871000000000024</v>
      </c>
    </row>
    <row r="1785" spans="1:30" s="37" customFormat="1" ht="15.75" customHeight="1" x14ac:dyDescent="0.2">
      <c r="A1785" s="26">
        <v>2979</v>
      </c>
      <c r="B1785" s="27" t="s">
        <v>818</v>
      </c>
      <c r="C1785" s="27" t="s">
        <v>3094</v>
      </c>
      <c r="D1785" s="28">
        <v>0.01</v>
      </c>
      <c r="E1785" s="29">
        <v>5.84</v>
      </c>
      <c r="F1785" s="29">
        <v>0.83</v>
      </c>
      <c r="G1785" s="30" t="s">
        <v>39</v>
      </c>
      <c r="H1785" s="27" t="s">
        <v>94</v>
      </c>
      <c r="I1785" s="27" t="s">
        <v>49</v>
      </c>
      <c r="J1785" s="27" t="s">
        <v>50</v>
      </c>
      <c r="K1785" s="27" t="s">
        <v>51</v>
      </c>
      <c r="L1785" s="31" t="s">
        <v>2606</v>
      </c>
      <c r="M1785" s="32">
        <v>0.49</v>
      </c>
      <c r="N1785" s="27" t="s">
        <v>33</v>
      </c>
      <c r="O1785" s="27" t="s">
        <v>53</v>
      </c>
      <c r="P1785" s="27" t="s">
        <v>565</v>
      </c>
      <c r="Q1785" s="27" t="s">
        <v>820</v>
      </c>
      <c r="R1785" s="33">
        <v>58601</v>
      </c>
      <c r="S1785" s="34">
        <v>42169</v>
      </c>
      <c r="T1785" s="34">
        <v>42171</v>
      </c>
      <c r="U1785" s="29">
        <v>16.091999999999999</v>
      </c>
      <c r="V1785" s="26">
        <v>4</v>
      </c>
      <c r="W1785" s="29">
        <v>23.89</v>
      </c>
      <c r="X1785" s="26">
        <v>86546</v>
      </c>
      <c r="Y1785" s="35">
        <v>5.83</v>
      </c>
      <c r="Z1785" s="1" t="s">
        <v>3012</v>
      </c>
      <c r="AA1785" s="36">
        <v>0.2336</v>
      </c>
      <c r="AB1785" s="54">
        <v>12.183900000000001</v>
      </c>
      <c r="AC1785" s="54">
        <v>2.9265249999999998</v>
      </c>
      <c r="AD1785" s="36">
        <v>6.7344000000000044</v>
      </c>
    </row>
    <row r="1786" spans="1:30" s="37" customFormat="1" ht="15.75" customHeight="1" x14ac:dyDescent="0.2">
      <c r="A1786" s="26">
        <v>3339</v>
      </c>
      <c r="B1786" s="27" t="s">
        <v>2863</v>
      </c>
      <c r="C1786" s="27" t="s">
        <v>38</v>
      </c>
      <c r="D1786" s="28">
        <v>0.03</v>
      </c>
      <c r="E1786" s="29">
        <v>2.61</v>
      </c>
      <c r="F1786" s="29">
        <v>0.5</v>
      </c>
      <c r="G1786" s="30" t="s">
        <v>39</v>
      </c>
      <c r="H1786" s="27" t="s">
        <v>40</v>
      </c>
      <c r="I1786" s="27" t="s">
        <v>49</v>
      </c>
      <c r="J1786" s="27" t="s">
        <v>152</v>
      </c>
      <c r="K1786" s="27" t="s">
        <v>73</v>
      </c>
      <c r="L1786" s="31" t="s">
        <v>1367</v>
      </c>
      <c r="M1786" s="32">
        <v>0.39</v>
      </c>
      <c r="N1786" s="27" t="s">
        <v>33</v>
      </c>
      <c r="O1786" s="27" t="s">
        <v>34</v>
      </c>
      <c r="P1786" s="27" t="s">
        <v>123</v>
      </c>
      <c r="Q1786" s="27" t="s">
        <v>2864</v>
      </c>
      <c r="R1786" s="33">
        <v>32780</v>
      </c>
      <c r="S1786" s="34">
        <v>42169</v>
      </c>
      <c r="T1786" s="34">
        <v>42170</v>
      </c>
      <c r="U1786" s="29">
        <v>4.0442999999999998</v>
      </c>
      <c r="V1786" s="26">
        <v>7</v>
      </c>
      <c r="W1786" s="29">
        <v>19.02</v>
      </c>
      <c r="X1786" s="26">
        <v>85981</v>
      </c>
      <c r="Y1786" s="35">
        <v>315.90000000000003</v>
      </c>
      <c r="Z1786" s="1" t="s">
        <v>3011</v>
      </c>
      <c r="AA1786" s="36">
        <v>0.54809999999999992</v>
      </c>
      <c r="AB1786" s="54">
        <v>11.6022</v>
      </c>
      <c r="AC1786" s="54">
        <v>1.0596857142857143</v>
      </c>
      <c r="AD1786" s="36">
        <v>13.9276</v>
      </c>
    </row>
    <row r="1787" spans="1:30" s="37" customFormat="1" ht="15.75" customHeight="1" x14ac:dyDescent="0.2">
      <c r="A1787" s="26">
        <v>736</v>
      </c>
      <c r="B1787" s="27" t="s">
        <v>2876</v>
      </c>
      <c r="C1787" s="27" t="s">
        <v>3094</v>
      </c>
      <c r="D1787" s="28">
        <v>0.06</v>
      </c>
      <c r="E1787" s="29">
        <v>350.98</v>
      </c>
      <c r="F1787" s="29">
        <v>30</v>
      </c>
      <c r="G1787" s="30" t="s">
        <v>27</v>
      </c>
      <c r="H1787" s="27" t="s">
        <v>40</v>
      </c>
      <c r="I1787" s="27" t="s">
        <v>29</v>
      </c>
      <c r="J1787" s="27" t="s">
        <v>109</v>
      </c>
      <c r="K1787" s="27" t="s">
        <v>58</v>
      </c>
      <c r="L1787" s="31" t="s">
        <v>191</v>
      </c>
      <c r="M1787" s="32">
        <v>0.61</v>
      </c>
      <c r="N1787" s="27" t="s">
        <v>33</v>
      </c>
      <c r="O1787" s="27" t="s">
        <v>111</v>
      </c>
      <c r="P1787" s="27" t="s">
        <v>1356</v>
      </c>
      <c r="Q1787" s="27" t="s">
        <v>1473</v>
      </c>
      <c r="R1787" s="33">
        <v>3079</v>
      </c>
      <c r="S1787" s="34">
        <v>42170</v>
      </c>
      <c r="T1787" s="34">
        <v>42172</v>
      </c>
      <c r="U1787" s="29">
        <v>797.85599999999999</v>
      </c>
      <c r="V1787" s="26">
        <v>6</v>
      </c>
      <c r="W1787" s="29">
        <v>2016.32</v>
      </c>
      <c r="X1787" s="26">
        <v>90361</v>
      </c>
      <c r="Y1787" s="35">
        <v>5.8900000000000006</v>
      </c>
      <c r="Z1787" s="1" t="s">
        <v>3014</v>
      </c>
      <c r="AA1787" s="36">
        <v>126.3528</v>
      </c>
      <c r="AB1787" s="54">
        <v>786.36479999999995</v>
      </c>
      <c r="AC1787" s="54">
        <v>204.99253333333334</v>
      </c>
      <c r="AD1787" s="36">
        <v>1062.1111999999998</v>
      </c>
    </row>
    <row r="1788" spans="1:30" s="37" customFormat="1" ht="15.75" customHeight="1" x14ac:dyDescent="0.2">
      <c r="A1788" s="26">
        <v>741</v>
      </c>
      <c r="B1788" s="27" t="s">
        <v>2878</v>
      </c>
      <c r="C1788" s="27" t="s">
        <v>3094</v>
      </c>
      <c r="D1788" s="28">
        <v>0.04</v>
      </c>
      <c r="E1788" s="29">
        <v>27.48</v>
      </c>
      <c r="F1788" s="29">
        <v>4</v>
      </c>
      <c r="G1788" s="30" t="s">
        <v>39</v>
      </c>
      <c r="H1788" s="27" t="s">
        <v>40</v>
      </c>
      <c r="I1788" s="27" t="s">
        <v>41</v>
      </c>
      <c r="J1788" s="27" t="s">
        <v>42</v>
      </c>
      <c r="K1788" s="27" t="s">
        <v>73</v>
      </c>
      <c r="L1788" s="31" t="s">
        <v>2061</v>
      </c>
      <c r="M1788" s="32">
        <v>0.75</v>
      </c>
      <c r="N1788" s="27" t="s">
        <v>33</v>
      </c>
      <c r="O1788" s="27" t="s">
        <v>111</v>
      </c>
      <c r="P1788" s="27" t="s">
        <v>397</v>
      </c>
      <c r="Q1788" s="27" t="s">
        <v>2879</v>
      </c>
      <c r="R1788" s="33">
        <v>7901</v>
      </c>
      <c r="S1788" s="34">
        <v>42170</v>
      </c>
      <c r="T1788" s="34">
        <v>42172</v>
      </c>
      <c r="U1788" s="29">
        <v>-26.655999999999999</v>
      </c>
      <c r="V1788" s="26">
        <v>15</v>
      </c>
      <c r="W1788" s="29">
        <v>397.17</v>
      </c>
      <c r="X1788" s="26">
        <v>90361</v>
      </c>
      <c r="Y1788" s="35">
        <v>4.21</v>
      </c>
      <c r="Z1788" s="1" t="s">
        <v>3014</v>
      </c>
      <c r="AA1788" s="36">
        <v>16.488</v>
      </c>
      <c r="AB1788" s="54">
        <v>99.292500000000004</v>
      </c>
      <c r="AC1788" s="54">
        <v>19.858499999999999</v>
      </c>
      <c r="AD1788" s="36">
        <v>403.33800000000002</v>
      </c>
    </row>
    <row r="1789" spans="1:30" s="37" customFormat="1" ht="15.75" customHeight="1" x14ac:dyDescent="0.2">
      <c r="A1789" s="26">
        <v>738</v>
      </c>
      <c r="B1789" s="27" t="s">
        <v>2877</v>
      </c>
      <c r="C1789" s="27" t="s">
        <v>3094</v>
      </c>
      <c r="D1789" s="28">
        <v>0.02</v>
      </c>
      <c r="E1789" s="29">
        <v>70.98</v>
      </c>
      <c r="F1789" s="29">
        <v>46.74</v>
      </c>
      <c r="G1789" s="30" t="s">
        <v>27</v>
      </c>
      <c r="H1789" s="27" t="s">
        <v>40</v>
      </c>
      <c r="I1789" s="27" t="s">
        <v>29</v>
      </c>
      <c r="J1789" s="27" t="s">
        <v>117</v>
      </c>
      <c r="K1789" s="27" t="s">
        <v>31</v>
      </c>
      <c r="L1789" s="31" t="s">
        <v>378</v>
      </c>
      <c r="M1789" s="32">
        <v>0.56000000000000005</v>
      </c>
      <c r="N1789" s="27" t="s">
        <v>33</v>
      </c>
      <c r="O1789" s="27" t="s">
        <v>111</v>
      </c>
      <c r="P1789" s="27" t="s">
        <v>397</v>
      </c>
      <c r="Q1789" s="27" t="s">
        <v>2372</v>
      </c>
      <c r="R1789" s="33">
        <v>7016</v>
      </c>
      <c r="S1789" s="34">
        <v>42170</v>
      </c>
      <c r="T1789" s="34">
        <v>42171</v>
      </c>
      <c r="U1789" s="29">
        <v>-178.21600000000001</v>
      </c>
      <c r="V1789" s="26">
        <v>4</v>
      </c>
      <c r="W1789" s="29">
        <v>313.63</v>
      </c>
      <c r="X1789" s="26">
        <v>90361</v>
      </c>
      <c r="Y1789" s="35">
        <v>2.9</v>
      </c>
      <c r="Z1789" s="1" t="s">
        <v>3014</v>
      </c>
      <c r="AA1789" s="36">
        <v>5.6784000000000008</v>
      </c>
      <c r="AB1789" s="54">
        <v>137.99719999999999</v>
      </c>
      <c r="AC1789" s="54">
        <v>43.908200000000001</v>
      </c>
      <c r="AD1789" s="36">
        <v>439.42759999999998</v>
      </c>
    </row>
    <row r="1790" spans="1:30" s="37" customFormat="1" ht="15.75" customHeight="1" x14ac:dyDescent="0.2">
      <c r="A1790" s="26">
        <v>2512</v>
      </c>
      <c r="B1790" s="27" t="s">
        <v>2882</v>
      </c>
      <c r="C1790" s="27" t="s">
        <v>3094</v>
      </c>
      <c r="D1790" s="28">
        <v>0.04</v>
      </c>
      <c r="E1790" s="29">
        <v>6.48</v>
      </c>
      <c r="F1790" s="29">
        <v>9.5399999999999991</v>
      </c>
      <c r="G1790" s="30" t="s">
        <v>39</v>
      </c>
      <c r="H1790" s="27" t="s">
        <v>71</v>
      </c>
      <c r="I1790" s="27" t="s">
        <v>49</v>
      </c>
      <c r="J1790" s="27" t="s">
        <v>88</v>
      </c>
      <c r="K1790" s="27" t="s">
        <v>73</v>
      </c>
      <c r="L1790" s="31" t="s">
        <v>2224</v>
      </c>
      <c r="M1790" s="32">
        <v>0.37</v>
      </c>
      <c r="N1790" s="27" t="s">
        <v>33</v>
      </c>
      <c r="O1790" s="27" t="s">
        <v>111</v>
      </c>
      <c r="P1790" s="27" t="s">
        <v>403</v>
      </c>
      <c r="Q1790" s="27" t="s">
        <v>2883</v>
      </c>
      <c r="R1790" s="33">
        <v>2138</v>
      </c>
      <c r="S1790" s="34">
        <v>42170</v>
      </c>
      <c r="T1790" s="34">
        <v>42172</v>
      </c>
      <c r="U1790" s="29">
        <v>-223.94399999999999</v>
      </c>
      <c r="V1790" s="26">
        <v>19</v>
      </c>
      <c r="W1790" s="29">
        <v>125.37</v>
      </c>
      <c r="X1790" s="26">
        <v>87030</v>
      </c>
      <c r="Y1790" s="35">
        <v>350.92</v>
      </c>
      <c r="Z1790" s="1" t="s">
        <v>3014</v>
      </c>
      <c r="AA1790" s="36">
        <v>4.9248000000000012</v>
      </c>
      <c r="AB1790" s="54">
        <v>78.983100000000007</v>
      </c>
      <c r="AC1790" s="54">
        <v>2.4414157894736843</v>
      </c>
      <c r="AD1790" s="36">
        <v>334.8492</v>
      </c>
    </row>
    <row r="1791" spans="1:30" s="37" customFormat="1" ht="15.75" customHeight="1" x14ac:dyDescent="0.2">
      <c r="A1791" s="26">
        <v>33</v>
      </c>
      <c r="B1791" s="27" t="s">
        <v>2874</v>
      </c>
      <c r="C1791" s="27" t="s">
        <v>3094</v>
      </c>
      <c r="D1791" s="28">
        <v>0.03</v>
      </c>
      <c r="E1791" s="29">
        <v>4.24</v>
      </c>
      <c r="F1791" s="29">
        <v>5.41</v>
      </c>
      <c r="G1791" s="30" t="s">
        <v>39</v>
      </c>
      <c r="H1791" s="27" t="s">
        <v>94</v>
      </c>
      <c r="I1791" s="27" t="s">
        <v>49</v>
      </c>
      <c r="J1791" s="27" t="s">
        <v>72</v>
      </c>
      <c r="K1791" s="27" t="s">
        <v>73</v>
      </c>
      <c r="L1791" s="31" t="s">
        <v>1671</v>
      </c>
      <c r="M1791" s="32">
        <v>0.35</v>
      </c>
      <c r="N1791" s="27" t="s">
        <v>33</v>
      </c>
      <c r="O1791" s="27" t="s">
        <v>60</v>
      </c>
      <c r="P1791" s="27" t="s">
        <v>139</v>
      </c>
      <c r="Q1791" s="27" t="s">
        <v>2875</v>
      </c>
      <c r="R1791" s="33">
        <v>97030</v>
      </c>
      <c r="S1791" s="34">
        <v>42170</v>
      </c>
      <c r="T1791" s="34">
        <v>42172</v>
      </c>
      <c r="U1791" s="29">
        <v>-84.437600000000003</v>
      </c>
      <c r="V1791" s="26">
        <v>13</v>
      </c>
      <c r="W1791" s="29">
        <v>58.68</v>
      </c>
      <c r="X1791" s="26">
        <v>89201</v>
      </c>
      <c r="Y1791" s="35">
        <v>70.960000000000008</v>
      </c>
      <c r="Z1791" s="1" t="s">
        <v>3013</v>
      </c>
      <c r="AA1791" s="36">
        <v>1.6536000000000002</v>
      </c>
      <c r="AB1791" s="54">
        <v>38.142000000000003</v>
      </c>
      <c r="AC1791" s="54">
        <v>1.5798461538461537</v>
      </c>
      <c r="AD1791" s="36">
        <v>136.054</v>
      </c>
    </row>
    <row r="1792" spans="1:30" s="37" customFormat="1" ht="15.75" customHeight="1" x14ac:dyDescent="0.2">
      <c r="A1792" s="26">
        <v>33</v>
      </c>
      <c r="B1792" s="27" t="s">
        <v>2874</v>
      </c>
      <c r="C1792" s="27" t="s">
        <v>3094</v>
      </c>
      <c r="D1792" s="28">
        <v>0.04</v>
      </c>
      <c r="E1792" s="29">
        <v>2.94</v>
      </c>
      <c r="F1792" s="29">
        <v>0.7</v>
      </c>
      <c r="G1792" s="30" t="s">
        <v>39</v>
      </c>
      <c r="H1792" s="27" t="s">
        <v>94</v>
      </c>
      <c r="I1792" s="27" t="s">
        <v>49</v>
      </c>
      <c r="J1792" s="27" t="s">
        <v>50</v>
      </c>
      <c r="K1792" s="27" t="s">
        <v>51</v>
      </c>
      <c r="L1792" s="31" t="s">
        <v>819</v>
      </c>
      <c r="M1792" s="32">
        <v>0.57999999999999996</v>
      </c>
      <c r="N1792" s="27" t="s">
        <v>33</v>
      </c>
      <c r="O1792" s="27" t="s">
        <v>60</v>
      </c>
      <c r="P1792" s="27" t="s">
        <v>139</v>
      </c>
      <c r="Q1792" s="27" t="s">
        <v>2875</v>
      </c>
      <c r="R1792" s="33">
        <v>97030</v>
      </c>
      <c r="S1792" s="34">
        <v>42170</v>
      </c>
      <c r="T1792" s="34">
        <v>42171</v>
      </c>
      <c r="U1792" s="29">
        <v>24.312000000000001</v>
      </c>
      <c r="V1792" s="26">
        <v>18</v>
      </c>
      <c r="W1792" s="29">
        <v>53.1</v>
      </c>
      <c r="X1792" s="26">
        <v>89201</v>
      </c>
      <c r="Y1792" s="35">
        <v>27.44</v>
      </c>
      <c r="Z1792" s="1" t="s">
        <v>3013</v>
      </c>
      <c r="AA1792" s="36">
        <v>2.1168</v>
      </c>
      <c r="AB1792" s="54">
        <v>22.302000000000003</v>
      </c>
      <c r="AC1792" s="54">
        <v>1.7110000000000001</v>
      </c>
      <c r="AD1792" s="36">
        <v>25.9712</v>
      </c>
    </row>
    <row r="1793" spans="1:30" s="37" customFormat="1" ht="15.75" customHeight="1" x14ac:dyDescent="0.2">
      <c r="A1793" s="26">
        <v>1860</v>
      </c>
      <c r="B1793" s="27" t="s">
        <v>2872</v>
      </c>
      <c r="C1793" s="27" t="s">
        <v>26</v>
      </c>
      <c r="D1793" s="28">
        <v>0.09</v>
      </c>
      <c r="E1793" s="29">
        <v>5.98</v>
      </c>
      <c r="F1793" s="29">
        <v>1.49</v>
      </c>
      <c r="G1793" s="30" t="s">
        <v>39</v>
      </c>
      <c r="H1793" s="27" t="s">
        <v>71</v>
      </c>
      <c r="I1793" s="27" t="s">
        <v>49</v>
      </c>
      <c r="J1793" s="27" t="s">
        <v>72</v>
      </c>
      <c r="K1793" s="27" t="s">
        <v>73</v>
      </c>
      <c r="L1793" s="31" t="s">
        <v>1587</v>
      </c>
      <c r="M1793" s="32">
        <v>0.39</v>
      </c>
      <c r="N1793" s="27" t="s">
        <v>33</v>
      </c>
      <c r="O1793" s="27" t="s">
        <v>111</v>
      </c>
      <c r="P1793" s="27" t="s">
        <v>403</v>
      </c>
      <c r="Q1793" s="27" t="s">
        <v>2873</v>
      </c>
      <c r="R1793" s="33">
        <v>1570</v>
      </c>
      <c r="S1793" s="34">
        <v>42170</v>
      </c>
      <c r="T1793" s="34">
        <v>42172</v>
      </c>
      <c r="U1793" s="29">
        <v>13.2294</v>
      </c>
      <c r="V1793" s="26">
        <v>5</v>
      </c>
      <c r="W1793" s="29">
        <v>28.01</v>
      </c>
      <c r="X1793" s="26">
        <v>86846</v>
      </c>
      <c r="Y1793" s="35">
        <v>1.48</v>
      </c>
      <c r="Z1793" s="1" t="s">
        <v>3014</v>
      </c>
      <c r="AA1793" s="36">
        <v>2.6909999999999998</v>
      </c>
      <c r="AB1793" s="54">
        <v>17.086100000000002</v>
      </c>
      <c r="AC1793" s="54">
        <v>2.1847800000000004</v>
      </c>
      <c r="AD1793" s="36">
        <v>10.599600000000002</v>
      </c>
    </row>
    <row r="1794" spans="1:30" s="37" customFormat="1" ht="15.75" customHeight="1" x14ac:dyDescent="0.2">
      <c r="A1794" s="26">
        <v>2183</v>
      </c>
      <c r="B1794" s="27" t="s">
        <v>2880</v>
      </c>
      <c r="C1794" s="27" t="s">
        <v>3094</v>
      </c>
      <c r="D1794" s="28">
        <v>0</v>
      </c>
      <c r="E1794" s="29">
        <v>1.48</v>
      </c>
      <c r="F1794" s="29">
        <v>0.7</v>
      </c>
      <c r="G1794" s="30" t="s">
        <v>39</v>
      </c>
      <c r="H1794" s="27" t="s">
        <v>71</v>
      </c>
      <c r="I1794" s="27" t="s">
        <v>49</v>
      </c>
      <c r="J1794" s="27" t="s">
        <v>176</v>
      </c>
      <c r="K1794" s="27" t="s">
        <v>51</v>
      </c>
      <c r="L1794" s="31" t="s">
        <v>177</v>
      </c>
      <c r="M1794" s="32">
        <v>0.37</v>
      </c>
      <c r="N1794" s="27" t="s">
        <v>33</v>
      </c>
      <c r="O1794" s="27" t="s">
        <v>34</v>
      </c>
      <c r="P1794" s="27" t="s">
        <v>388</v>
      </c>
      <c r="Q1794" s="27" t="s">
        <v>2881</v>
      </c>
      <c r="R1794" s="33">
        <v>42301</v>
      </c>
      <c r="S1794" s="34">
        <v>42170</v>
      </c>
      <c r="T1794" s="34">
        <v>42172</v>
      </c>
      <c r="U1794" s="29">
        <v>-203.09800000000001</v>
      </c>
      <c r="V1794" s="26">
        <v>12</v>
      </c>
      <c r="W1794" s="29">
        <v>19.32</v>
      </c>
      <c r="X1794" s="26">
        <v>91571</v>
      </c>
      <c r="Y1794" s="35">
        <v>6.44</v>
      </c>
      <c r="Z1794" s="1" t="s">
        <v>3011</v>
      </c>
      <c r="AA1794" s="36">
        <v>0</v>
      </c>
      <c r="AB1794" s="54">
        <v>12.1716</v>
      </c>
      <c r="AC1794" s="54">
        <v>0.59570000000000001</v>
      </c>
      <c r="AD1794" s="36">
        <v>221.71800000000002</v>
      </c>
    </row>
    <row r="1795" spans="1:30" s="37" customFormat="1" ht="15.75" customHeight="1" x14ac:dyDescent="0.2">
      <c r="A1795" s="26">
        <v>2355</v>
      </c>
      <c r="B1795" s="27" t="s">
        <v>1212</v>
      </c>
      <c r="C1795" s="27" t="s">
        <v>116</v>
      </c>
      <c r="D1795" s="28">
        <v>0.06</v>
      </c>
      <c r="E1795" s="29">
        <v>146.34</v>
      </c>
      <c r="F1795" s="29">
        <v>43.75</v>
      </c>
      <c r="G1795" s="30" t="s">
        <v>27</v>
      </c>
      <c r="H1795" s="27" t="s">
        <v>40</v>
      </c>
      <c r="I1795" s="27" t="s">
        <v>29</v>
      </c>
      <c r="J1795" s="27" t="s">
        <v>30</v>
      </c>
      <c r="K1795" s="27" t="s">
        <v>31</v>
      </c>
      <c r="L1795" s="31" t="s">
        <v>155</v>
      </c>
      <c r="M1795" s="32">
        <v>0.65</v>
      </c>
      <c r="N1795" s="27" t="s">
        <v>33</v>
      </c>
      <c r="O1795" s="27" t="s">
        <v>60</v>
      </c>
      <c r="P1795" s="27" t="s">
        <v>90</v>
      </c>
      <c r="Q1795" s="27" t="s">
        <v>1214</v>
      </c>
      <c r="R1795" s="33">
        <v>92236</v>
      </c>
      <c r="S1795" s="34">
        <v>42171</v>
      </c>
      <c r="T1795" s="34">
        <v>42173</v>
      </c>
      <c r="U1795" s="29">
        <v>-89.27</v>
      </c>
      <c r="V1795" s="26">
        <v>12</v>
      </c>
      <c r="W1795" s="29">
        <v>1721.24</v>
      </c>
      <c r="X1795" s="26">
        <v>91306</v>
      </c>
      <c r="Y1795" s="35">
        <v>7.54</v>
      </c>
      <c r="Z1795" s="1" t="s">
        <v>3013</v>
      </c>
      <c r="AA1795" s="36">
        <v>105.3648</v>
      </c>
      <c r="AB1795" s="54">
        <v>602.43399999999997</v>
      </c>
      <c r="AC1795" s="54">
        <v>93.233833333333337</v>
      </c>
      <c r="AD1795" s="36">
        <v>1661.3951999999999</v>
      </c>
    </row>
    <row r="1796" spans="1:30" s="37" customFormat="1" ht="15.75" customHeight="1" x14ac:dyDescent="0.2">
      <c r="A1796" s="26">
        <v>1492</v>
      </c>
      <c r="B1796" s="27" t="s">
        <v>2890</v>
      </c>
      <c r="C1796" s="27" t="s">
        <v>38</v>
      </c>
      <c r="D1796" s="28">
        <v>0.04</v>
      </c>
      <c r="E1796" s="29">
        <v>119.99</v>
      </c>
      <c r="F1796" s="29">
        <v>14</v>
      </c>
      <c r="G1796" s="30" t="s">
        <v>27</v>
      </c>
      <c r="H1796" s="27" t="s">
        <v>94</v>
      </c>
      <c r="I1796" s="27" t="s">
        <v>41</v>
      </c>
      <c r="J1796" s="27" t="s">
        <v>57</v>
      </c>
      <c r="K1796" s="27" t="s">
        <v>58</v>
      </c>
      <c r="L1796" s="31" t="s">
        <v>2151</v>
      </c>
      <c r="M1796" s="32">
        <v>0.36</v>
      </c>
      <c r="N1796" s="27" t="s">
        <v>33</v>
      </c>
      <c r="O1796" s="27" t="s">
        <v>53</v>
      </c>
      <c r="P1796" s="27" t="s">
        <v>80</v>
      </c>
      <c r="Q1796" s="27" t="s">
        <v>2891</v>
      </c>
      <c r="R1796" s="33">
        <v>65721</v>
      </c>
      <c r="S1796" s="34">
        <v>42171</v>
      </c>
      <c r="T1796" s="34">
        <v>42173</v>
      </c>
      <c r="U1796" s="29">
        <v>509.95830000000001</v>
      </c>
      <c r="V1796" s="26">
        <v>6</v>
      </c>
      <c r="W1796" s="29">
        <v>739.07</v>
      </c>
      <c r="X1796" s="26">
        <v>88004</v>
      </c>
      <c r="Y1796" s="35">
        <v>41.29</v>
      </c>
      <c r="Z1796" s="1" t="s">
        <v>3012</v>
      </c>
      <c r="AA1796" s="36">
        <v>28.797599999999999</v>
      </c>
      <c r="AB1796" s="54">
        <v>473.00480000000005</v>
      </c>
      <c r="AC1796" s="54">
        <v>44.344200000000001</v>
      </c>
      <c r="AD1796" s="36">
        <v>186.31410000000005</v>
      </c>
    </row>
    <row r="1797" spans="1:30" s="37" customFormat="1" ht="15.75" customHeight="1" x14ac:dyDescent="0.2">
      <c r="A1797" s="26">
        <v>2677</v>
      </c>
      <c r="B1797" s="27" t="s">
        <v>2886</v>
      </c>
      <c r="C1797" s="27" t="s">
        <v>26</v>
      </c>
      <c r="D1797" s="28">
        <v>0.03</v>
      </c>
      <c r="E1797" s="29">
        <v>41.32</v>
      </c>
      <c r="F1797" s="29">
        <v>58.66</v>
      </c>
      <c r="G1797" s="30" t="s">
        <v>87</v>
      </c>
      <c r="H1797" s="27" t="s">
        <v>3095</v>
      </c>
      <c r="I1797" s="27" t="s">
        <v>29</v>
      </c>
      <c r="J1797" s="27" t="s">
        <v>126</v>
      </c>
      <c r="K1797" s="27" t="s">
        <v>144</v>
      </c>
      <c r="L1797" s="31" t="s">
        <v>2887</v>
      </c>
      <c r="M1797" s="32">
        <v>0.76</v>
      </c>
      <c r="N1797" s="27" t="s">
        <v>33</v>
      </c>
      <c r="O1797" s="27" t="s">
        <v>34</v>
      </c>
      <c r="P1797" s="27" t="s">
        <v>242</v>
      </c>
      <c r="Q1797" s="27" t="s">
        <v>802</v>
      </c>
      <c r="R1797" s="33">
        <v>22601</v>
      </c>
      <c r="S1797" s="34">
        <v>42171</v>
      </c>
      <c r="T1797" s="34">
        <v>42172</v>
      </c>
      <c r="U1797" s="29">
        <v>-32.816000000000003</v>
      </c>
      <c r="V1797" s="26">
        <v>10</v>
      </c>
      <c r="W1797" s="29">
        <v>419.27</v>
      </c>
      <c r="X1797" s="26">
        <v>86633</v>
      </c>
      <c r="Y1797" s="35">
        <v>6.88</v>
      </c>
      <c r="Z1797" s="1" t="s">
        <v>3011</v>
      </c>
      <c r="AA1797" s="36">
        <v>12.396000000000001</v>
      </c>
      <c r="AB1797" s="54">
        <v>100.62479999999999</v>
      </c>
      <c r="AC1797" s="54">
        <v>31.864519999999999</v>
      </c>
      <c r="AD1797" s="36">
        <v>381.03</v>
      </c>
    </row>
    <row r="1798" spans="1:30" s="37" customFormat="1" ht="15.75" customHeight="1" x14ac:dyDescent="0.2">
      <c r="A1798" s="26">
        <v>2720</v>
      </c>
      <c r="B1798" s="27" t="s">
        <v>2888</v>
      </c>
      <c r="C1798" s="27" t="s">
        <v>26</v>
      </c>
      <c r="D1798" s="28">
        <v>0</v>
      </c>
      <c r="E1798" s="29">
        <v>40.479999999999997</v>
      </c>
      <c r="F1798" s="29">
        <v>19.989999999999998</v>
      </c>
      <c r="G1798" s="30" t="s">
        <v>39</v>
      </c>
      <c r="H1798" s="27" t="s">
        <v>3095</v>
      </c>
      <c r="I1798" s="27" t="s">
        <v>41</v>
      </c>
      <c r="J1798" s="27" t="s">
        <v>42</v>
      </c>
      <c r="K1798" s="27" t="s">
        <v>73</v>
      </c>
      <c r="L1798" s="31" t="s">
        <v>2054</v>
      </c>
      <c r="M1798" s="32">
        <v>0.77</v>
      </c>
      <c r="N1798" s="27" t="s">
        <v>33</v>
      </c>
      <c r="O1798" s="27" t="s">
        <v>34</v>
      </c>
      <c r="P1798" s="27" t="s">
        <v>75</v>
      </c>
      <c r="Q1798" s="27" t="s">
        <v>2889</v>
      </c>
      <c r="R1798" s="33">
        <v>30721</v>
      </c>
      <c r="S1798" s="34">
        <v>42171</v>
      </c>
      <c r="T1798" s="34">
        <v>42172</v>
      </c>
      <c r="U1798" s="29">
        <v>-25.634</v>
      </c>
      <c r="V1798" s="26">
        <v>6</v>
      </c>
      <c r="W1798" s="29">
        <v>264.95</v>
      </c>
      <c r="X1798" s="26">
        <v>88766</v>
      </c>
      <c r="Y1798" s="35">
        <v>40.479999999999997</v>
      </c>
      <c r="Z1798" s="1" t="s">
        <v>3011</v>
      </c>
      <c r="AA1798" s="36">
        <v>0</v>
      </c>
      <c r="AB1798" s="54">
        <v>60.938499999999991</v>
      </c>
      <c r="AC1798" s="54">
        <v>34.001916666666666</v>
      </c>
      <c r="AD1798" s="36">
        <v>270.59399999999999</v>
      </c>
    </row>
    <row r="1799" spans="1:30" s="37" customFormat="1" ht="15.75" customHeight="1" x14ac:dyDescent="0.2">
      <c r="A1799" s="26">
        <v>1038</v>
      </c>
      <c r="B1799" s="27" t="s">
        <v>2884</v>
      </c>
      <c r="C1799" s="27" t="s">
        <v>26</v>
      </c>
      <c r="D1799" s="28">
        <v>0.1</v>
      </c>
      <c r="E1799" s="29">
        <v>7.64</v>
      </c>
      <c r="F1799" s="29">
        <v>5.83</v>
      </c>
      <c r="G1799" s="30" t="s">
        <v>39</v>
      </c>
      <c r="H1799" s="27" t="s">
        <v>94</v>
      </c>
      <c r="I1799" s="27" t="s">
        <v>49</v>
      </c>
      <c r="J1799" s="27" t="s">
        <v>88</v>
      </c>
      <c r="K1799" s="27" t="s">
        <v>51</v>
      </c>
      <c r="L1799" s="31" t="s">
        <v>232</v>
      </c>
      <c r="M1799" s="32">
        <v>0.36</v>
      </c>
      <c r="N1799" s="27" t="s">
        <v>33</v>
      </c>
      <c r="O1799" s="27" t="s">
        <v>34</v>
      </c>
      <c r="P1799" s="27" t="s">
        <v>123</v>
      </c>
      <c r="Q1799" s="27" t="s">
        <v>2885</v>
      </c>
      <c r="R1799" s="33">
        <v>33430</v>
      </c>
      <c r="S1799" s="34">
        <v>42171</v>
      </c>
      <c r="T1799" s="34">
        <v>42172</v>
      </c>
      <c r="U1799" s="29">
        <v>-403.18740000000003</v>
      </c>
      <c r="V1799" s="26">
        <v>5</v>
      </c>
      <c r="W1799" s="29">
        <v>39.36</v>
      </c>
      <c r="X1799" s="26">
        <v>90641</v>
      </c>
      <c r="Y1799" s="35">
        <v>119.94999999999999</v>
      </c>
      <c r="Z1799" s="1" t="s">
        <v>3011</v>
      </c>
      <c r="AA1799" s="36">
        <v>3.8200000000000003</v>
      </c>
      <c r="AB1799" s="54">
        <v>25.1904</v>
      </c>
      <c r="AC1799" s="54">
        <v>2.83392</v>
      </c>
      <c r="AD1799" s="36">
        <v>432.89740000000006</v>
      </c>
    </row>
    <row r="1800" spans="1:30" s="37" customFormat="1" ht="15.75" customHeight="1" x14ac:dyDescent="0.2">
      <c r="A1800" s="26">
        <v>2677</v>
      </c>
      <c r="B1800" s="27" t="s">
        <v>2886</v>
      </c>
      <c r="C1800" s="27" t="s">
        <v>26</v>
      </c>
      <c r="D1800" s="28">
        <v>0</v>
      </c>
      <c r="E1800" s="29">
        <v>6.88</v>
      </c>
      <c r="F1800" s="29">
        <v>2</v>
      </c>
      <c r="G1800" s="30" t="s">
        <v>39</v>
      </c>
      <c r="H1800" s="27" t="s">
        <v>3095</v>
      </c>
      <c r="I1800" s="27" t="s">
        <v>49</v>
      </c>
      <c r="J1800" s="27" t="s">
        <v>88</v>
      </c>
      <c r="K1800" s="27" t="s">
        <v>51</v>
      </c>
      <c r="L1800" s="31" t="s">
        <v>852</v>
      </c>
      <c r="M1800" s="32">
        <v>0.39</v>
      </c>
      <c r="N1800" s="27" t="s">
        <v>33</v>
      </c>
      <c r="O1800" s="27" t="s">
        <v>34</v>
      </c>
      <c r="P1800" s="27" t="s">
        <v>242</v>
      </c>
      <c r="Q1800" s="27" t="s">
        <v>802</v>
      </c>
      <c r="R1800" s="33">
        <v>22601</v>
      </c>
      <c r="S1800" s="34">
        <v>42171</v>
      </c>
      <c r="T1800" s="34">
        <v>42171</v>
      </c>
      <c r="U1800" s="29">
        <v>-15.61</v>
      </c>
      <c r="V1800" s="26">
        <v>5</v>
      </c>
      <c r="W1800" s="29">
        <v>36</v>
      </c>
      <c r="X1800" s="26">
        <v>86633</v>
      </c>
      <c r="Y1800" s="35">
        <v>146.28</v>
      </c>
      <c r="Z1800" s="1" t="s">
        <v>3011</v>
      </c>
      <c r="AA1800" s="36">
        <v>0</v>
      </c>
      <c r="AB1800" s="54">
        <v>21.96</v>
      </c>
      <c r="AC1800" s="54">
        <v>2.8080000000000003</v>
      </c>
      <c r="AD1800" s="36">
        <v>49.61</v>
      </c>
    </row>
    <row r="1801" spans="1:30" s="37" customFormat="1" ht="15.75" customHeight="1" x14ac:dyDescent="0.2">
      <c r="A1801" s="26">
        <v>286</v>
      </c>
      <c r="B1801" s="27" t="s">
        <v>2893</v>
      </c>
      <c r="C1801" s="27" t="s">
        <v>48</v>
      </c>
      <c r="D1801" s="28">
        <v>0.1</v>
      </c>
      <c r="E1801" s="29">
        <v>130.97999999999999</v>
      </c>
      <c r="F1801" s="29">
        <v>54.74</v>
      </c>
      <c r="G1801" s="30" t="s">
        <v>27</v>
      </c>
      <c r="H1801" s="27" t="s">
        <v>3095</v>
      </c>
      <c r="I1801" s="27" t="s">
        <v>29</v>
      </c>
      <c r="J1801" s="27" t="s">
        <v>117</v>
      </c>
      <c r="K1801" s="27" t="s">
        <v>31</v>
      </c>
      <c r="L1801" s="31" t="s">
        <v>1403</v>
      </c>
      <c r="M1801" s="32">
        <v>0.69</v>
      </c>
      <c r="N1801" s="27" t="s">
        <v>33</v>
      </c>
      <c r="O1801" s="27" t="s">
        <v>53</v>
      </c>
      <c r="P1801" s="27" t="s">
        <v>537</v>
      </c>
      <c r="Q1801" s="27" t="s">
        <v>2895</v>
      </c>
      <c r="R1801" s="33">
        <v>66203</v>
      </c>
      <c r="S1801" s="34">
        <v>42172</v>
      </c>
      <c r="T1801" s="34">
        <v>42176</v>
      </c>
      <c r="U1801" s="29">
        <v>-530.24</v>
      </c>
      <c r="V1801" s="26">
        <v>9</v>
      </c>
      <c r="W1801" s="29">
        <v>1155.73</v>
      </c>
      <c r="X1801" s="26">
        <v>89761</v>
      </c>
      <c r="Y1801" s="35">
        <v>33.85</v>
      </c>
      <c r="Z1801" s="1" t="s">
        <v>3012</v>
      </c>
      <c r="AA1801" s="36">
        <v>117.88199999999999</v>
      </c>
      <c r="AB1801" s="54">
        <v>358.27630000000005</v>
      </c>
      <c r="AC1801" s="54">
        <v>88.605966666666674</v>
      </c>
      <c r="AD1801" s="36">
        <v>1513.348</v>
      </c>
    </row>
    <row r="1802" spans="1:30" s="37" customFormat="1" ht="15.75" customHeight="1" x14ac:dyDescent="0.2">
      <c r="A1802" s="26">
        <v>646</v>
      </c>
      <c r="B1802" s="27" t="s">
        <v>2896</v>
      </c>
      <c r="C1802" s="27" t="s">
        <v>48</v>
      </c>
      <c r="D1802" s="28">
        <v>0.03</v>
      </c>
      <c r="E1802" s="29">
        <v>51.75</v>
      </c>
      <c r="F1802" s="29">
        <v>19.989999999999998</v>
      </c>
      <c r="G1802" s="30" t="s">
        <v>39</v>
      </c>
      <c r="H1802" s="27" t="s">
        <v>94</v>
      </c>
      <c r="I1802" s="27" t="s">
        <v>29</v>
      </c>
      <c r="J1802" s="27" t="s">
        <v>126</v>
      </c>
      <c r="K1802" s="27" t="s">
        <v>73</v>
      </c>
      <c r="L1802" s="31" t="s">
        <v>2897</v>
      </c>
      <c r="M1802" s="32">
        <v>0.55000000000000004</v>
      </c>
      <c r="N1802" s="27" t="s">
        <v>33</v>
      </c>
      <c r="O1802" s="27" t="s">
        <v>53</v>
      </c>
      <c r="P1802" s="27" t="s">
        <v>84</v>
      </c>
      <c r="Q1802" s="27" t="s">
        <v>2898</v>
      </c>
      <c r="R1802" s="33">
        <v>55379</v>
      </c>
      <c r="S1802" s="34">
        <v>42172</v>
      </c>
      <c r="T1802" s="34">
        <v>42177</v>
      </c>
      <c r="U1802" s="29">
        <v>261.44400000000002</v>
      </c>
      <c r="V1802" s="26">
        <v>16</v>
      </c>
      <c r="W1802" s="29">
        <v>818.81</v>
      </c>
      <c r="X1802" s="26">
        <v>90735</v>
      </c>
      <c r="Y1802" s="35">
        <v>1.5799999999999998</v>
      </c>
      <c r="Z1802" s="1" t="s">
        <v>3012</v>
      </c>
      <c r="AA1802" s="36">
        <v>24.84</v>
      </c>
      <c r="AB1802" s="54">
        <v>368.46449999999993</v>
      </c>
      <c r="AC1802" s="54">
        <v>28.146593750000001</v>
      </c>
      <c r="AD1802" s="36">
        <v>512.53599999999994</v>
      </c>
    </row>
    <row r="1803" spans="1:30" s="37" customFormat="1" ht="15.75" customHeight="1" x14ac:dyDescent="0.2">
      <c r="A1803" s="26">
        <v>1193</v>
      </c>
      <c r="B1803" s="27" t="s">
        <v>1351</v>
      </c>
      <c r="C1803" s="27" t="s">
        <v>48</v>
      </c>
      <c r="D1803" s="28">
        <v>0.03</v>
      </c>
      <c r="E1803" s="29">
        <v>10.64</v>
      </c>
      <c r="F1803" s="29">
        <v>5.16</v>
      </c>
      <c r="G1803" s="30" t="s">
        <v>39</v>
      </c>
      <c r="H1803" s="27" t="s">
        <v>40</v>
      </c>
      <c r="I1803" s="27" t="s">
        <v>29</v>
      </c>
      <c r="J1803" s="27" t="s">
        <v>126</v>
      </c>
      <c r="K1803" s="27" t="s">
        <v>73</v>
      </c>
      <c r="L1803" s="31" t="s">
        <v>1844</v>
      </c>
      <c r="M1803" s="32">
        <v>0.56999999999999995</v>
      </c>
      <c r="N1803" s="27" t="s">
        <v>33</v>
      </c>
      <c r="O1803" s="27" t="s">
        <v>111</v>
      </c>
      <c r="P1803" s="27" t="s">
        <v>374</v>
      </c>
      <c r="Q1803" s="27" t="s">
        <v>67</v>
      </c>
      <c r="R1803" s="33">
        <v>20016</v>
      </c>
      <c r="S1803" s="34">
        <v>42172</v>
      </c>
      <c r="T1803" s="34">
        <v>42177</v>
      </c>
      <c r="U1803" s="29">
        <v>14.48</v>
      </c>
      <c r="V1803" s="26">
        <v>63</v>
      </c>
      <c r="W1803" s="29">
        <v>696.96</v>
      </c>
      <c r="X1803" s="26">
        <v>5984</v>
      </c>
      <c r="Y1803" s="35">
        <v>4.13</v>
      </c>
      <c r="Z1803" s="1" t="s">
        <v>3014</v>
      </c>
      <c r="AA1803" s="36">
        <v>20.1096</v>
      </c>
      <c r="AB1803" s="54">
        <v>299.69280000000003</v>
      </c>
      <c r="AC1803" s="54">
        <v>6.305828571428572</v>
      </c>
      <c r="AD1803" s="36">
        <v>657.21040000000005</v>
      </c>
    </row>
    <row r="1804" spans="1:30" s="37" customFormat="1" ht="15.75" customHeight="1" x14ac:dyDescent="0.2">
      <c r="A1804" s="26">
        <v>3096</v>
      </c>
      <c r="B1804" s="27" t="s">
        <v>2653</v>
      </c>
      <c r="C1804" s="27" t="s">
        <v>26</v>
      </c>
      <c r="D1804" s="28">
        <v>0.04</v>
      </c>
      <c r="E1804" s="29">
        <v>33.89</v>
      </c>
      <c r="F1804" s="29">
        <v>5.0999999999999996</v>
      </c>
      <c r="G1804" s="30" t="s">
        <v>87</v>
      </c>
      <c r="H1804" s="27" t="s">
        <v>40</v>
      </c>
      <c r="I1804" s="27" t="s">
        <v>49</v>
      </c>
      <c r="J1804" s="27" t="s">
        <v>78</v>
      </c>
      <c r="K1804" s="27" t="s">
        <v>73</v>
      </c>
      <c r="L1804" s="31" t="s">
        <v>305</v>
      </c>
      <c r="M1804" s="32">
        <v>0.6</v>
      </c>
      <c r="N1804" s="27" t="s">
        <v>33</v>
      </c>
      <c r="O1804" s="27" t="s">
        <v>111</v>
      </c>
      <c r="P1804" s="27" t="s">
        <v>317</v>
      </c>
      <c r="Q1804" s="27" t="s">
        <v>2440</v>
      </c>
      <c r="R1804" s="33">
        <v>43026</v>
      </c>
      <c r="S1804" s="34">
        <v>42172</v>
      </c>
      <c r="T1804" s="34">
        <v>42173</v>
      </c>
      <c r="U1804" s="29">
        <v>72.983999999999995</v>
      </c>
      <c r="V1804" s="26">
        <v>6</v>
      </c>
      <c r="W1804" s="29">
        <v>200.83</v>
      </c>
      <c r="X1804" s="26">
        <v>86222</v>
      </c>
      <c r="Y1804" s="35">
        <v>130.88</v>
      </c>
      <c r="Z1804" s="1" t="s">
        <v>3014</v>
      </c>
      <c r="AA1804" s="36">
        <v>8.1336000000000013</v>
      </c>
      <c r="AB1804" s="54">
        <v>80.332000000000008</v>
      </c>
      <c r="AC1804" s="54">
        <v>20.083000000000002</v>
      </c>
      <c r="AD1804" s="36">
        <v>114.61240000000002</v>
      </c>
    </row>
    <row r="1805" spans="1:30" s="37" customFormat="1" ht="15.75" customHeight="1" x14ac:dyDescent="0.2">
      <c r="A1805" s="26">
        <v>317</v>
      </c>
      <c r="B1805" s="27" t="s">
        <v>2900</v>
      </c>
      <c r="C1805" s="27" t="s">
        <v>3094</v>
      </c>
      <c r="D1805" s="28">
        <v>0.04</v>
      </c>
      <c r="E1805" s="29">
        <v>15.42</v>
      </c>
      <c r="F1805" s="29">
        <v>10.68</v>
      </c>
      <c r="G1805" s="30" t="s">
        <v>39</v>
      </c>
      <c r="H1805" s="27" t="s">
        <v>94</v>
      </c>
      <c r="I1805" s="27" t="s">
        <v>49</v>
      </c>
      <c r="J1805" s="27" t="s">
        <v>78</v>
      </c>
      <c r="K1805" s="27" t="s">
        <v>73</v>
      </c>
      <c r="L1805" s="31" t="s">
        <v>2265</v>
      </c>
      <c r="M1805" s="32">
        <v>0.57999999999999996</v>
      </c>
      <c r="N1805" s="27" t="s">
        <v>33</v>
      </c>
      <c r="O1805" s="27" t="s">
        <v>60</v>
      </c>
      <c r="P1805" s="27" t="s">
        <v>90</v>
      </c>
      <c r="Q1805" s="27" t="s">
        <v>2901</v>
      </c>
      <c r="R1805" s="33">
        <v>91945</v>
      </c>
      <c r="S1805" s="34">
        <v>42172</v>
      </c>
      <c r="T1805" s="34">
        <v>42173</v>
      </c>
      <c r="U1805" s="29">
        <v>-119.93600000000001</v>
      </c>
      <c r="V1805" s="26">
        <v>12</v>
      </c>
      <c r="W1805" s="29">
        <v>192.18</v>
      </c>
      <c r="X1805" s="26">
        <v>86041</v>
      </c>
      <c r="Y1805" s="35">
        <v>51.72</v>
      </c>
      <c r="Z1805" s="1" t="s">
        <v>3013</v>
      </c>
      <c r="AA1805" s="36">
        <v>7.4016000000000002</v>
      </c>
      <c r="AB1805" s="54">
        <v>80.715600000000009</v>
      </c>
      <c r="AC1805" s="54">
        <v>9.2887000000000004</v>
      </c>
      <c r="AD1805" s="36">
        <v>294.03440000000001</v>
      </c>
    </row>
    <row r="1806" spans="1:30" s="37" customFormat="1" ht="15.75" customHeight="1" x14ac:dyDescent="0.2">
      <c r="A1806" s="26">
        <v>1189</v>
      </c>
      <c r="B1806" s="27" t="s">
        <v>2899</v>
      </c>
      <c r="C1806" s="27" t="s">
        <v>48</v>
      </c>
      <c r="D1806" s="28">
        <v>0.03</v>
      </c>
      <c r="E1806" s="29">
        <v>10.64</v>
      </c>
      <c r="F1806" s="29">
        <v>5.16</v>
      </c>
      <c r="G1806" s="30" t="s">
        <v>39</v>
      </c>
      <c r="H1806" s="27" t="s">
        <v>40</v>
      </c>
      <c r="I1806" s="27" t="s">
        <v>29</v>
      </c>
      <c r="J1806" s="27" t="s">
        <v>126</v>
      </c>
      <c r="K1806" s="27" t="s">
        <v>73</v>
      </c>
      <c r="L1806" s="31" t="s">
        <v>1844</v>
      </c>
      <c r="M1806" s="32">
        <v>0.56999999999999995</v>
      </c>
      <c r="N1806" s="27" t="s">
        <v>33</v>
      </c>
      <c r="O1806" s="27" t="s">
        <v>60</v>
      </c>
      <c r="P1806" s="27" t="s">
        <v>90</v>
      </c>
      <c r="Q1806" s="27" t="s">
        <v>2096</v>
      </c>
      <c r="R1806" s="33">
        <v>92646</v>
      </c>
      <c r="S1806" s="34">
        <v>42172</v>
      </c>
      <c r="T1806" s="34">
        <v>42177</v>
      </c>
      <c r="U1806" s="29">
        <v>17.376000000000001</v>
      </c>
      <c r="V1806" s="26">
        <v>16</v>
      </c>
      <c r="W1806" s="29">
        <v>177.01</v>
      </c>
      <c r="X1806" s="26">
        <v>87584</v>
      </c>
      <c r="Y1806" s="35">
        <v>10.83</v>
      </c>
      <c r="Z1806" s="1" t="s">
        <v>3013</v>
      </c>
      <c r="AA1806" s="36">
        <v>5.1071999999999997</v>
      </c>
      <c r="AB1806" s="54">
        <v>76.1143</v>
      </c>
      <c r="AC1806" s="54">
        <v>6.3059812499999994</v>
      </c>
      <c r="AD1806" s="36">
        <v>149.36679999999998</v>
      </c>
    </row>
    <row r="1807" spans="1:30" s="37" customFormat="1" ht="15.75" customHeight="1" x14ac:dyDescent="0.2">
      <c r="A1807" s="26">
        <v>1193</v>
      </c>
      <c r="B1807" s="27" t="s">
        <v>1351</v>
      </c>
      <c r="C1807" s="27" t="s">
        <v>48</v>
      </c>
      <c r="D1807" s="28">
        <v>0.03</v>
      </c>
      <c r="E1807" s="29">
        <v>7.96</v>
      </c>
      <c r="F1807" s="29">
        <v>4.95</v>
      </c>
      <c r="G1807" s="30" t="s">
        <v>39</v>
      </c>
      <c r="H1807" s="27" t="s">
        <v>40</v>
      </c>
      <c r="I1807" s="27" t="s">
        <v>29</v>
      </c>
      <c r="J1807" s="27" t="s">
        <v>126</v>
      </c>
      <c r="K1807" s="27" t="s">
        <v>73</v>
      </c>
      <c r="L1807" s="31" t="s">
        <v>811</v>
      </c>
      <c r="M1807" s="32">
        <v>0.41</v>
      </c>
      <c r="N1807" s="27" t="s">
        <v>33</v>
      </c>
      <c r="O1807" s="27" t="s">
        <v>111</v>
      </c>
      <c r="P1807" s="27" t="s">
        <v>374</v>
      </c>
      <c r="Q1807" s="27" t="s">
        <v>67</v>
      </c>
      <c r="R1807" s="33">
        <v>20016</v>
      </c>
      <c r="S1807" s="34">
        <v>42172</v>
      </c>
      <c r="T1807" s="34">
        <v>42174</v>
      </c>
      <c r="U1807" s="29">
        <v>22.25</v>
      </c>
      <c r="V1807" s="26">
        <v>17</v>
      </c>
      <c r="W1807" s="29">
        <v>149.41</v>
      </c>
      <c r="X1807" s="26">
        <v>5984</v>
      </c>
      <c r="Y1807" s="35">
        <v>10.610000000000001</v>
      </c>
      <c r="Z1807" s="1" t="s">
        <v>3014</v>
      </c>
      <c r="AA1807" s="36">
        <v>4.0595999999999997</v>
      </c>
      <c r="AB1807" s="54">
        <v>88.151900000000012</v>
      </c>
      <c r="AC1807" s="54">
        <v>3.6034176470588233</v>
      </c>
      <c r="AD1807" s="36">
        <v>118.15039999999999</v>
      </c>
    </row>
    <row r="1808" spans="1:30" s="37" customFormat="1" ht="15.75" customHeight="1" x14ac:dyDescent="0.2">
      <c r="A1808" s="26">
        <v>1189</v>
      </c>
      <c r="B1808" s="27" t="s">
        <v>2899</v>
      </c>
      <c r="C1808" s="27" t="s">
        <v>48</v>
      </c>
      <c r="D1808" s="28">
        <v>0.06</v>
      </c>
      <c r="E1808" s="29">
        <v>10.89</v>
      </c>
      <c r="F1808" s="29">
        <v>4.5</v>
      </c>
      <c r="G1808" s="30" t="s">
        <v>39</v>
      </c>
      <c r="H1808" s="27" t="s">
        <v>40</v>
      </c>
      <c r="I1808" s="27" t="s">
        <v>49</v>
      </c>
      <c r="J1808" s="27" t="s">
        <v>95</v>
      </c>
      <c r="K1808" s="27" t="s">
        <v>73</v>
      </c>
      <c r="L1808" s="31" t="s">
        <v>773</v>
      </c>
      <c r="M1808" s="32">
        <v>0.59</v>
      </c>
      <c r="N1808" s="27" t="s">
        <v>33</v>
      </c>
      <c r="O1808" s="27" t="s">
        <v>60</v>
      </c>
      <c r="P1808" s="27" t="s">
        <v>90</v>
      </c>
      <c r="Q1808" s="27" t="s">
        <v>2096</v>
      </c>
      <c r="R1808" s="33">
        <v>92646</v>
      </c>
      <c r="S1808" s="34">
        <v>42172</v>
      </c>
      <c r="T1808" s="34">
        <v>42177</v>
      </c>
      <c r="U1808" s="29">
        <v>-25.111999999999998</v>
      </c>
      <c r="V1808" s="26">
        <v>14</v>
      </c>
      <c r="W1808" s="29">
        <v>149.32</v>
      </c>
      <c r="X1808" s="26">
        <v>87584</v>
      </c>
      <c r="Y1808" s="35">
        <v>7.93</v>
      </c>
      <c r="Z1808" s="1" t="s">
        <v>3013</v>
      </c>
      <c r="AA1808" s="36">
        <v>9.1476000000000006</v>
      </c>
      <c r="AB1808" s="54">
        <v>61.221200000000003</v>
      </c>
      <c r="AC1808" s="54">
        <v>6.2927714285714282</v>
      </c>
      <c r="AD1808" s="36">
        <v>160.78440000000001</v>
      </c>
    </row>
    <row r="1809" spans="1:30" s="37" customFormat="1" ht="15.75" customHeight="1" x14ac:dyDescent="0.2">
      <c r="A1809" s="26">
        <v>3098</v>
      </c>
      <c r="B1809" s="27" t="s">
        <v>1420</v>
      </c>
      <c r="C1809" s="27" t="s">
        <v>48</v>
      </c>
      <c r="D1809" s="28">
        <v>0</v>
      </c>
      <c r="E1809" s="29">
        <v>11.7</v>
      </c>
      <c r="F1809" s="29">
        <v>6.96</v>
      </c>
      <c r="G1809" s="30" t="s">
        <v>87</v>
      </c>
      <c r="H1809" s="27" t="s">
        <v>40</v>
      </c>
      <c r="I1809" s="27" t="s">
        <v>49</v>
      </c>
      <c r="J1809" s="27" t="s">
        <v>95</v>
      </c>
      <c r="K1809" s="27" t="s">
        <v>144</v>
      </c>
      <c r="L1809" s="31" t="s">
        <v>760</v>
      </c>
      <c r="M1809" s="32">
        <v>0.5</v>
      </c>
      <c r="N1809" s="27" t="s">
        <v>33</v>
      </c>
      <c r="O1809" s="27" t="s">
        <v>111</v>
      </c>
      <c r="P1809" s="27" t="s">
        <v>112</v>
      </c>
      <c r="Q1809" s="27" t="s">
        <v>1421</v>
      </c>
      <c r="R1809" s="33">
        <v>11967</v>
      </c>
      <c r="S1809" s="34">
        <v>42172</v>
      </c>
      <c r="T1809" s="34">
        <v>42174</v>
      </c>
      <c r="U1809" s="29">
        <v>-11.247999999999999</v>
      </c>
      <c r="V1809" s="26">
        <v>10</v>
      </c>
      <c r="W1809" s="29">
        <v>131.69</v>
      </c>
      <c r="X1809" s="26">
        <v>89315</v>
      </c>
      <c r="Y1809" s="35">
        <v>10.610000000000001</v>
      </c>
      <c r="Z1809" s="1" t="s">
        <v>3014</v>
      </c>
      <c r="AA1809" s="36">
        <v>0</v>
      </c>
      <c r="AB1809" s="54">
        <v>65.844999999999999</v>
      </c>
      <c r="AC1809" s="54">
        <v>6.5845000000000002</v>
      </c>
      <c r="AD1809" s="36">
        <v>135.97800000000001</v>
      </c>
    </row>
    <row r="1810" spans="1:30" s="37" customFormat="1" ht="15.75" customHeight="1" x14ac:dyDescent="0.2">
      <c r="A1810" s="26">
        <v>317</v>
      </c>
      <c r="B1810" s="27" t="s">
        <v>2900</v>
      </c>
      <c r="C1810" s="27" t="s">
        <v>3094</v>
      </c>
      <c r="D1810" s="28">
        <v>0.04</v>
      </c>
      <c r="E1810" s="29">
        <v>5.98</v>
      </c>
      <c r="F1810" s="29">
        <v>5.15</v>
      </c>
      <c r="G1810" s="30" t="s">
        <v>39</v>
      </c>
      <c r="H1810" s="27" t="s">
        <v>94</v>
      </c>
      <c r="I1810" s="27" t="s">
        <v>49</v>
      </c>
      <c r="J1810" s="27" t="s">
        <v>88</v>
      </c>
      <c r="K1810" s="27" t="s">
        <v>73</v>
      </c>
      <c r="L1810" s="31" t="s">
        <v>2468</v>
      </c>
      <c r="M1810" s="32">
        <v>0.36</v>
      </c>
      <c r="N1810" s="27" t="s">
        <v>33</v>
      </c>
      <c r="O1810" s="27" t="s">
        <v>60</v>
      </c>
      <c r="P1810" s="27" t="s">
        <v>90</v>
      </c>
      <c r="Q1810" s="27" t="s">
        <v>2901</v>
      </c>
      <c r="R1810" s="33">
        <v>91945</v>
      </c>
      <c r="S1810" s="34">
        <v>42172</v>
      </c>
      <c r="T1810" s="34">
        <v>42173</v>
      </c>
      <c r="U1810" s="29">
        <v>-52.344000000000001</v>
      </c>
      <c r="V1810" s="26">
        <v>17</v>
      </c>
      <c r="W1810" s="29">
        <v>103.49</v>
      </c>
      <c r="X1810" s="26">
        <v>86041</v>
      </c>
      <c r="Y1810" s="35">
        <v>7.93</v>
      </c>
      <c r="Z1810" s="1" t="s">
        <v>3013</v>
      </c>
      <c r="AA1810" s="36">
        <v>4.0664000000000007</v>
      </c>
      <c r="AB1810" s="54">
        <v>66.233599999999996</v>
      </c>
      <c r="AC1810" s="54">
        <v>2.1915529411764703</v>
      </c>
      <c r="AD1810" s="36">
        <v>146.61759999999998</v>
      </c>
    </row>
    <row r="1811" spans="1:30" s="37" customFormat="1" ht="15.75" customHeight="1" x14ac:dyDescent="0.2">
      <c r="A1811" s="26">
        <v>317</v>
      </c>
      <c r="B1811" s="27" t="s">
        <v>2900</v>
      </c>
      <c r="C1811" s="27" t="s">
        <v>3094</v>
      </c>
      <c r="D1811" s="28">
        <v>0.09</v>
      </c>
      <c r="E1811" s="29">
        <v>7.38</v>
      </c>
      <c r="F1811" s="29">
        <v>5.21</v>
      </c>
      <c r="G1811" s="30" t="s">
        <v>39</v>
      </c>
      <c r="H1811" s="27" t="s">
        <v>94</v>
      </c>
      <c r="I1811" s="27" t="s">
        <v>29</v>
      </c>
      <c r="J1811" s="27" t="s">
        <v>126</v>
      </c>
      <c r="K1811" s="27" t="s">
        <v>73</v>
      </c>
      <c r="L1811" s="31" t="s">
        <v>1917</v>
      </c>
      <c r="M1811" s="32">
        <v>0.56000000000000005</v>
      </c>
      <c r="N1811" s="27" t="s">
        <v>33</v>
      </c>
      <c r="O1811" s="27" t="s">
        <v>60</v>
      </c>
      <c r="P1811" s="27" t="s">
        <v>90</v>
      </c>
      <c r="Q1811" s="27" t="s">
        <v>2901</v>
      </c>
      <c r="R1811" s="33">
        <v>91945</v>
      </c>
      <c r="S1811" s="34">
        <v>42172</v>
      </c>
      <c r="T1811" s="34">
        <v>42173</v>
      </c>
      <c r="U1811" s="29">
        <v>-27.16</v>
      </c>
      <c r="V1811" s="26">
        <v>9</v>
      </c>
      <c r="W1811" s="29">
        <v>66.55</v>
      </c>
      <c r="X1811" s="26">
        <v>86041</v>
      </c>
      <c r="Y1811" s="35">
        <v>11.7</v>
      </c>
      <c r="Z1811" s="1" t="s">
        <v>3013</v>
      </c>
      <c r="AA1811" s="36">
        <v>5.9778000000000002</v>
      </c>
      <c r="AB1811" s="54">
        <v>29.281999999999996</v>
      </c>
      <c r="AC1811" s="54">
        <v>4.1408888888888891</v>
      </c>
      <c r="AD1811" s="36">
        <v>82.522199999999998</v>
      </c>
    </row>
    <row r="1812" spans="1:30" s="37" customFormat="1" ht="15.75" customHeight="1" x14ac:dyDescent="0.2">
      <c r="A1812" s="26">
        <v>286</v>
      </c>
      <c r="B1812" s="27" t="s">
        <v>2893</v>
      </c>
      <c r="C1812" s="27" t="s">
        <v>48</v>
      </c>
      <c r="D1812" s="28">
        <v>0</v>
      </c>
      <c r="E1812" s="29">
        <v>4.13</v>
      </c>
      <c r="F1812" s="29">
        <v>5.34</v>
      </c>
      <c r="G1812" s="30" t="s">
        <v>39</v>
      </c>
      <c r="H1812" s="27" t="s">
        <v>3095</v>
      </c>
      <c r="I1812" s="27" t="s">
        <v>49</v>
      </c>
      <c r="J1812" s="27" t="s">
        <v>72</v>
      </c>
      <c r="K1812" s="27" t="s">
        <v>73</v>
      </c>
      <c r="L1812" s="31" t="s">
        <v>2894</v>
      </c>
      <c r="M1812" s="32">
        <v>0.38</v>
      </c>
      <c r="N1812" s="27" t="s">
        <v>33</v>
      </c>
      <c r="O1812" s="27" t="s">
        <v>53</v>
      </c>
      <c r="P1812" s="27" t="s">
        <v>537</v>
      </c>
      <c r="Q1812" s="27" t="s">
        <v>2895</v>
      </c>
      <c r="R1812" s="33">
        <v>66203</v>
      </c>
      <c r="S1812" s="34">
        <v>42172</v>
      </c>
      <c r="T1812" s="34">
        <v>42176</v>
      </c>
      <c r="U1812" s="29">
        <v>-61.87</v>
      </c>
      <c r="V1812" s="26">
        <v>9</v>
      </c>
      <c r="W1812" s="29">
        <v>40.950000000000003</v>
      </c>
      <c r="X1812" s="26">
        <v>89761</v>
      </c>
      <c r="Y1812" s="35">
        <v>2.5100000000000002</v>
      </c>
      <c r="Z1812" s="1" t="s">
        <v>3012</v>
      </c>
      <c r="AA1812" s="36">
        <v>0</v>
      </c>
      <c r="AB1812" s="54">
        <v>25.389000000000003</v>
      </c>
      <c r="AC1812" s="54">
        <v>1.7290000000000003</v>
      </c>
      <c r="AD1812" s="36">
        <v>97.48</v>
      </c>
    </row>
    <row r="1813" spans="1:30" s="37" customFormat="1" ht="15.75" customHeight="1" x14ac:dyDescent="0.2">
      <c r="A1813" s="26">
        <v>1189</v>
      </c>
      <c r="B1813" s="27" t="s">
        <v>2899</v>
      </c>
      <c r="C1813" s="27" t="s">
        <v>48</v>
      </c>
      <c r="D1813" s="28">
        <v>0.03</v>
      </c>
      <c r="E1813" s="29">
        <v>7.96</v>
      </c>
      <c r="F1813" s="29">
        <v>4.95</v>
      </c>
      <c r="G1813" s="30" t="s">
        <v>39</v>
      </c>
      <c r="H1813" s="27" t="s">
        <v>40</v>
      </c>
      <c r="I1813" s="27" t="s">
        <v>29</v>
      </c>
      <c r="J1813" s="27" t="s">
        <v>126</v>
      </c>
      <c r="K1813" s="27" t="s">
        <v>73</v>
      </c>
      <c r="L1813" s="31" t="s">
        <v>811</v>
      </c>
      <c r="M1813" s="32">
        <v>0.41</v>
      </c>
      <c r="N1813" s="27" t="s">
        <v>33</v>
      </c>
      <c r="O1813" s="27" t="s">
        <v>60</v>
      </c>
      <c r="P1813" s="27" t="s">
        <v>90</v>
      </c>
      <c r="Q1813" s="27" t="s">
        <v>2096</v>
      </c>
      <c r="R1813" s="33">
        <v>92646</v>
      </c>
      <c r="S1813" s="34">
        <v>42172</v>
      </c>
      <c r="T1813" s="34">
        <v>42174</v>
      </c>
      <c r="U1813" s="29">
        <v>24.260400000000001</v>
      </c>
      <c r="V1813" s="26">
        <v>4</v>
      </c>
      <c r="W1813" s="29">
        <v>35.159999999999997</v>
      </c>
      <c r="X1813" s="26">
        <v>87584</v>
      </c>
      <c r="Y1813" s="35">
        <v>7.29</v>
      </c>
      <c r="Z1813" s="1" t="s">
        <v>3013</v>
      </c>
      <c r="AA1813" s="36">
        <v>0.95519999999999994</v>
      </c>
      <c r="AB1813" s="54">
        <v>20.744400000000002</v>
      </c>
      <c r="AC1813" s="54">
        <v>3.6038999999999994</v>
      </c>
      <c r="AD1813" s="36">
        <v>4.9943999999999953</v>
      </c>
    </row>
    <row r="1814" spans="1:30" s="37" customFormat="1" ht="15.75" customHeight="1" x14ac:dyDescent="0.2">
      <c r="A1814" s="26">
        <v>907</v>
      </c>
      <c r="B1814" s="27" t="s">
        <v>1371</v>
      </c>
      <c r="C1814" s="27" t="s">
        <v>116</v>
      </c>
      <c r="D1814" s="28">
        <v>0.09</v>
      </c>
      <c r="E1814" s="29">
        <v>2.6</v>
      </c>
      <c r="F1814" s="29">
        <v>2.4</v>
      </c>
      <c r="G1814" s="30" t="s">
        <v>39</v>
      </c>
      <c r="H1814" s="27" t="s">
        <v>71</v>
      </c>
      <c r="I1814" s="27" t="s">
        <v>49</v>
      </c>
      <c r="J1814" s="27" t="s">
        <v>50</v>
      </c>
      <c r="K1814" s="27" t="s">
        <v>51</v>
      </c>
      <c r="L1814" s="31" t="s">
        <v>356</v>
      </c>
      <c r="M1814" s="32">
        <v>0.57999999999999996</v>
      </c>
      <c r="N1814" s="27" t="s">
        <v>33</v>
      </c>
      <c r="O1814" s="27" t="s">
        <v>34</v>
      </c>
      <c r="P1814" s="27" t="s">
        <v>388</v>
      </c>
      <c r="Q1814" s="27" t="s">
        <v>466</v>
      </c>
      <c r="R1814" s="33">
        <v>42420</v>
      </c>
      <c r="S1814" s="34">
        <v>42172</v>
      </c>
      <c r="T1814" s="34">
        <v>42174</v>
      </c>
      <c r="U1814" s="29">
        <v>1107.4079999999999</v>
      </c>
      <c r="V1814" s="26">
        <v>12</v>
      </c>
      <c r="W1814" s="29">
        <v>31.73</v>
      </c>
      <c r="X1814" s="26">
        <v>86460</v>
      </c>
      <c r="Y1814" s="35">
        <v>5.94</v>
      </c>
      <c r="Z1814" s="1" t="s">
        <v>3011</v>
      </c>
      <c r="AA1814" s="36">
        <v>2.8079999999999998</v>
      </c>
      <c r="AB1814" s="54">
        <v>13.326600000000001</v>
      </c>
      <c r="AC1814" s="54">
        <v>1.5336166666666664</v>
      </c>
      <c r="AD1814" s="36">
        <v>-1080.886</v>
      </c>
    </row>
    <row r="1815" spans="1:30" s="37" customFormat="1" ht="15.75" customHeight="1" x14ac:dyDescent="0.2">
      <c r="A1815" s="26">
        <v>283</v>
      </c>
      <c r="B1815" s="27" t="s">
        <v>2892</v>
      </c>
      <c r="C1815" s="27" t="s">
        <v>38</v>
      </c>
      <c r="D1815" s="28">
        <v>0.1</v>
      </c>
      <c r="E1815" s="29">
        <v>1.68</v>
      </c>
      <c r="F1815" s="29">
        <v>1.57</v>
      </c>
      <c r="G1815" s="30" t="s">
        <v>39</v>
      </c>
      <c r="H1815" s="27" t="s">
        <v>94</v>
      </c>
      <c r="I1815" s="27" t="s">
        <v>49</v>
      </c>
      <c r="J1815" s="27" t="s">
        <v>50</v>
      </c>
      <c r="K1815" s="27" t="s">
        <v>51</v>
      </c>
      <c r="L1815" s="31" t="s">
        <v>574</v>
      </c>
      <c r="M1815" s="32">
        <v>0.59</v>
      </c>
      <c r="N1815" s="27" t="s">
        <v>33</v>
      </c>
      <c r="O1815" s="27" t="s">
        <v>111</v>
      </c>
      <c r="P1815" s="27" t="s">
        <v>397</v>
      </c>
      <c r="Q1815" s="27" t="s">
        <v>2725</v>
      </c>
      <c r="R1815" s="33">
        <v>7101</v>
      </c>
      <c r="S1815" s="34">
        <v>42172</v>
      </c>
      <c r="T1815" s="34">
        <v>42173</v>
      </c>
      <c r="U1815" s="29">
        <v>-11.57</v>
      </c>
      <c r="V1815" s="26">
        <v>11</v>
      </c>
      <c r="W1815" s="29">
        <v>18.71</v>
      </c>
      <c r="X1815" s="26">
        <v>89293</v>
      </c>
      <c r="Y1815" s="35">
        <v>15.38</v>
      </c>
      <c r="Z1815" s="1" t="s">
        <v>3014</v>
      </c>
      <c r="AA1815" s="36">
        <v>1.8480000000000001</v>
      </c>
      <c r="AB1815" s="54">
        <v>7.6711000000000009</v>
      </c>
      <c r="AC1815" s="54">
        <v>1.0035363636363637</v>
      </c>
      <c r="AD1815" s="36">
        <v>26.862000000000002</v>
      </c>
    </row>
    <row r="1816" spans="1:30" s="37" customFormat="1" ht="15.75" customHeight="1" x14ac:dyDescent="0.2">
      <c r="A1816" s="26">
        <v>553</v>
      </c>
      <c r="B1816" s="27" t="s">
        <v>851</v>
      </c>
      <c r="C1816" s="27" t="s">
        <v>116</v>
      </c>
      <c r="D1816" s="28">
        <v>0.08</v>
      </c>
      <c r="E1816" s="29">
        <v>124.49</v>
      </c>
      <c r="F1816" s="29">
        <v>51.94</v>
      </c>
      <c r="G1816" s="30" t="s">
        <v>27</v>
      </c>
      <c r="H1816" s="27" t="s">
        <v>94</v>
      </c>
      <c r="I1816" s="27" t="s">
        <v>29</v>
      </c>
      <c r="J1816" s="27" t="s">
        <v>30</v>
      </c>
      <c r="K1816" s="27" t="s">
        <v>31</v>
      </c>
      <c r="L1816" s="31" t="s">
        <v>1149</v>
      </c>
      <c r="M1816" s="32">
        <v>0.63</v>
      </c>
      <c r="N1816" s="27" t="s">
        <v>33</v>
      </c>
      <c r="O1816" s="27" t="s">
        <v>60</v>
      </c>
      <c r="P1816" s="27" t="s">
        <v>90</v>
      </c>
      <c r="Q1816" s="27" t="s">
        <v>100</v>
      </c>
      <c r="R1816" s="33">
        <v>90008</v>
      </c>
      <c r="S1816" s="34">
        <v>42173</v>
      </c>
      <c r="T1816" s="34">
        <v>42174</v>
      </c>
      <c r="U1816" s="29">
        <v>-500.38</v>
      </c>
      <c r="V1816" s="26">
        <v>56</v>
      </c>
      <c r="W1816" s="29">
        <v>6831.37</v>
      </c>
      <c r="X1816" s="26">
        <v>359</v>
      </c>
      <c r="Y1816" s="35">
        <v>15.940000000000001</v>
      </c>
      <c r="Z1816" s="1" t="s">
        <v>3013</v>
      </c>
      <c r="AA1816" s="36">
        <v>557.71519999999998</v>
      </c>
      <c r="AB1816" s="54">
        <v>2527.6068999999998</v>
      </c>
      <c r="AC1816" s="54">
        <v>76.852912500000002</v>
      </c>
      <c r="AD1816" s="36">
        <v>6722.0947999999999</v>
      </c>
    </row>
    <row r="1817" spans="1:30" s="37" customFormat="1" ht="15.75" customHeight="1" x14ac:dyDescent="0.2">
      <c r="A1817" s="26">
        <v>555</v>
      </c>
      <c r="B1817" s="27" t="s">
        <v>1300</v>
      </c>
      <c r="C1817" s="27" t="s">
        <v>116</v>
      </c>
      <c r="D1817" s="28">
        <v>0.08</v>
      </c>
      <c r="E1817" s="29">
        <v>124.49</v>
      </c>
      <c r="F1817" s="29">
        <v>51.94</v>
      </c>
      <c r="G1817" s="30" t="s">
        <v>27</v>
      </c>
      <c r="H1817" s="27" t="s">
        <v>94</v>
      </c>
      <c r="I1817" s="27" t="s">
        <v>29</v>
      </c>
      <c r="J1817" s="27" t="s">
        <v>30</v>
      </c>
      <c r="K1817" s="27" t="s">
        <v>31</v>
      </c>
      <c r="L1817" s="31" t="s">
        <v>1149</v>
      </c>
      <c r="M1817" s="32">
        <v>0.63</v>
      </c>
      <c r="N1817" s="27" t="s">
        <v>33</v>
      </c>
      <c r="O1817" s="27" t="s">
        <v>60</v>
      </c>
      <c r="P1817" s="27" t="s">
        <v>146</v>
      </c>
      <c r="Q1817" s="27" t="s">
        <v>1301</v>
      </c>
      <c r="R1817" s="33">
        <v>84062</v>
      </c>
      <c r="S1817" s="34">
        <v>42173</v>
      </c>
      <c r="T1817" s="34">
        <v>42174</v>
      </c>
      <c r="U1817" s="29">
        <v>-250.19</v>
      </c>
      <c r="V1817" s="26">
        <v>14</v>
      </c>
      <c r="W1817" s="29">
        <v>1707.84</v>
      </c>
      <c r="X1817" s="26">
        <v>86192</v>
      </c>
      <c r="Y1817" s="35">
        <v>22.78</v>
      </c>
      <c r="Z1817" s="1" t="s">
        <v>3013</v>
      </c>
      <c r="AA1817" s="36">
        <v>139.4288</v>
      </c>
      <c r="AB1817" s="54">
        <v>631.9008</v>
      </c>
      <c r="AC1817" s="54">
        <v>76.852799999999988</v>
      </c>
      <c r="AD1817" s="36">
        <v>1766.6612</v>
      </c>
    </row>
    <row r="1818" spans="1:30" s="37" customFormat="1" ht="15.75" customHeight="1" x14ac:dyDescent="0.2">
      <c r="A1818" s="26">
        <v>152</v>
      </c>
      <c r="B1818" s="27" t="s">
        <v>505</v>
      </c>
      <c r="C1818" s="27" t="s">
        <v>48</v>
      </c>
      <c r="D1818" s="28">
        <v>0.1</v>
      </c>
      <c r="E1818" s="29">
        <v>39.979999999999997</v>
      </c>
      <c r="F1818" s="29">
        <v>4</v>
      </c>
      <c r="G1818" s="30" t="s">
        <v>39</v>
      </c>
      <c r="H1818" s="27" t="s">
        <v>3095</v>
      </c>
      <c r="I1818" s="27" t="s">
        <v>41</v>
      </c>
      <c r="J1818" s="27" t="s">
        <v>42</v>
      </c>
      <c r="K1818" s="27" t="s">
        <v>73</v>
      </c>
      <c r="L1818" s="31" t="s">
        <v>1927</v>
      </c>
      <c r="M1818" s="32">
        <v>0.7</v>
      </c>
      <c r="N1818" s="27" t="s">
        <v>33</v>
      </c>
      <c r="O1818" s="27" t="s">
        <v>34</v>
      </c>
      <c r="P1818" s="27" t="s">
        <v>400</v>
      </c>
      <c r="Q1818" s="27" t="s">
        <v>507</v>
      </c>
      <c r="R1818" s="33">
        <v>37918</v>
      </c>
      <c r="S1818" s="34">
        <v>42173</v>
      </c>
      <c r="T1818" s="34">
        <v>42177</v>
      </c>
      <c r="U1818" s="29">
        <v>360.24</v>
      </c>
      <c r="V1818" s="26">
        <v>21</v>
      </c>
      <c r="W1818" s="29">
        <v>772.56</v>
      </c>
      <c r="X1818" s="26">
        <v>89525</v>
      </c>
      <c r="Y1818" s="35">
        <v>39.879999999999995</v>
      </c>
      <c r="Z1818" s="1" t="s">
        <v>3011</v>
      </c>
      <c r="AA1818" s="36">
        <v>83.957999999999998</v>
      </c>
      <c r="AB1818" s="54">
        <v>231.76800000000003</v>
      </c>
      <c r="AC1818" s="54">
        <v>25.751999999999995</v>
      </c>
      <c r="AD1818" s="36">
        <v>324.36199999999997</v>
      </c>
    </row>
    <row r="1819" spans="1:30" s="37" customFormat="1" ht="15.75" customHeight="1" x14ac:dyDescent="0.2">
      <c r="A1819" s="26">
        <v>395</v>
      </c>
      <c r="B1819" s="27" t="s">
        <v>2902</v>
      </c>
      <c r="C1819" s="27" t="s">
        <v>26</v>
      </c>
      <c r="D1819" s="28">
        <v>0.06</v>
      </c>
      <c r="E1819" s="29">
        <v>22.84</v>
      </c>
      <c r="F1819" s="29">
        <v>5.47</v>
      </c>
      <c r="G1819" s="30" t="s">
        <v>39</v>
      </c>
      <c r="H1819" s="27" t="s">
        <v>94</v>
      </c>
      <c r="I1819" s="27" t="s">
        <v>49</v>
      </c>
      <c r="J1819" s="27" t="s">
        <v>88</v>
      </c>
      <c r="K1819" s="27" t="s">
        <v>73</v>
      </c>
      <c r="L1819" s="31" t="s">
        <v>2904</v>
      </c>
      <c r="M1819" s="32">
        <v>0.39</v>
      </c>
      <c r="N1819" s="27" t="s">
        <v>33</v>
      </c>
      <c r="O1819" s="27" t="s">
        <v>34</v>
      </c>
      <c r="P1819" s="27" t="s">
        <v>97</v>
      </c>
      <c r="Q1819" s="27" t="s">
        <v>2903</v>
      </c>
      <c r="R1819" s="33">
        <v>28001</v>
      </c>
      <c r="S1819" s="34">
        <v>42173</v>
      </c>
      <c r="T1819" s="34">
        <v>42175</v>
      </c>
      <c r="U1819" s="29">
        <v>7.44</v>
      </c>
      <c r="V1819" s="26">
        <v>20</v>
      </c>
      <c r="W1819" s="29">
        <v>461.94</v>
      </c>
      <c r="X1819" s="26">
        <v>86384</v>
      </c>
      <c r="Y1819" s="35">
        <v>30.89</v>
      </c>
      <c r="Z1819" s="1" t="s">
        <v>3011</v>
      </c>
      <c r="AA1819" s="36">
        <v>27.407999999999998</v>
      </c>
      <c r="AB1819" s="54">
        <v>281.78339999999997</v>
      </c>
      <c r="AC1819" s="54">
        <v>9.0078300000000002</v>
      </c>
      <c r="AD1819" s="36">
        <v>421.62200000000001</v>
      </c>
    </row>
    <row r="1820" spans="1:30" s="37" customFormat="1" ht="15.75" customHeight="1" x14ac:dyDescent="0.2">
      <c r="A1820" s="26">
        <v>1958</v>
      </c>
      <c r="B1820" s="27" t="s">
        <v>2905</v>
      </c>
      <c r="C1820" s="27" t="s">
        <v>48</v>
      </c>
      <c r="D1820" s="28">
        <v>0.09</v>
      </c>
      <c r="E1820" s="29">
        <v>30.98</v>
      </c>
      <c r="F1820" s="29">
        <v>6.5</v>
      </c>
      <c r="G1820" s="30" t="s">
        <v>87</v>
      </c>
      <c r="H1820" s="27" t="s">
        <v>40</v>
      </c>
      <c r="I1820" s="27" t="s">
        <v>41</v>
      </c>
      <c r="J1820" s="27" t="s">
        <v>42</v>
      </c>
      <c r="K1820" s="27" t="s">
        <v>73</v>
      </c>
      <c r="L1820" s="31" t="s">
        <v>2521</v>
      </c>
      <c r="M1820" s="32">
        <v>0.64</v>
      </c>
      <c r="N1820" s="27" t="s">
        <v>33</v>
      </c>
      <c r="O1820" s="27" t="s">
        <v>60</v>
      </c>
      <c r="P1820" s="27" t="s">
        <v>139</v>
      </c>
      <c r="Q1820" s="27" t="s">
        <v>1728</v>
      </c>
      <c r="R1820" s="33">
        <v>97068</v>
      </c>
      <c r="S1820" s="34">
        <v>42173</v>
      </c>
      <c r="T1820" s="34">
        <v>42177</v>
      </c>
      <c r="U1820" s="29">
        <v>-55.97</v>
      </c>
      <c r="V1820" s="26">
        <v>7</v>
      </c>
      <c r="W1820" s="29">
        <v>204.34</v>
      </c>
      <c r="X1820" s="26">
        <v>89819</v>
      </c>
      <c r="Y1820" s="35">
        <v>12.13</v>
      </c>
      <c r="Z1820" s="1" t="s">
        <v>3013</v>
      </c>
      <c r="AA1820" s="36">
        <v>19.517399999999999</v>
      </c>
      <c r="AB1820" s="54">
        <v>73.562399999999997</v>
      </c>
      <c r="AC1820" s="54">
        <v>18.682514285714287</v>
      </c>
      <c r="AD1820" s="36">
        <v>234.29259999999999</v>
      </c>
    </row>
    <row r="1821" spans="1:30" s="37" customFormat="1" ht="15.75" customHeight="1" x14ac:dyDescent="0.2">
      <c r="A1821" s="26">
        <v>2954</v>
      </c>
      <c r="B1821" s="27" t="s">
        <v>2906</v>
      </c>
      <c r="C1821" s="27" t="s">
        <v>48</v>
      </c>
      <c r="D1821" s="28">
        <v>0.09</v>
      </c>
      <c r="E1821" s="29">
        <v>12.22</v>
      </c>
      <c r="F1821" s="29">
        <v>2.85</v>
      </c>
      <c r="G1821" s="30" t="s">
        <v>39</v>
      </c>
      <c r="H1821" s="27" t="s">
        <v>40</v>
      </c>
      <c r="I1821" s="27" t="s">
        <v>29</v>
      </c>
      <c r="J1821" s="27" t="s">
        <v>126</v>
      </c>
      <c r="K1821" s="27" t="s">
        <v>43</v>
      </c>
      <c r="L1821" s="31" t="s">
        <v>2086</v>
      </c>
      <c r="M1821" s="32">
        <v>0.55000000000000004</v>
      </c>
      <c r="N1821" s="27" t="s">
        <v>33</v>
      </c>
      <c r="O1821" s="27" t="s">
        <v>53</v>
      </c>
      <c r="P1821" s="27" t="s">
        <v>84</v>
      </c>
      <c r="Q1821" s="27" t="s">
        <v>2907</v>
      </c>
      <c r="R1821" s="33">
        <v>55119</v>
      </c>
      <c r="S1821" s="34">
        <v>42173</v>
      </c>
      <c r="T1821" s="34">
        <v>42180</v>
      </c>
      <c r="U1821" s="29">
        <v>70.676699999999997</v>
      </c>
      <c r="V1821" s="26">
        <v>9</v>
      </c>
      <c r="W1821" s="29">
        <v>102.43</v>
      </c>
      <c r="X1821" s="26">
        <v>86427</v>
      </c>
      <c r="Y1821" s="35">
        <v>124.41</v>
      </c>
      <c r="Z1821" s="1" t="s">
        <v>3012</v>
      </c>
      <c r="AA1821" s="36">
        <v>9.898200000000001</v>
      </c>
      <c r="AB1821" s="54">
        <v>46.093499999999999</v>
      </c>
      <c r="AC1821" s="54">
        <v>6.2596111111111119</v>
      </c>
      <c r="AD1821" s="36">
        <v>19.005100000000013</v>
      </c>
    </row>
    <row r="1822" spans="1:30" s="37" customFormat="1" ht="15.75" customHeight="1" x14ac:dyDescent="0.2">
      <c r="A1822" s="26">
        <v>395</v>
      </c>
      <c r="B1822" s="27" t="s">
        <v>2902</v>
      </c>
      <c r="C1822" s="27" t="s">
        <v>26</v>
      </c>
      <c r="D1822" s="28">
        <v>0.04</v>
      </c>
      <c r="E1822" s="29">
        <v>15.98</v>
      </c>
      <c r="F1822" s="29">
        <v>4</v>
      </c>
      <c r="G1822" s="30" t="s">
        <v>39</v>
      </c>
      <c r="H1822" s="27" t="s">
        <v>94</v>
      </c>
      <c r="I1822" s="27" t="s">
        <v>41</v>
      </c>
      <c r="J1822" s="27" t="s">
        <v>42</v>
      </c>
      <c r="K1822" s="27" t="s">
        <v>73</v>
      </c>
      <c r="L1822" s="31" t="s">
        <v>1882</v>
      </c>
      <c r="M1822" s="32">
        <v>0.37</v>
      </c>
      <c r="N1822" s="27" t="s">
        <v>33</v>
      </c>
      <c r="O1822" s="27" t="s">
        <v>34</v>
      </c>
      <c r="P1822" s="27" t="s">
        <v>97</v>
      </c>
      <c r="Q1822" s="27" t="s">
        <v>2903</v>
      </c>
      <c r="R1822" s="33">
        <v>28001</v>
      </c>
      <c r="S1822" s="34">
        <v>42173</v>
      </c>
      <c r="T1822" s="34">
        <v>42174</v>
      </c>
      <c r="U1822" s="29">
        <v>-19.207999999999998</v>
      </c>
      <c r="V1822" s="26">
        <v>4</v>
      </c>
      <c r="W1822" s="29">
        <v>64.59</v>
      </c>
      <c r="X1822" s="26">
        <v>86384</v>
      </c>
      <c r="Y1822" s="35">
        <v>124.41</v>
      </c>
      <c r="Z1822" s="1" t="s">
        <v>3011</v>
      </c>
      <c r="AA1822" s="36">
        <v>2.5568</v>
      </c>
      <c r="AB1822" s="54">
        <v>40.691700000000004</v>
      </c>
      <c r="AC1822" s="54">
        <v>5.9745750000000006</v>
      </c>
      <c r="AD1822" s="36">
        <v>77.241200000000006</v>
      </c>
    </row>
    <row r="1823" spans="1:30" s="37" customFormat="1" ht="15.75" customHeight="1" x14ac:dyDescent="0.2">
      <c r="A1823" s="26">
        <v>2016</v>
      </c>
      <c r="B1823" s="27" t="s">
        <v>2908</v>
      </c>
      <c r="C1823" s="27" t="s">
        <v>116</v>
      </c>
      <c r="D1823" s="28">
        <v>0.1</v>
      </c>
      <c r="E1823" s="29">
        <v>10.48</v>
      </c>
      <c r="F1823" s="29">
        <v>2.89</v>
      </c>
      <c r="G1823" s="30" t="s">
        <v>39</v>
      </c>
      <c r="H1823" s="27" t="s">
        <v>94</v>
      </c>
      <c r="I1823" s="27" t="s">
        <v>49</v>
      </c>
      <c r="J1823" s="27" t="s">
        <v>50</v>
      </c>
      <c r="K1823" s="27" t="s">
        <v>43</v>
      </c>
      <c r="L1823" s="31" t="s">
        <v>996</v>
      </c>
      <c r="M1823" s="32">
        <v>0.6</v>
      </c>
      <c r="N1823" s="27" t="s">
        <v>33</v>
      </c>
      <c r="O1823" s="27" t="s">
        <v>53</v>
      </c>
      <c r="P1823" s="27" t="s">
        <v>289</v>
      </c>
      <c r="Q1823" s="27" t="s">
        <v>290</v>
      </c>
      <c r="R1823" s="33">
        <v>48195</v>
      </c>
      <c r="S1823" s="34">
        <v>42173</v>
      </c>
      <c r="T1823" s="34">
        <v>42174</v>
      </c>
      <c r="U1823" s="29">
        <v>-8.9039999999999999</v>
      </c>
      <c r="V1823" s="26">
        <v>4</v>
      </c>
      <c r="W1823" s="29">
        <v>40.29</v>
      </c>
      <c r="X1823" s="26">
        <v>86874</v>
      </c>
      <c r="Y1823" s="35">
        <v>10.38</v>
      </c>
      <c r="Z1823" s="1" t="s">
        <v>3012</v>
      </c>
      <c r="AA1823" s="36">
        <v>4.1920000000000002</v>
      </c>
      <c r="AB1823" s="54">
        <v>16.116</v>
      </c>
      <c r="AC1823" s="54">
        <v>6.0434999999999999</v>
      </c>
      <c r="AD1823" s="36">
        <v>42.111999999999995</v>
      </c>
    </row>
    <row r="1824" spans="1:30" s="37" customFormat="1" ht="15.75" customHeight="1" x14ac:dyDescent="0.2">
      <c r="A1824" s="26">
        <v>1009</v>
      </c>
      <c r="B1824" s="27" t="s">
        <v>2910</v>
      </c>
      <c r="C1824" s="27" t="s">
        <v>38</v>
      </c>
      <c r="D1824" s="28">
        <v>0.1</v>
      </c>
      <c r="E1824" s="29">
        <v>550.98</v>
      </c>
      <c r="F1824" s="29">
        <v>45.7</v>
      </c>
      <c r="G1824" s="30" t="s">
        <v>27</v>
      </c>
      <c r="H1824" s="27" t="s">
        <v>94</v>
      </c>
      <c r="I1824" s="27" t="s">
        <v>29</v>
      </c>
      <c r="J1824" s="27" t="s">
        <v>30</v>
      </c>
      <c r="K1824" s="27" t="s">
        <v>31</v>
      </c>
      <c r="L1824" s="31" t="s">
        <v>2911</v>
      </c>
      <c r="M1824" s="32">
        <v>0.71</v>
      </c>
      <c r="N1824" s="27" t="s">
        <v>33</v>
      </c>
      <c r="O1824" s="27" t="s">
        <v>111</v>
      </c>
      <c r="P1824" s="27" t="s">
        <v>331</v>
      </c>
      <c r="Q1824" s="27" t="s">
        <v>2912</v>
      </c>
      <c r="R1824" s="33">
        <v>4072</v>
      </c>
      <c r="S1824" s="34">
        <v>42174</v>
      </c>
      <c r="T1824" s="34">
        <v>42176</v>
      </c>
      <c r="U1824" s="29">
        <v>818.54617499999995</v>
      </c>
      <c r="V1824" s="26">
        <v>14</v>
      </c>
      <c r="W1824" s="29">
        <v>6963.67</v>
      </c>
      <c r="X1824" s="26">
        <v>88372</v>
      </c>
      <c r="Y1824" s="35">
        <v>39.44</v>
      </c>
      <c r="Z1824" s="1" t="s">
        <v>3014</v>
      </c>
      <c r="AA1824" s="36">
        <v>771.37200000000007</v>
      </c>
      <c r="AB1824" s="54">
        <v>2019.4643000000003</v>
      </c>
      <c r="AC1824" s="54">
        <v>353.15755000000001</v>
      </c>
      <c r="AD1824" s="36">
        <v>5328.0518250000005</v>
      </c>
    </row>
    <row r="1825" spans="1:30" s="37" customFormat="1" ht="15.75" customHeight="1" x14ac:dyDescent="0.2">
      <c r="A1825" s="26">
        <v>3167</v>
      </c>
      <c r="B1825" s="27" t="s">
        <v>2916</v>
      </c>
      <c r="C1825" s="27" t="s">
        <v>3094</v>
      </c>
      <c r="D1825" s="28">
        <v>7.0000000000000007E-2</v>
      </c>
      <c r="E1825" s="29">
        <v>280.98</v>
      </c>
      <c r="F1825" s="29">
        <v>57</v>
      </c>
      <c r="G1825" s="30" t="s">
        <v>27</v>
      </c>
      <c r="H1825" s="27" t="s">
        <v>94</v>
      </c>
      <c r="I1825" s="27" t="s">
        <v>29</v>
      </c>
      <c r="J1825" s="27" t="s">
        <v>109</v>
      </c>
      <c r="K1825" s="27" t="s">
        <v>58</v>
      </c>
      <c r="L1825" s="31" t="s">
        <v>862</v>
      </c>
      <c r="M1825" s="32">
        <v>0.78</v>
      </c>
      <c r="N1825" s="27" t="s">
        <v>33</v>
      </c>
      <c r="O1825" s="27" t="s">
        <v>34</v>
      </c>
      <c r="P1825" s="27" t="s">
        <v>123</v>
      </c>
      <c r="Q1825" s="27" t="s">
        <v>2917</v>
      </c>
      <c r="R1825" s="33">
        <v>32004</v>
      </c>
      <c r="S1825" s="34">
        <v>42174</v>
      </c>
      <c r="T1825" s="34">
        <v>42175</v>
      </c>
      <c r="U1825" s="29">
        <v>-283.9914</v>
      </c>
      <c r="V1825" s="26">
        <v>14</v>
      </c>
      <c r="W1825" s="29">
        <v>3936.61</v>
      </c>
      <c r="X1825" s="26">
        <v>86491</v>
      </c>
      <c r="Y1825" s="35">
        <v>3.66</v>
      </c>
      <c r="Z1825" s="1" t="s">
        <v>3011</v>
      </c>
      <c r="AA1825" s="36">
        <v>275.36040000000003</v>
      </c>
      <c r="AB1825" s="54">
        <v>866.05419999999992</v>
      </c>
      <c r="AC1825" s="54">
        <v>219.32541428571429</v>
      </c>
      <c r="AD1825" s="36">
        <v>3888.241</v>
      </c>
    </row>
    <row r="1826" spans="1:30" s="37" customFormat="1" ht="15.75" customHeight="1" x14ac:dyDescent="0.2">
      <c r="A1826" s="26">
        <v>1956</v>
      </c>
      <c r="B1826" s="27" t="s">
        <v>2913</v>
      </c>
      <c r="C1826" s="27" t="s">
        <v>38</v>
      </c>
      <c r="D1826" s="28">
        <v>0.09</v>
      </c>
      <c r="E1826" s="29">
        <v>40.98</v>
      </c>
      <c r="F1826" s="29">
        <v>6.5</v>
      </c>
      <c r="G1826" s="30" t="s">
        <v>39</v>
      </c>
      <c r="H1826" s="27" t="s">
        <v>40</v>
      </c>
      <c r="I1826" s="27" t="s">
        <v>41</v>
      </c>
      <c r="J1826" s="27" t="s">
        <v>42</v>
      </c>
      <c r="K1826" s="27" t="s">
        <v>73</v>
      </c>
      <c r="L1826" s="31" t="s">
        <v>446</v>
      </c>
      <c r="M1826" s="32">
        <v>0.74</v>
      </c>
      <c r="N1826" s="27" t="s">
        <v>33</v>
      </c>
      <c r="O1826" s="27" t="s">
        <v>60</v>
      </c>
      <c r="P1826" s="27" t="s">
        <v>61</v>
      </c>
      <c r="Q1826" s="27" t="s">
        <v>1313</v>
      </c>
      <c r="R1826" s="33">
        <v>80027</v>
      </c>
      <c r="S1826" s="34">
        <v>42174</v>
      </c>
      <c r="T1826" s="34">
        <v>42176</v>
      </c>
      <c r="U1826" s="29">
        <v>-50.244999999999997</v>
      </c>
      <c r="V1826" s="26">
        <v>19</v>
      </c>
      <c r="W1826" s="29">
        <v>746.91</v>
      </c>
      <c r="X1826" s="26">
        <v>89820</v>
      </c>
      <c r="Y1826" s="35">
        <v>550.88</v>
      </c>
      <c r="Z1826" s="1" t="s">
        <v>3013</v>
      </c>
      <c r="AA1826" s="36">
        <v>70.075800000000001</v>
      </c>
      <c r="AB1826" s="54">
        <v>194.19659999999999</v>
      </c>
      <c r="AC1826" s="54">
        <v>29.090178947368418</v>
      </c>
      <c r="AD1826" s="36">
        <v>720.57920000000001</v>
      </c>
    </row>
    <row r="1827" spans="1:30" s="37" customFormat="1" ht="15.75" customHeight="1" x14ac:dyDescent="0.2">
      <c r="A1827" s="26">
        <v>594</v>
      </c>
      <c r="B1827" s="27" t="s">
        <v>1644</v>
      </c>
      <c r="C1827" s="27" t="s">
        <v>26</v>
      </c>
      <c r="D1827" s="28">
        <v>0.04</v>
      </c>
      <c r="E1827" s="29">
        <v>39.479999999999997</v>
      </c>
      <c r="F1827" s="29">
        <v>1.99</v>
      </c>
      <c r="G1827" s="30" t="s">
        <v>39</v>
      </c>
      <c r="H1827" s="27" t="s">
        <v>40</v>
      </c>
      <c r="I1827" s="27" t="s">
        <v>41</v>
      </c>
      <c r="J1827" s="27" t="s">
        <v>42</v>
      </c>
      <c r="K1827" s="27" t="s">
        <v>43</v>
      </c>
      <c r="L1827" s="31" t="s">
        <v>1257</v>
      </c>
      <c r="M1827" s="32">
        <v>0.54</v>
      </c>
      <c r="N1827" s="27" t="s">
        <v>33</v>
      </c>
      <c r="O1827" s="27" t="s">
        <v>53</v>
      </c>
      <c r="P1827" s="27" t="s">
        <v>54</v>
      </c>
      <c r="Q1827" s="27" t="s">
        <v>1645</v>
      </c>
      <c r="R1827" s="33">
        <v>46016</v>
      </c>
      <c r="S1827" s="34">
        <v>42174</v>
      </c>
      <c r="T1827" s="34">
        <v>42177</v>
      </c>
      <c r="U1827" s="29">
        <v>484.8492</v>
      </c>
      <c r="V1827" s="26">
        <v>18</v>
      </c>
      <c r="W1827" s="29">
        <v>702.68</v>
      </c>
      <c r="X1827" s="26">
        <v>86311</v>
      </c>
      <c r="Y1827" s="35">
        <v>40.889999999999993</v>
      </c>
      <c r="Z1827" s="1" t="s">
        <v>3012</v>
      </c>
      <c r="AA1827" s="36">
        <v>28.425599999999999</v>
      </c>
      <c r="AB1827" s="54">
        <v>323.23279999999994</v>
      </c>
      <c r="AC1827" s="54">
        <v>21.080400000000001</v>
      </c>
      <c r="AD1827" s="36">
        <v>187.41519999999991</v>
      </c>
    </row>
    <row r="1828" spans="1:30" s="37" customFormat="1" ht="15.75" customHeight="1" x14ac:dyDescent="0.2">
      <c r="A1828" s="26">
        <v>3138</v>
      </c>
      <c r="B1828" s="27" t="s">
        <v>2914</v>
      </c>
      <c r="C1828" s="27" t="s">
        <v>3094</v>
      </c>
      <c r="D1828" s="28">
        <v>0.05</v>
      </c>
      <c r="E1828" s="29">
        <v>4.0599999999999996</v>
      </c>
      <c r="F1828" s="29">
        <v>6.89</v>
      </c>
      <c r="G1828" s="30" t="s">
        <v>87</v>
      </c>
      <c r="H1828" s="27" t="s">
        <v>94</v>
      </c>
      <c r="I1828" s="27" t="s">
        <v>49</v>
      </c>
      <c r="J1828" s="27" t="s">
        <v>95</v>
      </c>
      <c r="K1828" s="27" t="s">
        <v>73</v>
      </c>
      <c r="L1828" s="31" t="s">
        <v>1271</v>
      </c>
      <c r="M1828" s="32">
        <v>0.6</v>
      </c>
      <c r="N1828" s="27" t="s">
        <v>33</v>
      </c>
      <c r="O1828" s="27" t="s">
        <v>111</v>
      </c>
      <c r="P1828" s="27" t="s">
        <v>1356</v>
      </c>
      <c r="Q1828" s="27" t="s">
        <v>2915</v>
      </c>
      <c r="R1828" s="33">
        <v>3053</v>
      </c>
      <c r="S1828" s="34">
        <v>42174</v>
      </c>
      <c r="T1828" s="34">
        <v>42176</v>
      </c>
      <c r="U1828" s="29">
        <v>-122.83499999999999</v>
      </c>
      <c r="V1828" s="26">
        <v>22</v>
      </c>
      <c r="W1828" s="29">
        <v>92.57</v>
      </c>
      <c r="X1828" s="26">
        <v>86796</v>
      </c>
      <c r="Y1828" s="35">
        <v>14.32</v>
      </c>
      <c r="Z1828" s="1" t="s">
        <v>3014</v>
      </c>
      <c r="AA1828" s="36">
        <v>4.4659999999999993</v>
      </c>
      <c r="AB1828" s="54">
        <v>37.027999999999999</v>
      </c>
      <c r="AC1828" s="54">
        <v>2.5246363636363633</v>
      </c>
      <c r="AD1828" s="36">
        <v>204.04899999999998</v>
      </c>
    </row>
    <row r="1829" spans="1:30" s="37" customFormat="1" ht="15.75" customHeight="1" x14ac:dyDescent="0.2">
      <c r="A1829" s="26">
        <v>3167</v>
      </c>
      <c r="B1829" s="27" t="s">
        <v>2916</v>
      </c>
      <c r="C1829" s="27" t="s">
        <v>3094</v>
      </c>
      <c r="D1829" s="28">
        <v>0</v>
      </c>
      <c r="E1829" s="29">
        <v>4.9800000000000004</v>
      </c>
      <c r="F1829" s="29">
        <v>7.44</v>
      </c>
      <c r="G1829" s="30" t="s">
        <v>39</v>
      </c>
      <c r="H1829" s="27" t="s">
        <v>94</v>
      </c>
      <c r="I1829" s="27" t="s">
        <v>49</v>
      </c>
      <c r="J1829" s="27" t="s">
        <v>88</v>
      </c>
      <c r="K1829" s="27" t="s">
        <v>73</v>
      </c>
      <c r="L1829" s="31" t="s">
        <v>2174</v>
      </c>
      <c r="M1829" s="32">
        <v>0.36</v>
      </c>
      <c r="N1829" s="27" t="s">
        <v>33</v>
      </c>
      <c r="O1829" s="27" t="s">
        <v>34</v>
      </c>
      <c r="P1829" s="27" t="s">
        <v>123</v>
      </c>
      <c r="Q1829" s="27" t="s">
        <v>2917</v>
      </c>
      <c r="R1829" s="33">
        <v>32004</v>
      </c>
      <c r="S1829" s="34">
        <v>42174</v>
      </c>
      <c r="T1829" s="34">
        <v>42176</v>
      </c>
      <c r="U1829" s="29">
        <v>-195.34200000000001</v>
      </c>
      <c r="V1829" s="26">
        <v>15</v>
      </c>
      <c r="W1829" s="29">
        <v>78.31</v>
      </c>
      <c r="X1829" s="26">
        <v>86491</v>
      </c>
      <c r="Y1829" s="35">
        <v>4.9200000000000008</v>
      </c>
      <c r="Z1829" s="1" t="s">
        <v>3011</v>
      </c>
      <c r="AA1829" s="36">
        <v>0</v>
      </c>
      <c r="AB1829" s="54">
        <v>50.118400000000001</v>
      </c>
      <c r="AC1829" s="54">
        <v>1.8794400000000002</v>
      </c>
      <c r="AD1829" s="36">
        <v>266.21199999999999</v>
      </c>
    </row>
    <row r="1830" spans="1:30" s="37" customFormat="1" ht="15.75" customHeight="1" x14ac:dyDescent="0.2">
      <c r="A1830" s="26">
        <v>594</v>
      </c>
      <c r="B1830" s="27" t="s">
        <v>1644</v>
      </c>
      <c r="C1830" s="27" t="s">
        <v>26</v>
      </c>
      <c r="D1830" s="28">
        <v>0.04</v>
      </c>
      <c r="E1830" s="29">
        <v>3.7</v>
      </c>
      <c r="F1830" s="29">
        <v>1.61</v>
      </c>
      <c r="G1830" s="30" t="s">
        <v>39</v>
      </c>
      <c r="H1830" s="27" t="s">
        <v>40</v>
      </c>
      <c r="I1830" s="27" t="s">
        <v>29</v>
      </c>
      <c r="J1830" s="27" t="s">
        <v>126</v>
      </c>
      <c r="K1830" s="27" t="s">
        <v>51</v>
      </c>
      <c r="L1830" s="31" t="s">
        <v>2909</v>
      </c>
      <c r="M1830" s="32">
        <v>0.44</v>
      </c>
      <c r="N1830" s="27" t="s">
        <v>33</v>
      </c>
      <c r="O1830" s="27" t="s">
        <v>53</v>
      </c>
      <c r="P1830" s="27" t="s">
        <v>54</v>
      </c>
      <c r="Q1830" s="27" t="s">
        <v>1645</v>
      </c>
      <c r="R1830" s="33">
        <v>46016</v>
      </c>
      <c r="S1830" s="34">
        <v>42174</v>
      </c>
      <c r="T1830" s="34">
        <v>42175</v>
      </c>
      <c r="U1830" s="29">
        <v>18</v>
      </c>
      <c r="V1830" s="26">
        <v>18</v>
      </c>
      <c r="W1830" s="29">
        <v>67.239999999999995</v>
      </c>
      <c r="X1830" s="26">
        <v>86311</v>
      </c>
      <c r="Y1830" s="35">
        <v>4.01</v>
      </c>
      <c r="Z1830" s="1" t="s">
        <v>3012</v>
      </c>
      <c r="AA1830" s="36">
        <v>2.6640000000000006</v>
      </c>
      <c r="AB1830" s="54">
        <v>37.654400000000003</v>
      </c>
      <c r="AC1830" s="54">
        <v>1.6436444444444442</v>
      </c>
      <c r="AD1830" s="36">
        <v>44.965999999999994</v>
      </c>
    </row>
    <row r="1831" spans="1:30" s="37" customFormat="1" ht="15.75" customHeight="1" x14ac:dyDescent="0.2">
      <c r="A1831" s="26">
        <v>3167</v>
      </c>
      <c r="B1831" s="27" t="s">
        <v>2916</v>
      </c>
      <c r="C1831" s="27" t="s">
        <v>3094</v>
      </c>
      <c r="D1831" s="28">
        <v>0.1</v>
      </c>
      <c r="E1831" s="29">
        <v>3.98</v>
      </c>
      <c r="F1831" s="29">
        <v>0.83</v>
      </c>
      <c r="G1831" s="30" t="s">
        <v>39</v>
      </c>
      <c r="H1831" s="27" t="s">
        <v>94</v>
      </c>
      <c r="I1831" s="27" t="s">
        <v>49</v>
      </c>
      <c r="J1831" s="27" t="s">
        <v>50</v>
      </c>
      <c r="K1831" s="27" t="s">
        <v>51</v>
      </c>
      <c r="L1831" s="31" t="s">
        <v>2785</v>
      </c>
      <c r="M1831" s="32">
        <v>0.51</v>
      </c>
      <c r="N1831" s="27" t="s">
        <v>33</v>
      </c>
      <c r="O1831" s="27" t="s">
        <v>34</v>
      </c>
      <c r="P1831" s="27" t="s">
        <v>123</v>
      </c>
      <c r="Q1831" s="27" t="s">
        <v>2917</v>
      </c>
      <c r="R1831" s="33">
        <v>32004</v>
      </c>
      <c r="S1831" s="34">
        <v>42174</v>
      </c>
      <c r="T1831" s="34">
        <v>42176</v>
      </c>
      <c r="U1831" s="29">
        <v>-89.709199999999996</v>
      </c>
      <c r="V1831" s="26">
        <v>11</v>
      </c>
      <c r="W1831" s="29">
        <v>42.46</v>
      </c>
      <c r="X1831" s="26">
        <v>86491</v>
      </c>
      <c r="Y1831" s="35">
        <v>280.91000000000003</v>
      </c>
      <c r="Z1831" s="1" t="s">
        <v>3011</v>
      </c>
      <c r="AA1831" s="36">
        <v>4.3780000000000001</v>
      </c>
      <c r="AB1831" s="54">
        <v>20.805399999999999</v>
      </c>
      <c r="AC1831" s="54">
        <v>1.9685999999999999</v>
      </c>
      <c r="AD1831" s="36">
        <v>126.96119999999999</v>
      </c>
    </row>
    <row r="1832" spans="1:30" s="37" customFormat="1" ht="15.75" customHeight="1" x14ac:dyDescent="0.2">
      <c r="A1832" s="26">
        <v>2323</v>
      </c>
      <c r="B1832" s="27" t="s">
        <v>1675</v>
      </c>
      <c r="C1832" s="27" t="s">
        <v>3094</v>
      </c>
      <c r="D1832" s="28">
        <v>0.06</v>
      </c>
      <c r="E1832" s="29">
        <v>4.9800000000000004</v>
      </c>
      <c r="F1832" s="29">
        <v>4.62</v>
      </c>
      <c r="G1832" s="30" t="s">
        <v>87</v>
      </c>
      <c r="H1832" s="27" t="s">
        <v>3095</v>
      </c>
      <c r="I1832" s="27" t="s">
        <v>41</v>
      </c>
      <c r="J1832" s="27" t="s">
        <v>42</v>
      </c>
      <c r="K1832" s="27" t="s">
        <v>43</v>
      </c>
      <c r="L1832" s="31" t="s">
        <v>1221</v>
      </c>
      <c r="M1832" s="32">
        <v>0.64</v>
      </c>
      <c r="N1832" s="27" t="s">
        <v>33</v>
      </c>
      <c r="O1832" s="27" t="s">
        <v>60</v>
      </c>
      <c r="P1832" s="27" t="s">
        <v>90</v>
      </c>
      <c r="Q1832" s="27" t="s">
        <v>1214</v>
      </c>
      <c r="R1832" s="33">
        <v>92236</v>
      </c>
      <c r="S1832" s="34">
        <v>42174</v>
      </c>
      <c r="T1832" s="34">
        <v>42174</v>
      </c>
      <c r="U1832" s="29">
        <v>-27.004999999999999</v>
      </c>
      <c r="V1832" s="26">
        <v>7</v>
      </c>
      <c r="W1832" s="29">
        <v>38.74</v>
      </c>
      <c r="X1832" s="26">
        <v>88722</v>
      </c>
      <c r="Y1832" s="35">
        <v>4.9800000000000004</v>
      </c>
      <c r="Z1832" s="1" t="s">
        <v>3013</v>
      </c>
      <c r="AA1832" s="36">
        <v>2.0916000000000001</v>
      </c>
      <c r="AB1832" s="54">
        <v>13.946400000000001</v>
      </c>
      <c r="AC1832" s="54">
        <v>3.5419428571428573</v>
      </c>
      <c r="AD1832" s="36">
        <v>59.0334</v>
      </c>
    </row>
    <row r="1833" spans="1:30" s="37" customFormat="1" ht="15.75" customHeight="1" x14ac:dyDescent="0.2">
      <c r="A1833" s="26">
        <v>796</v>
      </c>
      <c r="B1833" s="27" t="s">
        <v>1588</v>
      </c>
      <c r="C1833" s="27" t="s">
        <v>3094</v>
      </c>
      <c r="D1833" s="28">
        <v>0.1</v>
      </c>
      <c r="E1833" s="29">
        <v>14.42</v>
      </c>
      <c r="F1833" s="29">
        <v>6.75</v>
      </c>
      <c r="G1833" s="30" t="s">
        <v>39</v>
      </c>
      <c r="H1833" s="27" t="s">
        <v>94</v>
      </c>
      <c r="I1833" s="27" t="s">
        <v>49</v>
      </c>
      <c r="J1833" s="27" t="s">
        <v>95</v>
      </c>
      <c r="K1833" s="27" t="s">
        <v>144</v>
      </c>
      <c r="L1833" s="31" t="s">
        <v>409</v>
      </c>
      <c r="M1833" s="32">
        <v>0.52</v>
      </c>
      <c r="N1833" s="27" t="s">
        <v>33</v>
      </c>
      <c r="O1833" s="27" t="s">
        <v>53</v>
      </c>
      <c r="P1833" s="27" t="s">
        <v>133</v>
      </c>
      <c r="Q1833" s="27" t="s">
        <v>1589</v>
      </c>
      <c r="R1833" s="33">
        <v>68046</v>
      </c>
      <c r="S1833" s="34">
        <v>42174</v>
      </c>
      <c r="T1833" s="34">
        <v>42177</v>
      </c>
      <c r="U1833" s="29">
        <v>-20.103999999999999</v>
      </c>
      <c r="V1833" s="26">
        <v>1</v>
      </c>
      <c r="W1833" s="29">
        <v>15.49</v>
      </c>
      <c r="X1833" s="26">
        <v>86869</v>
      </c>
      <c r="Y1833" s="35">
        <v>3.88</v>
      </c>
      <c r="Z1833" s="1" t="s">
        <v>3012</v>
      </c>
      <c r="AA1833" s="36">
        <v>1.4420000000000002</v>
      </c>
      <c r="AB1833" s="54">
        <v>7.4352</v>
      </c>
      <c r="AC1833" s="54">
        <v>8.0548000000000002</v>
      </c>
      <c r="AD1833" s="36">
        <v>27.402000000000001</v>
      </c>
    </row>
    <row r="1834" spans="1:30" s="37" customFormat="1" ht="15.75" customHeight="1" x14ac:dyDescent="0.2">
      <c r="A1834" s="26">
        <v>491</v>
      </c>
      <c r="B1834" s="27" t="s">
        <v>1073</v>
      </c>
      <c r="C1834" s="27" t="s">
        <v>26</v>
      </c>
      <c r="D1834" s="28">
        <v>0.02</v>
      </c>
      <c r="E1834" s="29">
        <v>1360.14</v>
      </c>
      <c r="F1834" s="29">
        <v>14.7</v>
      </c>
      <c r="G1834" s="30" t="s">
        <v>27</v>
      </c>
      <c r="H1834" s="27" t="s">
        <v>40</v>
      </c>
      <c r="I1834" s="27" t="s">
        <v>41</v>
      </c>
      <c r="J1834" s="27" t="s">
        <v>57</v>
      </c>
      <c r="K1834" s="27" t="s">
        <v>58</v>
      </c>
      <c r="L1834" s="31" t="s">
        <v>2772</v>
      </c>
      <c r="M1834" s="32">
        <v>0.59</v>
      </c>
      <c r="N1834" s="27" t="s">
        <v>33</v>
      </c>
      <c r="O1834" s="27" t="s">
        <v>111</v>
      </c>
      <c r="P1834" s="27" t="s">
        <v>112</v>
      </c>
      <c r="Q1834" s="27" t="s">
        <v>113</v>
      </c>
      <c r="R1834" s="33">
        <v>10154</v>
      </c>
      <c r="S1834" s="34">
        <v>42175</v>
      </c>
      <c r="T1834" s="34">
        <v>42177</v>
      </c>
      <c r="U1834" s="29">
        <v>2028.12</v>
      </c>
      <c r="V1834" s="26">
        <v>22</v>
      </c>
      <c r="W1834" s="29">
        <v>31670.6</v>
      </c>
      <c r="X1834" s="26">
        <v>6562</v>
      </c>
      <c r="Y1834" s="35">
        <v>1360.1200000000001</v>
      </c>
      <c r="Z1834" s="1" t="s">
        <v>3014</v>
      </c>
      <c r="AA1834" s="36">
        <v>598.46160000000009</v>
      </c>
      <c r="AB1834" s="54">
        <v>12984.946</v>
      </c>
      <c r="AC1834" s="54">
        <v>849.34790909090896</v>
      </c>
      <c r="AD1834" s="36">
        <v>29029.318399999996</v>
      </c>
    </row>
    <row r="1835" spans="1:30" s="37" customFormat="1" ht="15.75" customHeight="1" x14ac:dyDescent="0.2">
      <c r="A1835" s="26">
        <v>494</v>
      </c>
      <c r="B1835" s="27" t="s">
        <v>1074</v>
      </c>
      <c r="C1835" s="27" t="s">
        <v>26</v>
      </c>
      <c r="D1835" s="28">
        <v>0.02</v>
      </c>
      <c r="E1835" s="29">
        <v>1360.14</v>
      </c>
      <c r="F1835" s="29">
        <v>14.7</v>
      </c>
      <c r="G1835" s="30" t="s">
        <v>27</v>
      </c>
      <c r="H1835" s="27" t="s">
        <v>40</v>
      </c>
      <c r="I1835" s="27" t="s">
        <v>41</v>
      </c>
      <c r="J1835" s="27" t="s">
        <v>57</v>
      </c>
      <c r="K1835" s="27" t="s">
        <v>58</v>
      </c>
      <c r="L1835" s="31" t="s">
        <v>2772</v>
      </c>
      <c r="M1835" s="32">
        <v>0.59</v>
      </c>
      <c r="N1835" s="27" t="s">
        <v>33</v>
      </c>
      <c r="O1835" s="27" t="s">
        <v>60</v>
      </c>
      <c r="P1835" s="27" t="s">
        <v>67</v>
      </c>
      <c r="Q1835" s="27" t="s">
        <v>142</v>
      </c>
      <c r="R1835" s="33">
        <v>98115</v>
      </c>
      <c r="S1835" s="34">
        <v>42175</v>
      </c>
      <c r="T1835" s="34">
        <v>42177</v>
      </c>
      <c r="U1835" s="29">
        <v>3042.18</v>
      </c>
      <c r="V1835" s="26">
        <v>6</v>
      </c>
      <c r="W1835" s="29">
        <v>8637.44</v>
      </c>
      <c r="X1835" s="26">
        <v>88908</v>
      </c>
      <c r="Y1835" s="35">
        <v>1360.1200000000001</v>
      </c>
      <c r="Z1835" s="1" t="s">
        <v>3013</v>
      </c>
      <c r="AA1835" s="36">
        <v>163.21680000000003</v>
      </c>
      <c r="AB1835" s="54">
        <v>3541.3504000000003</v>
      </c>
      <c r="AC1835" s="54">
        <v>849.34826666666675</v>
      </c>
      <c r="AD1835" s="36">
        <v>5417.3432000000012</v>
      </c>
    </row>
    <row r="1836" spans="1:30" s="37" customFormat="1" ht="15.75" customHeight="1" x14ac:dyDescent="0.2">
      <c r="A1836" s="26">
        <v>1123</v>
      </c>
      <c r="B1836" s="27" t="s">
        <v>1647</v>
      </c>
      <c r="C1836" s="27" t="s">
        <v>38</v>
      </c>
      <c r="D1836" s="28">
        <v>0.09</v>
      </c>
      <c r="E1836" s="29">
        <v>175.99</v>
      </c>
      <c r="F1836" s="29">
        <v>4.99</v>
      </c>
      <c r="G1836" s="30" t="s">
        <v>39</v>
      </c>
      <c r="H1836" s="27" t="s">
        <v>3095</v>
      </c>
      <c r="I1836" s="27" t="s">
        <v>41</v>
      </c>
      <c r="J1836" s="27" t="s">
        <v>135</v>
      </c>
      <c r="K1836" s="27" t="s">
        <v>73</v>
      </c>
      <c r="L1836" s="31" t="s">
        <v>1249</v>
      </c>
      <c r="M1836" s="32">
        <v>0.59</v>
      </c>
      <c r="N1836" s="27" t="s">
        <v>33</v>
      </c>
      <c r="O1836" s="27" t="s">
        <v>60</v>
      </c>
      <c r="P1836" s="27" t="s">
        <v>90</v>
      </c>
      <c r="Q1836" s="27" t="s">
        <v>1649</v>
      </c>
      <c r="R1836" s="33">
        <v>95661</v>
      </c>
      <c r="S1836" s="34">
        <v>42175</v>
      </c>
      <c r="T1836" s="34">
        <v>42177</v>
      </c>
      <c r="U1836" s="29">
        <v>2169.7464</v>
      </c>
      <c r="V1836" s="26">
        <v>22</v>
      </c>
      <c r="W1836" s="29">
        <v>3144.56</v>
      </c>
      <c r="X1836" s="26">
        <v>87016</v>
      </c>
      <c r="Y1836" s="35">
        <v>47.919999999999995</v>
      </c>
      <c r="Z1836" s="1" t="s">
        <v>3013</v>
      </c>
      <c r="AA1836" s="36">
        <v>348.46019999999999</v>
      </c>
      <c r="AB1836" s="54">
        <v>1289.2696000000001</v>
      </c>
      <c r="AC1836" s="54">
        <v>84.331381818181811</v>
      </c>
      <c r="AD1836" s="36">
        <v>621.36340000000018</v>
      </c>
    </row>
    <row r="1837" spans="1:30" s="37" customFormat="1" ht="15.75" customHeight="1" x14ac:dyDescent="0.2">
      <c r="A1837" s="26">
        <v>1124</v>
      </c>
      <c r="B1837" s="27" t="s">
        <v>2920</v>
      </c>
      <c r="C1837" s="27" t="s">
        <v>38</v>
      </c>
      <c r="D1837" s="28">
        <v>0.09</v>
      </c>
      <c r="E1837" s="29">
        <v>160.97999999999999</v>
      </c>
      <c r="F1837" s="29">
        <v>35.020000000000003</v>
      </c>
      <c r="G1837" s="30" t="s">
        <v>27</v>
      </c>
      <c r="H1837" s="27" t="s">
        <v>3095</v>
      </c>
      <c r="I1837" s="27" t="s">
        <v>29</v>
      </c>
      <c r="J1837" s="27" t="s">
        <v>117</v>
      </c>
      <c r="K1837" s="27" t="s">
        <v>31</v>
      </c>
      <c r="L1837" s="31" t="s">
        <v>1755</v>
      </c>
      <c r="M1837" s="32">
        <v>0.72</v>
      </c>
      <c r="N1837" s="27" t="s">
        <v>33</v>
      </c>
      <c r="O1837" s="27" t="s">
        <v>111</v>
      </c>
      <c r="P1837" s="27" t="s">
        <v>248</v>
      </c>
      <c r="Q1837" s="27" t="s">
        <v>2921</v>
      </c>
      <c r="R1837" s="33">
        <v>6360</v>
      </c>
      <c r="S1837" s="34">
        <v>42175</v>
      </c>
      <c r="T1837" s="34">
        <v>42176</v>
      </c>
      <c r="U1837" s="29">
        <v>-229.93</v>
      </c>
      <c r="V1837" s="26">
        <v>18</v>
      </c>
      <c r="W1837" s="29">
        <v>2653.02</v>
      </c>
      <c r="X1837" s="26">
        <v>87016</v>
      </c>
      <c r="Y1837" s="35">
        <v>59.699999999999996</v>
      </c>
      <c r="Z1837" s="1" t="s">
        <v>3014</v>
      </c>
      <c r="AA1837" s="36">
        <v>260.7876</v>
      </c>
      <c r="AB1837" s="54">
        <v>742.8456000000001</v>
      </c>
      <c r="AC1837" s="54">
        <v>106.12079999999999</v>
      </c>
      <c r="AD1837" s="36">
        <v>2587.1424000000002</v>
      </c>
    </row>
    <row r="1838" spans="1:30" s="37" customFormat="1" ht="15.75" customHeight="1" x14ac:dyDescent="0.2">
      <c r="A1838" s="26">
        <v>2352</v>
      </c>
      <c r="B1838" s="27" t="s">
        <v>2918</v>
      </c>
      <c r="C1838" s="27" t="s">
        <v>26</v>
      </c>
      <c r="D1838" s="28">
        <v>0.06</v>
      </c>
      <c r="E1838" s="29">
        <v>59.76</v>
      </c>
      <c r="F1838" s="29">
        <v>9.7100000000000009</v>
      </c>
      <c r="G1838" s="30" t="s">
        <v>39</v>
      </c>
      <c r="H1838" s="27" t="s">
        <v>40</v>
      </c>
      <c r="I1838" s="27" t="s">
        <v>49</v>
      </c>
      <c r="J1838" s="27" t="s">
        <v>78</v>
      </c>
      <c r="K1838" s="27" t="s">
        <v>73</v>
      </c>
      <c r="L1838" s="31" t="s">
        <v>1973</v>
      </c>
      <c r="M1838" s="32">
        <v>0.56999999999999995</v>
      </c>
      <c r="N1838" s="27" t="s">
        <v>33</v>
      </c>
      <c r="O1838" s="27" t="s">
        <v>111</v>
      </c>
      <c r="P1838" s="27" t="s">
        <v>418</v>
      </c>
      <c r="Q1838" s="27" t="s">
        <v>2919</v>
      </c>
      <c r="R1838" s="33">
        <v>21501</v>
      </c>
      <c r="S1838" s="34">
        <v>42175</v>
      </c>
      <c r="T1838" s="34">
        <v>42178</v>
      </c>
      <c r="U1838" s="29">
        <v>756.67470000000003</v>
      </c>
      <c r="V1838" s="26">
        <v>18</v>
      </c>
      <c r="W1838" s="29">
        <v>1096.6300000000001</v>
      </c>
      <c r="X1838" s="26">
        <v>86165</v>
      </c>
      <c r="Y1838" s="35">
        <v>195.92000000000002</v>
      </c>
      <c r="Z1838" s="1" t="s">
        <v>3014</v>
      </c>
      <c r="AA1838" s="36">
        <v>64.540800000000004</v>
      </c>
      <c r="AB1838" s="54">
        <v>471.55090000000013</v>
      </c>
      <c r="AC1838" s="54">
        <v>34.726616666666665</v>
      </c>
      <c r="AD1838" s="36">
        <v>265.70450000000005</v>
      </c>
    </row>
    <row r="1839" spans="1:30" s="37" customFormat="1" ht="15.75" customHeight="1" x14ac:dyDescent="0.2">
      <c r="A1839" s="26">
        <v>2352</v>
      </c>
      <c r="B1839" s="27" t="s">
        <v>2918</v>
      </c>
      <c r="C1839" s="27" t="s">
        <v>26</v>
      </c>
      <c r="D1839" s="28">
        <v>7.0000000000000007E-2</v>
      </c>
      <c r="E1839" s="29">
        <v>195.99</v>
      </c>
      <c r="F1839" s="29">
        <v>4.2</v>
      </c>
      <c r="G1839" s="30" t="s">
        <v>39</v>
      </c>
      <c r="H1839" s="27" t="s">
        <v>40</v>
      </c>
      <c r="I1839" s="27" t="s">
        <v>41</v>
      </c>
      <c r="J1839" s="27" t="s">
        <v>135</v>
      </c>
      <c r="K1839" s="27" t="s">
        <v>73</v>
      </c>
      <c r="L1839" s="31" t="s">
        <v>2828</v>
      </c>
      <c r="M1839" s="32">
        <v>0.56000000000000005</v>
      </c>
      <c r="N1839" s="27" t="s">
        <v>33</v>
      </c>
      <c r="O1839" s="27" t="s">
        <v>111</v>
      </c>
      <c r="P1839" s="27" t="s">
        <v>418</v>
      </c>
      <c r="Q1839" s="27" t="s">
        <v>2919</v>
      </c>
      <c r="R1839" s="33">
        <v>21501</v>
      </c>
      <c r="S1839" s="34">
        <v>42175</v>
      </c>
      <c r="T1839" s="34">
        <v>42178</v>
      </c>
      <c r="U1839" s="29">
        <v>-222.34299999999999</v>
      </c>
      <c r="V1839" s="26">
        <v>4</v>
      </c>
      <c r="W1839" s="29">
        <v>632.12</v>
      </c>
      <c r="X1839" s="26">
        <v>86165</v>
      </c>
      <c r="Y1839" s="35">
        <v>175.9</v>
      </c>
      <c r="Z1839" s="1" t="s">
        <v>3014</v>
      </c>
      <c r="AA1839" s="36">
        <v>54.877200000000009</v>
      </c>
      <c r="AB1839" s="54">
        <v>278.13279999999997</v>
      </c>
      <c r="AC1839" s="54">
        <v>88.496800000000007</v>
      </c>
      <c r="AD1839" s="36">
        <v>795.38580000000002</v>
      </c>
    </row>
    <row r="1840" spans="1:30" s="37" customFormat="1" ht="15.75" customHeight="1" x14ac:dyDescent="0.2">
      <c r="A1840" s="26">
        <v>896</v>
      </c>
      <c r="B1840" s="27" t="s">
        <v>375</v>
      </c>
      <c r="C1840" s="27" t="s">
        <v>26</v>
      </c>
      <c r="D1840" s="28">
        <v>0.06</v>
      </c>
      <c r="E1840" s="29">
        <v>47.98</v>
      </c>
      <c r="F1840" s="29">
        <v>3.61</v>
      </c>
      <c r="G1840" s="30" t="s">
        <v>39</v>
      </c>
      <c r="H1840" s="27" t="s">
        <v>94</v>
      </c>
      <c r="I1840" s="27" t="s">
        <v>41</v>
      </c>
      <c r="J1840" s="27" t="s">
        <v>42</v>
      </c>
      <c r="K1840" s="27" t="s">
        <v>43</v>
      </c>
      <c r="L1840" s="31" t="s">
        <v>1239</v>
      </c>
      <c r="M1840" s="32">
        <v>0.71</v>
      </c>
      <c r="N1840" s="27" t="s">
        <v>33</v>
      </c>
      <c r="O1840" s="27" t="s">
        <v>53</v>
      </c>
      <c r="P1840" s="27" t="s">
        <v>187</v>
      </c>
      <c r="Q1840" s="27" t="s">
        <v>376</v>
      </c>
      <c r="R1840" s="33">
        <v>76201</v>
      </c>
      <c r="S1840" s="34">
        <v>42175</v>
      </c>
      <c r="T1840" s="34">
        <v>42177</v>
      </c>
      <c r="U1840" s="29">
        <v>35.954999999999998</v>
      </c>
      <c r="V1840" s="26">
        <v>11</v>
      </c>
      <c r="W1840" s="29">
        <v>517.67999999999995</v>
      </c>
      <c r="X1840" s="26">
        <v>90167</v>
      </c>
      <c r="Y1840" s="35">
        <v>160.88999999999999</v>
      </c>
      <c r="Z1840" s="1" t="s">
        <v>3012</v>
      </c>
      <c r="AA1840" s="36">
        <v>31.666799999999995</v>
      </c>
      <c r="AB1840" s="54">
        <v>150.12720000000002</v>
      </c>
      <c r="AC1840" s="54">
        <v>33.413890909090902</v>
      </c>
      <c r="AD1840" s="36">
        <v>446.44819999999993</v>
      </c>
    </row>
    <row r="1841" spans="1:30" s="37" customFormat="1" ht="15.75" customHeight="1" x14ac:dyDescent="0.2">
      <c r="A1841" s="26">
        <v>491</v>
      </c>
      <c r="B1841" s="27" t="s">
        <v>1073</v>
      </c>
      <c r="C1841" s="27" t="s">
        <v>3094</v>
      </c>
      <c r="D1841" s="28">
        <v>0.02</v>
      </c>
      <c r="E1841" s="29">
        <v>9.06</v>
      </c>
      <c r="F1841" s="29">
        <v>9.86</v>
      </c>
      <c r="G1841" s="30" t="s">
        <v>39</v>
      </c>
      <c r="H1841" s="27" t="s">
        <v>40</v>
      </c>
      <c r="I1841" s="27" t="s">
        <v>49</v>
      </c>
      <c r="J1841" s="27" t="s">
        <v>88</v>
      </c>
      <c r="K1841" s="27" t="s">
        <v>73</v>
      </c>
      <c r="L1841" s="31" t="s">
        <v>2286</v>
      </c>
      <c r="M1841" s="32">
        <v>0.4</v>
      </c>
      <c r="N1841" s="27" t="s">
        <v>33</v>
      </c>
      <c r="O1841" s="27" t="s">
        <v>111</v>
      </c>
      <c r="P1841" s="27" t="s">
        <v>112</v>
      </c>
      <c r="Q1841" s="27" t="s">
        <v>113</v>
      </c>
      <c r="R1841" s="33">
        <v>10154</v>
      </c>
      <c r="S1841" s="34">
        <v>42175</v>
      </c>
      <c r="T1841" s="34">
        <v>42177</v>
      </c>
      <c r="U1841" s="29">
        <v>-63.51</v>
      </c>
      <c r="V1841" s="26">
        <v>24</v>
      </c>
      <c r="W1841" s="29">
        <v>239.82</v>
      </c>
      <c r="X1841" s="26">
        <v>42852</v>
      </c>
      <c r="Y1841" s="35">
        <v>10.91</v>
      </c>
      <c r="Z1841" s="1" t="s">
        <v>3014</v>
      </c>
      <c r="AA1841" s="36">
        <v>4.3487999999999998</v>
      </c>
      <c r="AB1841" s="54">
        <v>143.892</v>
      </c>
      <c r="AC1841" s="54">
        <v>3.9969999999999999</v>
      </c>
      <c r="AD1841" s="36">
        <v>289.12119999999999</v>
      </c>
    </row>
    <row r="1842" spans="1:30" s="37" customFormat="1" ht="15.75" customHeight="1" x14ac:dyDescent="0.2">
      <c r="A1842" s="26">
        <v>1432</v>
      </c>
      <c r="B1842" s="27" t="s">
        <v>1510</v>
      </c>
      <c r="C1842" s="27" t="s">
        <v>48</v>
      </c>
      <c r="D1842" s="28">
        <v>7.0000000000000007E-2</v>
      </c>
      <c r="E1842" s="29">
        <v>10.98</v>
      </c>
      <c r="F1842" s="29">
        <v>4.8</v>
      </c>
      <c r="G1842" s="30" t="s">
        <v>39</v>
      </c>
      <c r="H1842" s="27" t="s">
        <v>94</v>
      </c>
      <c r="I1842" s="27" t="s">
        <v>49</v>
      </c>
      <c r="J1842" s="27" t="s">
        <v>345</v>
      </c>
      <c r="K1842" s="27" t="s">
        <v>73</v>
      </c>
      <c r="L1842" s="31" t="s">
        <v>1481</v>
      </c>
      <c r="M1842" s="32">
        <v>0.36</v>
      </c>
      <c r="N1842" s="27" t="s">
        <v>33</v>
      </c>
      <c r="O1842" s="27" t="s">
        <v>53</v>
      </c>
      <c r="P1842" s="27" t="s">
        <v>54</v>
      </c>
      <c r="Q1842" s="27" t="s">
        <v>1512</v>
      </c>
      <c r="R1842" s="33">
        <v>46203</v>
      </c>
      <c r="S1842" s="34">
        <v>42175</v>
      </c>
      <c r="T1842" s="34">
        <v>42182</v>
      </c>
      <c r="U1842" s="29">
        <v>52.92</v>
      </c>
      <c r="V1842" s="26">
        <v>16</v>
      </c>
      <c r="W1842" s="29">
        <v>165.21</v>
      </c>
      <c r="X1842" s="26">
        <v>86827</v>
      </c>
      <c r="Y1842" s="35">
        <v>9.0400000000000009</v>
      </c>
      <c r="Z1842" s="1" t="s">
        <v>3012</v>
      </c>
      <c r="AA1842" s="36">
        <v>12.297600000000001</v>
      </c>
      <c r="AB1842" s="54">
        <v>105.73440000000001</v>
      </c>
      <c r="AC1842" s="54">
        <v>3.717225</v>
      </c>
      <c r="AD1842" s="36">
        <v>95.192400000000006</v>
      </c>
    </row>
    <row r="1843" spans="1:30" s="37" customFormat="1" ht="15.75" customHeight="1" x14ac:dyDescent="0.2">
      <c r="A1843" s="26">
        <v>1424</v>
      </c>
      <c r="B1843" s="27" t="s">
        <v>437</v>
      </c>
      <c r="C1843" s="27" t="s">
        <v>3094</v>
      </c>
      <c r="D1843" s="28">
        <v>0.05</v>
      </c>
      <c r="E1843" s="29">
        <v>8.0399999999999991</v>
      </c>
      <c r="F1843" s="29">
        <v>8.94</v>
      </c>
      <c r="G1843" s="30" t="s">
        <v>39</v>
      </c>
      <c r="H1843" s="27" t="s">
        <v>71</v>
      </c>
      <c r="I1843" s="27" t="s">
        <v>49</v>
      </c>
      <c r="J1843" s="27" t="s">
        <v>72</v>
      </c>
      <c r="K1843" s="27" t="s">
        <v>73</v>
      </c>
      <c r="L1843" s="31" t="s">
        <v>2149</v>
      </c>
      <c r="M1843" s="32">
        <v>0.4</v>
      </c>
      <c r="N1843" s="27" t="s">
        <v>33</v>
      </c>
      <c r="O1843" s="27" t="s">
        <v>60</v>
      </c>
      <c r="P1843" s="27" t="s">
        <v>61</v>
      </c>
      <c r="Q1843" s="27" t="s">
        <v>439</v>
      </c>
      <c r="R1843" s="33">
        <v>80112</v>
      </c>
      <c r="S1843" s="34">
        <v>42175</v>
      </c>
      <c r="T1843" s="34">
        <v>42177</v>
      </c>
      <c r="U1843" s="29">
        <v>-164.3948</v>
      </c>
      <c r="V1843" s="26">
        <v>15</v>
      </c>
      <c r="W1843" s="29">
        <v>121.36</v>
      </c>
      <c r="X1843" s="26">
        <v>89449</v>
      </c>
      <c r="Y1843" s="35">
        <v>9.0400000000000009</v>
      </c>
      <c r="Z1843" s="1" t="s">
        <v>3013</v>
      </c>
      <c r="AA1843" s="36">
        <v>6.0299999999999994</v>
      </c>
      <c r="AB1843" s="54">
        <v>72.816000000000003</v>
      </c>
      <c r="AC1843" s="54">
        <v>3.2362666666666673</v>
      </c>
      <c r="AD1843" s="36">
        <v>270.78480000000002</v>
      </c>
    </row>
    <row r="1844" spans="1:30" s="37" customFormat="1" ht="15.75" customHeight="1" x14ac:dyDescent="0.2">
      <c r="A1844" s="26">
        <v>494</v>
      </c>
      <c r="B1844" s="27" t="s">
        <v>1074</v>
      </c>
      <c r="C1844" s="27" t="s">
        <v>3094</v>
      </c>
      <c r="D1844" s="28">
        <v>0.02</v>
      </c>
      <c r="E1844" s="29">
        <v>9.06</v>
      </c>
      <c r="F1844" s="29">
        <v>9.86</v>
      </c>
      <c r="G1844" s="30" t="s">
        <v>39</v>
      </c>
      <c r="H1844" s="27" t="s">
        <v>40</v>
      </c>
      <c r="I1844" s="27" t="s">
        <v>49</v>
      </c>
      <c r="J1844" s="27" t="s">
        <v>88</v>
      </c>
      <c r="K1844" s="27" t="s">
        <v>73</v>
      </c>
      <c r="L1844" s="31" t="s">
        <v>2286</v>
      </c>
      <c r="M1844" s="32">
        <v>0.4</v>
      </c>
      <c r="N1844" s="27" t="s">
        <v>33</v>
      </c>
      <c r="O1844" s="27" t="s">
        <v>60</v>
      </c>
      <c r="P1844" s="27" t="s">
        <v>67</v>
      </c>
      <c r="Q1844" s="27" t="s">
        <v>142</v>
      </c>
      <c r="R1844" s="33">
        <v>98115</v>
      </c>
      <c r="S1844" s="34">
        <v>42175</v>
      </c>
      <c r="T1844" s="34">
        <v>42177</v>
      </c>
      <c r="U1844" s="29">
        <v>-31.754999999999999</v>
      </c>
      <c r="V1844" s="26">
        <v>6</v>
      </c>
      <c r="W1844" s="29">
        <v>59.95</v>
      </c>
      <c r="X1844" s="26">
        <v>88908</v>
      </c>
      <c r="Y1844" s="35">
        <v>7.9899999999999993</v>
      </c>
      <c r="Z1844" s="1" t="s">
        <v>3013</v>
      </c>
      <c r="AA1844" s="36">
        <v>1.0871999999999999</v>
      </c>
      <c r="AB1844" s="54">
        <v>35.97</v>
      </c>
      <c r="AC1844" s="54">
        <v>3.996666666666667</v>
      </c>
      <c r="AD1844" s="36">
        <v>80.757800000000003</v>
      </c>
    </row>
    <row r="1845" spans="1:30" s="37" customFormat="1" ht="15.75" customHeight="1" x14ac:dyDescent="0.2">
      <c r="A1845" s="26">
        <v>2487</v>
      </c>
      <c r="B1845" s="27" t="s">
        <v>2746</v>
      </c>
      <c r="C1845" s="27" t="s">
        <v>3094</v>
      </c>
      <c r="D1845" s="28">
        <v>0.1</v>
      </c>
      <c r="E1845" s="29">
        <v>2.78</v>
      </c>
      <c r="F1845" s="29">
        <v>1.25</v>
      </c>
      <c r="G1845" s="30" t="s">
        <v>39</v>
      </c>
      <c r="H1845" s="27" t="s">
        <v>3095</v>
      </c>
      <c r="I1845" s="27" t="s">
        <v>49</v>
      </c>
      <c r="J1845" s="27" t="s">
        <v>50</v>
      </c>
      <c r="K1845" s="27" t="s">
        <v>51</v>
      </c>
      <c r="L1845" s="31" t="s">
        <v>382</v>
      </c>
      <c r="M1845" s="32">
        <v>0.59</v>
      </c>
      <c r="N1845" s="27" t="s">
        <v>33</v>
      </c>
      <c r="O1845" s="27" t="s">
        <v>34</v>
      </c>
      <c r="P1845" s="27" t="s">
        <v>75</v>
      </c>
      <c r="Q1845" s="27" t="s">
        <v>2747</v>
      </c>
      <c r="R1845" s="33">
        <v>30084</v>
      </c>
      <c r="S1845" s="34">
        <v>42175</v>
      </c>
      <c r="T1845" s="34">
        <v>42176</v>
      </c>
      <c r="U1845" s="29">
        <v>0.78539999999999999</v>
      </c>
      <c r="V1845" s="26">
        <v>18</v>
      </c>
      <c r="W1845" s="29">
        <v>46.42</v>
      </c>
      <c r="X1845" s="26">
        <v>91415</v>
      </c>
      <c r="Y1845" s="35">
        <v>3.04</v>
      </c>
      <c r="Z1845" s="1" t="s">
        <v>3011</v>
      </c>
      <c r="AA1845" s="36">
        <v>5.0039999999999996</v>
      </c>
      <c r="AB1845" s="54">
        <v>19.032200000000003</v>
      </c>
      <c r="AC1845" s="54">
        <v>1.5215444444444444</v>
      </c>
      <c r="AD1845" s="36">
        <v>39.380600000000001</v>
      </c>
    </row>
    <row r="1846" spans="1:30" s="37" customFormat="1" ht="15.75" customHeight="1" x14ac:dyDescent="0.2">
      <c r="A1846" s="26">
        <v>2487</v>
      </c>
      <c r="B1846" s="27" t="s">
        <v>2746</v>
      </c>
      <c r="C1846" s="27" t="s">
        <v>3094</v>
      </c>
      <c r="D1846" s="28">
        <v>0.04</v>
      </c>
      <c r="E1846" s="29">
        <v>3.08</v>
      </c>
      <c r="F1846" s="29">
        <v>0.99</v>
      </c>
      <c r="G1846" s="30" t="s">
        <v>39</v>
      </c>
      <c r="H1846" s="27" t="s">
        <v>3095</v>
      </c>
      <c r="I1846" s="27" t="s">
        <v>49</v>
      </c>
      <c r="J1846" s="27" t="s">
        <v>152</v>
      </c>
      <c r="K1846" s="27" t="s">
        <v>73</v>
      </c>
      <c r="L1846" s="31" t="s">
        <v>658</v>
      </c>
      <c r="M1846" s="32">
        <v>0.37</v>
      </c>
      <c r="N1846" s="27" t="s">
        <v>33</v>
      </c>
      <c r="O1846" s="27" t="s">
        <v>34</v>
      </c>
      <c r="P1846" s="27" t="s">
        <v>75</v>
      </c>
      <c r="Q1846" s="27" t="s">
        <v>2747</v>
      </c>
      <c r="R1846" s="33">
        <v>30084</v>
      </c>
      <c r="S1846" s="34">
        <v>42175</v>
      </c>
      <c r="T1846" s="34">
        <v>42176</v>
      </c>
      <c r="U1846" s="29">
        <v>257.08319999999998</v>
      </c>
      <c r="V1846" s="26">
        <v>14</v>
      </c>
      <c r="W1846" s="29">
        <v>43.41</v>
      </c>
      <c r="X1846" s="26">
        <v>91415</v>
      </c>
      <c r="Y1846" s="35">
        <v>2.6799999999999997</v>
      </c>
      <c r="Z1846" s="1" t="s">
        <v>3011</v>
      </c>
      <c r="AA1846" s="36">
        <v>1.7248000000000001</v>
      </c>
      <c r="AB1846" s="54">
        <v>27.348299999999998</v>
      </c>
      <c r="AC1846" s="54">
        <v>1.1472642857142856</v>
      </c>
      <c r="AD1846" s="36">
        <v>-216.38800000000001</v>
      </c>
    </row>
    <row r="1847" spans="1:30" s="37" customFormat="1" ht="15.75" customHeight="1" x14ac:dyDescent="0.2">
      <c r="A1847" s="26">
        <v>2305</v>
      </c>
      <c r="B1847" s="27" t="s">
        <v>2928</v>
      </c>
      <c r="C1847" s="27" t="s">
        <v>38</v>
      </c>
      <c r="D1847" s="28">
        <v>0</v>
      </c>
      <c r="E1847" s="29">
        <v>90.48</v>
      </c>
      <c r="F1847" s="29">
        <v>19.989999999999998</v>
      </c>
      <c r="G1847" s="30" t="s">
        <v>39</v>
      </c>
      <c r="H1847" s="27" t="s">
        <v>3095</v>
      </c>
      <c r="I1847" s="27" t="s">
        <v>49</v>
      </c>
      <c r="J1847" s="27" t="s">
        <v>345</v>
      </c>
      <c r="K1847" s="27" t="s">
        <v>73</v>
      </c>
      <c r="L1847" s="31" t="s">
        <v>502</v>
      </c>
      <c r="M1847" s="32">
        <v>0.4</v>
      </c>
      <c r="N1847" s="27" t="s">
        <v>33</v>
      </c>
      <c r="O1847" s="27" t="s">
        <v>53</v>
      </c>
      <c r="P1847" s="27" t="s">
        <v>1071</v>
      </c>
      <c r="Q1847" s="27" t="s">
        <v>130</v>
      </c>
      <c r="R1847" s="33">
        <v>57201</v>
      </c>
      <c r="S1847" s="34">
        <v>42176</v>
      </c>
      <c r="T1847" s="34">
        <v>42179</v>
      </c>
      <c r="U1847" s="29">
        <v>800.25509999999997</v>
      </c>
      <c r="V1847" s="26">
        <v>12</v>
      </c>
      <c r="W1847" s="29">
        <v>1159.79</v>
      </c>
      <c r="X1847" s="26">
        <v>89869</v>
      </c>
      <c r="Y1847" s="35">
        <v>2.81</v>
      </c>
      <c r="Z1847" s="1" t="s">
        <v>3012</v>
      </c>
      <c r="AA1847" s="36">
        <v>0</v>
      </c>
      <c r="AB1847" s="54">
        <v>695.87399999999991</v>
      </c>
      <c r="AC1847" s="54">
        <v>38.659666666666666</v>
      </c>
      <c r="AD1847" s="36">
        <v>339.54489999999998</v>
      </c>
    </row>
    <row r="1848" spans="1:30" s="37" customFormat="1" ht="15.75" customHeight="1" x14ac:dyDescent="0.2">
      <c r="A1848" s="26">
        <v>2713</v>
      </c>
      <c r="B1848" s="27" t="s">
        <v>2922</v>
      </c>
      <c r="C1848" s="27" t="s">
        <v>26</v>
      </c>
      <c r="D1848" s="28">
        <v>0.03</v>
      </c>
      <c r="E1848" s="29">
        <v>348.21</v>
      </c>
      <c r="F1848" s="29">
        <v>40.19</v>
      </c>
      <c r="G1848" s="30" t="s">
        <v>27</v>
      </c>
      <c r="H1848" s="27" t="s">
        <v>94</v>
      </c>
      <c r="I1848" s="27" t="s">
        <v>29</v>
      </c>
      <c r="J1848" s="27" t="s">
        <v>30</v>
      </c>
      <c r="K1848" s="27" t="s">
        <v>31</v>
      </c>
      <c r="L1848" s="31" t="s">
        <v>32</v>
      </c>
      <c r="M1848" s="32">
        <v>0.62</v>
      </c>
      <c r="N1848" s="27" t="s">
        <v>33</v>
      </c>
      <c r="O1848" s="27" t="s">
        <v>53</v>
      </c>
      <c r="P1848" s="27" t="s">
        <v>289</v>
      </c>
      <c r="Q1848" s="27" t="s">
        <v>2924</v>
      </c>
      <c r="R1848" s="33">
        <v>49001</v>
      </c>
      <c r="S1848" s="34">
        <v>42176</v>
      </c>
      <c r="T1848" s="34">
        <v>42177</v>
      </c>
      <c r="U1848" s="29">
        <v>-178.86959999999999</v>
      </c>
      <c r="V1848" s="26">
        <v>2</v>
      </c>
      <c r="W1848" s="29">
        <v>736.16</v>
      </c>
      <c r="X1848" s="26">
        <v>88701</v>
      </c>
      <c r="Y1848" s="35">
        <v>348.18</v>
      </c>
      <c r="Z1848" s="1" t="s">
        <v>3012</v>
      </c>
      <c r="AA1848" s="36">
        <v>20.892599999999998</v>
      </c>
      <c r="AB1848" s="54">
        <v>279.74079999999998</v>
      </c>
      <c r="AC1848" s="54">
        <v>228.20959999999999</v>
      </c>
      <c r="AD1848" s="36">
        <v>853.947</v>
      </c>
    </row>
    <row r="1849" spans="1:30" s="37" customFormat="1" ht="15.75" customHeight="1" x14ac:dyDescent="0.2">
      <c r="A1849" s="26">
        <v>2049</v>
      </c>
      <c r="B1849" s="27" t="s">
        <v>2925</v>
      </c>
      <c r="C1849" s="27" t="s">
        <v>38</v>
      </c>
      <c r="D1849" s="28">
        <v>0.03</v>
      </c>
      <c r="E1849" s="29">
        <v>15.28</v>
      </c>
      <c r="F1849" s="29">
        <v>1.99</v>
      </c>
      <c r="G1849" s="30" t="s">
        <v>39</v>
      </c>
      <c r="H1849" s="27" t="s">
        <v>94</v>
      </c>
      <c r="I1849" s="27" t="s">
        <v>41</v>
      </c>
      <c r="J1849" s="27" t="s">
        <v>42</v>
      </c>
      <c r="K1849" s="27" t="s">
        <v>43</v>
      </c>
      <c r="L1849" s="31" t="s">
        <v>512</v>
      </c>
      <c r="M1849" s="32">
        <v>0.42</v>
      </c>
      <c r="N1849" s="27" t="s">
        <v>33</v>
      </c>
      <c r="O1849" s="27" t="s">
        <v>34</v>
      </c>
      <c r="P1849" s="27" t="s">
        <v>242</v>
      </c>
      <c r="Q1849" s="27" t="s">
        <v>2926</v>
      </c>
      <c r="R1849" s="33">
        <v>22801</v>
      </c>
      <c r="S1849" s="34">
        <v>42176</v>
      </c>
      <c r="T1849" s="34">
        <v>42178</v>
      </c>
      <c r="U1849" s="29">
        <v>-266.68599999999998</v>
      </c>
      <c r="V1849" s="26">
        <v>19</v>
      </c>
      <c r="W1849" s="29">
        <v>290.98</v>
      </c>
      <c r="X1849" s="26">
        <v>88220</v>
      </c>
      <c r="Y1849" s="35">
        <v>15.25</v>
      </c>
      <c r="Z1849" s="1" t="s">
        <v>3011</v>
      </c>
      <c r="AA1849" s="36">
        <v>8.7096</v>
      </c>
      <c r="AB1849" s="54">
        <v>168.76840000000004</v>
      </c>
      <c r="AC1849" s="54">
        <v>6.4321894736842102</v>
      </c>
      <c r="AD1849" s="36">
        <v>546.96640000000002</v>
      </c>
    </row>
    <row r="1850" spans="1:30" s="37" customFormat="1" ht="15.75" customHeight="1" x14ac:dyDescent="0.2">
      <c r="A1850" s="26">
        <v>792</v>
      </c>
      <c r="B1850" s="27" t="s">
        <v>2931</v>
      </c>
      <c r="C1850" s="27" t="s">
        <v>3094</v>
      </c>
      <c r="D1850" s="28">
        <v>0.09</v>
      </c>
      <c r="E1850" s="29">
        <v>6.48</v>
      </c>
      <c r="F1850" s="29">
        <v>9.68</v>
      </c>
      <c r="G1850" s="30" t="s">
        <v>39</v>
      </c>
      <c r="H1850" s="27" t="s">
        <v>94</v>
      </c>
      <c r="I1850" s="27" t="s">
        <v>49</v>
      </c>
      <c r="J1850" s="27" t="s">
        <v>88</v>
      </c>
      <c r="K1850" s="27" t="s">
        <v>73</v>
      </c>
      <c r="L1850" s="31" t="s">
        <v>2932</v>
      </c>
      <c r="M1850" s="32">
        <v>0.36</v>
      </c>
      <c r="N1850" s="27" t="s">
        <v>33</v>
      </c>
      <c r="O1850" s="27" t="s">
        <v>53</v>
      </c>
      <c r="P1850" s="27" t="s">
        <v>207</v>
      </c>
      <c r="Q1850" s="27" t="s">
        <v>2933</v>
      </c>
      <c r="R1850" s="33">
        <v>73064</v>
      </c>
      <c r="S1850" s="34">
        <v>42176</v>
      </c>
      <c r="T1850" s="34">
        <v>42177</v>
      </c>
      <c r="U1850" s="29">
        <v>-204.16</v>
      </c>
      <c r="V1850" s="26">
        <v>16</v>
      </c>
      <c r="W1850" s="29">
        <v>99.92</v>
      </c>
      <c r="X1850" s="26">
        <v>88753</v>
      </c>
      <c r="Y1850" s="35">
        <v>1.67</v>
      </c>
      <c r="Z1850" s="1" t="s">
        <v>3012</v>
      </c>
      <c r="AA1850" s="36">
        <v>9.3312000000000008</v>
      </c>
      <c r="AB1850" s="54">
        <v>63.948800000000006</v>
      </c>
      <c r="AC1850" s="54">
        <v>2.2481999999999998</v>
      </c>
      <c r="AD1850" s="36">
        <v>285.06880000000001</v>
      </c>
    </row>
    <row r="1851" spans="1:30" s="37" customFormat="1" ht="15.75" customHeight="1" x14ac:dyDescent="0.2">
      <c r="A1851" s="26">
        <v>648</v>
      </c>
      <c r="B1851" s="27" t="s">
        <v>2929</v>
      </c>
      <c r="C1851" s="27" t="s">
        <v>3094</v>
      </c>
      <c r="D1851" s="28">
        <v>0.02</v>
      </c>
      <c r="E1851" s="29">
        <v>25.38</v>
      </c>
      <c r="F1851" s="29">
        <v>8.99</v>
      </c>
      <c r="G1851" s="30" t="s">
        <v>39</v>
      </c>
      <c r="H1851" s="27" t="s">
        <v>71</v>
      </c>
      <c r="I1851" s="27" t="s">
        <v>29</v>
      </c>
      <c r="J1851" s="27" t="s">
        <v>126</v>
      </c>
      <c r="K1851" s="27" t="s">
        <v>43</v>
      </c>
      <c r="L1851" s="31" t="s">
        <v>2385</v>
      </c>
      <c r="M1851" s="32">
        <v>0.5</v>
      </c>
      <c r="N1851" s="27" t="s">
        <v>33</v>
      </c>
      <c r="O1851" s="27" t="s">
        <v>53</v>
      </c>
      <c r="P1851" s="27" t="s">
        <v>103</v>
      </c>
      <c r="Q1851" s="27" t="s">
        <v>2930</v>
      </c>
      <c r="R1851" s="33">
        <v>60440</v>
      </c>
      <c r="S1851" s="34">
        <v>42176</v>
      </c>
      <c r="T1851" s="34">
        <v>42177</v>
      </c>
      <c r="U1851" s="29">
        <v>-10.36</v>
      </c>
      <c r="V1851" s="26">
        <v>1</v>
      </c>
      <c r="W1851" s="29">
        <v>34.11</v>
      </c>
      <c r="X1851" s="26">
        <v>91365</v>
      </c>
      <c r="Y1851" s="35">
        <v>90.48</v>
      </c>
      <c r="Z1851" s="1" t="s">
        <v>3012</v>
      </c>
      <c r="AA1851" s="36">
        <v>0.50759999999999994</v>
      </c>
      <c r="AB1851" s="54">
        <v>17.055</v>
      </c>
      <c r="AC1851" s="54">
        <v>17.055</v>
      </c>
      <c r="AD1851" s="36">
        <v>34.9724</v>
      </c>
    </row>
    <row r="1852" spans="1:30" s="37" customFormat="1" ht="15.75" customHeight="1" x14ac:dyDescent="0.2">
      <c r="A1852" s="26">
        <v>2713</v>
      </c>
      <c r="B1852" s="27" t="s">
        <v>2922</v>
      </c>
      <c r="C1852" s="27" t="s">
        <v>26</v>
      </c>
      <c r="D1852" s="28">
        <v>7.0000000000000007E-2</v>
      </c>
      <c r="E1852" s="29">
        <v>2.88</v>
      </c>
      <c r="F1852" s="29">
        <v>0.5</v>
      </c>
      <c r="G1852" s="30" t="s">
        <v>39</v>
      </c>
      <c r="H1852" s="27" t="s">
        <v>94</v>
      </c>
      <c r="I1852" s="27" t="s">
        <v>49</v>
      </c>
      <c r="J1852" s="27" t="s">
        <v>152</v>
      </c>
      <c r="K1852" s="27" t="s">
        <v>73</v>
      </c>
      <c r="L1852" s="31" t="s">
        <v>2923</v>
      </c>
      <c r="M1852" s="32">
        <v>0.39</v>
      </c>
      <c r="N1852" s="27" t="s">
        <v>33</v>
      </c>
      <c r="O1852" s="27" t="s">
        <v>53</v>
      </c>
      <c r="P1852" s="27" t="s">
        <v>289</v>
      </c>
      <c r="Q1852" s="27" t="s">
        <v>2924</v>
      </c>
      <c r="R1852" s="33">
        <v>49001</v>
      </c>
      <c r="S1852" s="34">
        <v>42176</v>
      </c>
      <c r="T1852" s="34">
        <v>42179</v>
      </c>
      <c r="U1852" s="29">
        <v>17.429400000000001</v>
      </c>
      <c r="V1852" s="26">
        <v>9</v>
      </c>
      <c r="W1852" s="29">
        <v>25.26</v>
      </c>
      <c r="X1852" s="26">
        <v>88701</v>
      </c>
      <c r="Y1852" s="35">
        <v>25.36</v>
      </c>
      <c r="Z1852" s="1" t="s">
        <v>3012</v>
      </c>
      <c r="AA1852" s="36">
        <v>1.8144</v>
      </c>
      <c r="AB1852" s="54">
        <v>15.4086</v>
      </c>
      <c r="AC1852" s="54">
        <v>1.0946</v>
      </c>
      <c r="AD1852" s="36">
        <v>5.5162000000000013</v>
      </c>
    </row>
    <row r="1853" spans="1:30" s="37" customFormat="1" ht="15.75" customHeight="1" x14ac:dyDescent="0.2">
      <c r="A1853" s="26">
        <v>2049</v>
      </c>
      <c r="B1853" s="27" t="s">
        <v>2925</v>
      </c>
      <c r="C1853" s="27" t="s">
        <v>38</v>
      </c>
      <c r="D1853" s="28">
        <v>0.09</v>
      </c>
      <c r="E1853" s="29">
        <v>1.76</v>
      </c>
      <c r="F1853" s="29">
        <v>0.7</v>
      </c>
      <c r="G1853" s="30" t="s">
        <v>39</v>
      </c>
      <c r="H1853" s="27" t="s">
        <v>94</v>
      </c>
      <c r="I1853" s="27" t="s">
        <v>49</v>
      </c>
      <c r="J1853" s="27" t="s">
        <v>50</v>
      </c>
      <c r="K1853" s="27" t="s">
        <v>51</v>
      </c>
      <c r="L1853" s="31" t="s">
        <v>2927</v>
      </c>
      <c r="M1853" s="32">
        <v>0.56000000000000005</v>
      </c>
      <c r="N1853" s="27" t="s">
        <v>33</v>
      </c>
      <c r="O1853" s="27" t="s">
        <v>34</v>
      </c>
      <c r="P1853" s="27" t="s">
        <v>242</v>
      </c>
      <c r="Q1853" s="27" t="s">
        <v>2926</v>
      </c>
      <c r="R1853" s="33">
        <v>22801</v>
      </c>
      <c r="S1853" s="34">
        <v>42176</v>
      </c>
      <c r="T1853" s="34">
        <v>42179</v>
      </c>
      <c r="U1853" s="29">
        <v>-12.278</v>
      </c>
      <c r="V1853" s="26">
        <v>13</v>
      </c>
      <c r="W1853" s="29">
        <v>21.77</v>
      </c>
      <c r="X1853" s="26">
        <v>88220</v>
      </c>
      <c r="Y1853" s="35">
        <v>6.3900000000000006</v>
      </c>
      <c r="Z1853" s="1" t="s">
        <v>3011</v>
      </c>
      <c r="AA1853" s="36">
        <v>2.0591999999999997</v>
      </c>
      <c r="AB1853" s="54">
        <v>9.5787999999999993</v>
      </c>
      <c r="AC1853" s="54">
        <v>0.93778461538461544</v>
      </c>
      <c r="AD1853" s="36">
        <v>31.288800000000002</v>
      </c>
    </row>
    <row r="1854" spans="1:30" s="37" customFormat="1" ht="15.75" customHeight="1" x14ac:dyDescent="0.2">
      <c r="A1854" s="26">
        <v>2874</v>
      </c>
      <c r="B1854" s="27" t="s">
        <v>2040</v>
      </c>
      <c r="C1854" s="27" t="s">
        <v>26</v>
      </c>
      <c r="D1854" s="28">
        <v>0.03</v>
      </c>
      <c r="E1854" s="29">
        <v>304.99</v>
      </c>
      <c r="F1854" s="29">
        <v>19.989999999999998</v>
      </c>
      <c r="G1854" s="30" t="s">
        <v>39</v>
      </c>
      <c r="H1854" s="27" t="s">
        <v>71</v>
      </c>
      <c r="I1854" s="27" t="s">
        <v>49</v>
      </c>
      <c r="J1854" s="27" t="s">
        <v>72</v>
      </c>
      <c r="K1854" s="27" t="s">
        <v>73</v>
      </c>
      <c r="L1854" s="31" t="s">
        <v>2803</v>
      </c>
      <c r="M1854" s="32">
        <v>0.4</v>
      </c>
      <c r="N1854" s="27" t="s">
        <v>33</v>
      </c>
      <c r="O1854" s="27" t="s">
        <v>53</v>
      </c>
      <c r="P1854" s="27" t="s">
        <v>133</v>
      </c>
      <c r="Q1854" s="27" t="s">
        <v>2041</v>
      </c>
      <c r="R1854" s="33">
        <v>68128</v>
      </c>
      <c r="S1854" s="34">
        <v>42177</v>
      </c>
      <c r="T1854" s="34">
        <v>42179</v>
      </c>
      <c r="U1854" s="29">
        <v>4033.6089000000002</v>
      </c>
      <c r="V1854" s="26">
        <v>19</v>
      </c>
      <c r="W1854" s="29">
        <v>5845.81</v>
      </c>
      <c r="X1854" s="26">
        <v>89874</v>
      </c>
      <c r="Y1854" s="35">
        <v>20.89</v>
      </c>
      <c r="Z1854" s="1" t="s">
        <v>3012</v>
      </c>
      <c r="AA1854" s="36">
        <v>173.84429999999998</v>
      </c>
      <c r="AB1854" s="54">
        <v>3507.4860000000003</v>
      </c>
      <c r="AC1854" s="54">
        <v>123.06968421052632</v>
      </c>
      <c r="AD1854" s="36">
        <v>1618.3668000000007</v>
      </c>
    </row>
    <row r="1855" spans="1:30" s="37" customFormat="1" ht="15.75" customHeight="1" x14ac:dyDescent="0.2">
      <c r="A1855" s="26">
        <v>522</v>
      </c>
      <c r="B1855" s="27" t="s">
        <v>2951</v>
      </c>
      <c r="C1855" s="27" t="s">
        <v>116</v>
      </c>
      <c r="D1855" s="28">
        <v>0.01</v>
      </c>
      <c r="E1855" s="29">
        <v>179.29</v>
      </c>
      <c r="F1855" s="29">
        <v>29.21</v>
      </c>
      <c r="G1855" s="30" t="s">
        <v>27</v>
      </c>
      <c r="H1855" s="27" t="s">
        <v>3095</v>
      </c>
      <c r="I1855" s="27" t="s">
        <v>29</v>
      </c>
      <c r="J1855" s="27" t="s">
        <v>30</v>
      </c>
      <c r="K1855" s="27" t="s">
        <v>31</v>
      </c>
      <c r="L1855" s="31" t="s">
        <v>543</v>
      </c>
      <c r="M1855" s="32">
        <v>0.74</v>
      </c>
      <c r="N1855" s="27" t="s">
        <v>33</v>
      </c>
      <c r="O1855" s="27" t="s">
        <v>60</v>
      </c>
      <c r="P1855" s="27" t="s">
        <v>139</v>
      </c>
      <c r="Q1855" s="27" t="s">
        <v>842</v>
      </c>
      <c r="R1855" s="33">
        <v>97756</v>
      </c>
      <c r="S1855" s="34">
        <v>42177</v>
      </c>
      <c r="T1855" s="34">
        <v>42178</v>
      </c>
      <c r="U1855" s="29">
        <v>2800.12</v>
      </c>
      <c r="V1855" s="26">
        <v>21</v>
      </c>
      <c r="W1855" s="29">
        <v>3112.13</v>
      </c>
      <c r="X1855" s="26">
        <v>89327</v>
      </c>
      <c r="Y1855" s="35">
        <v>304.96000000000004</v>
      </c>
      <c r="Z1855" s="1" t="s">
        <v>3013</v>
      </c>
      <c r="AA1855" s="36">
        <v>37.6509</v>
      </c>
      <c r="AB1855" s="54">
        <v>809.15380000000005</v>
      </c>
      <c r="AC1855" s="54">
        <v>109.66553333333333</v>
      </c>
      <c r="AD1855" s="36">
        <v>245.14910000000009</v>
      </c>
    </row>
    <row r="1856" spans="1:30" s="37" customFormat="1" ht="15.75" customHeight="1" x14ac:dyDescent="0.2">
      <c r="A1856" s="26">
        <v>102</v>
      </c>
      <c r="B1856" s="27" t="s">
        <v>2042</v>
      </c>
      <c r="C1856" s="27" t="s">
        <v>116</v>
      </c>
      <c r="D1856" s="28">
        <v>0.1</v>
      </c>
      <c r="E1856" s="29">
        <v>19.98</v>
      </c>
      <c r="F1856" s="29">
        <v>4</v>
      </c>
      <c r="G1856" s="30" t="s">
        <v>39</v>
      </c>
      <c r="H1856" s="27" t="s">
        <v>40</v>
      </c>
      <c r="I1856" s="27" t="s">
        <v>41</v>
      </c>
      <c r="J1856" s="27" t="s">
        <v>42</v>
      </c>
      <c r="K1856" s="27" t="s">
        <v>73</v>
      </c>
      <c r="L1856" s="31" t="s">
        <v>1761</v>
      </c>
      <c r="M1856" s="32">
        <v>0.68</v>
      </c>
      <c r="N1856" s="27" t="s">
        <v>33</v>
      </c>
      <c r="O1856" s="27" t="s">
        <v>111</v>
      </c>
      <c r="P1856" s="27" t="s">
        <v>403</v>
      </c>
      <c r="Q1856" s="27" t="s">
        <v>788</v>
      </c>
      <c r="R1856" s="33">
        <v>2129</v>
      </c>
      <c r="S1856" s="34">
        <v>42177</v>
      </c>
      <c r="T1856" s="34">
        <v>42179</v>
      </c>
      <c r="U1856" s="29">
        <v>-20.25</v>
      </c>
      <c r="V1856" s="26">
        <v>65</v>
      </c>
      <c r="W1856" s="29">
        <v>1233.32</v>
      </c>
      <c r="X1856" s="26">
        <v>3397</v>
      </c>
      <c r="Y1856" s="35">
        <v>65.899999999999991</v>
      </c>
      <c r="Z1856" s="1" t="s">
        <v>3014</v>
      </c>
      <c r="AA1856" s="36">
        <v>129.87</v>
      </c>
      <c r="AB1856" s="54">
        <v>394.66239999999993</v>
      </c>
      <c r="AC1856" s="54">
        <v>12.902424615384616</v>
      </c>
      <c r="AD1856" s="36">
        <v>1119.6999999999998</v>
      </c>
    </row>
    <row r="1857" spans="1:30" s="37" customFormat="1" ht="15.75" customHeight="1" x14ac:dyDescent="0.2">
      <c r="A1857" s="26">
        <v>437</v>
      </c>
      <c r="B1857" s="27" t="s">
        <v>2940</v>
      </c>
      <c r="C1857" s="27" t="s">
        <v>48</v>
      </c>
      <c r="D1857" s="28">
        <v>0.05</v>
      </c>
      <c r="E1857" s="29">
        <v>125.99</v>
      </c>
      <c r="F1857" s="29">
        <v>8.08</v>
      </c>
      <c r="G1857" s="30" t="s">
        <v>39</v>
      </c>
      <c r="H1857" s="27" t="s">
        <v>3095</v>
      </c>
      <c r="I1857" s="27" t="s">
        <v>41</v>
      </c>
      <c r="J1857" s="27" t="s">
        <v>135</v>
      </c>
      <c r="K1857" s="27" t="s">
        <v>73</v>
      </c>
      <c r="L1857" s="31" t="s">
        <v>2113</v>
      </c>
      <c r="M1857" s="32">
        <v>0.56999999999999995</v>
      </c>
      <c r="N1857" s="27" t="s">
        <v>33</v>
      </c>
      <c r="O1857" s="27" t="s">
        <v>111</v>
      </c>
      <c r="P1857" s="27" t="s">
        <v>403</v>
      </c>
      <c r="Q1857" s="27" t="s">
        <v>2941</v>
      </c>
      <c r="R1857" s="33">
        <v>1462</v>
      </c>
      <c r="S1857" s="34">
        <v>42177</v>
      </c>
      <c r="T1857" s="34">
        <v>42182</v>
      </c>
      <c r="U1857" s="29">
        <v>427.11840000000001</v>
      </c>
      <c r="V1857" s="26">
        <v>9</v>
      </c>
      <c r="W1857" s="29">
        <v>952.26</v>
      </c>
      <c r="X1857" s="26">
        <v>90695</v>
      </c>
      <c r="Y1857" s="35">
        <v>7.9700000000000006</v>
      </c>
      <c r="Z1857" s="1" t="s">
        <v>3014</v>
      </c>
      <c r="AA1857" s="36">
        <v>56.695500000000003</v>
      </c>
      <c r="AB1857" s="54">
        <v>409.47180000000003</v>
      </c>
      <c r="AC1857" s="54">
        <v>60.309799999999996</v>
      </c>
      <c r="AD1857" s="36">
        <v>460.36610000000002</v>
      </c>
    </row>
    <row r="1858" spans="1:30" s="37" customFormat="1" ht="15.75" customHeight="1" x14ac:dyDescent="0.2">
      <c r="A1858" s="26">
        <v>2874</v>
      </c>
      <c r="B1858" s="27" t="s">
        <v>2040</v>
      </c>
      <c r="C1858" s="27" t="s">
        <v>26</v>
      </c>
      <c r="D1858" s="28">
        <v>0.09</v>
      </c>
      <c r="E1858" s="29">
        <v>65.989999999999995</v>
      </c>
      <c r="F1858" s="29">
        <v>8.99</v>
      </c>
      <c r="G1858" s="30" t="s">
        <v>39</v>
      </c>
      <c r="H1858" s="27" t="s">
        <v>71</v>
      </c>
      <c r="I1858" s="27" t="s">
        <v>41</v>
      </c>
      <c r="J1858" s="27" t="s">
        <v>135</v>
      </c>
      <c r="K1858" s="27" t="s">
        <v>73</v>
      </c>
      <c r="L1858" s="31" t="s">
        <v>2936</v>
      </c>
      <c r="M1858" s="32">
        <v>0.57999999999999996</v>
      </c>
      <c r="N1858" s="27" t="s">
        <v>33</v>
      </c>
      <c r="O1858" s="27" t="s">
        <v>53</v>
      </c>
      <c r="P1858" s="27" t="s">
        <v>133</v>
      </c>
      <c r="Q1858" s="27" t="s">
        <v>2041</v>
      </c>
      <c r="R1858" s="33">
        <v>68128</v>
      </c>
      <c r="S1858" s="34">
        <v>42177</v>
      </c>
      <c r="T1858" s="34">
        <v>42179</v>
      </c>
      <c r="U1858" s="29">
        <v>141.7824</v>
      </c>
      <c r="V1858" s="26">
        <v>12</v>
      </c>
      <c r="W1858" s="29">
        <v>633.85</v>
      </c>
      <c r="X1858" s="26">
        <v>89874</v>
      </c>
      <c r="Y1858" s="35">
        <v>180.88</v>
      </c>
      <c r="Z1858" s="1" t="s">
        <v>3012</v>
      </c>
      <c r="AA1858" s="36">
        <v>71.269199999999984</v>
      </c>
      <c r="AB1858" s="54">
        <v>266.21700000000004</v>
      </c>
      <c r="AC1858" s="54">
        <v>30.636083333333332</v>
      </c>
      <c r="AD1858" s="36">
        <v>411.80840000000001</v>
      </c>
    </row>
    <row r="1859" spans="1:30" s="37" customFormat="1" ht="15.75" customHeight="1" x14ac:dyDescent="0.2">
      <c r="A1859" s="26">
        <v>3132</v>
      </c>
      <c r="B1859" s="27" t="s">
        <v>2552</v>
      </c>
      <c r="C1859" s="27" t="s">
        <v>38</v>
      </c>
      <c r="D1859" s="28">
        <v>0.1</v>
      </c>
      <c r="E1859" s="29">
        <v>180.98</v>
      </c>
      <c r="F1859" s="29">
        <v>26.2</v>
      </c>
      <c r="G1859" s="30" t="s">
        <v>27</v>
      </c>
      <c r="H1859" s="27" t="s">
        <v>94</v>
      </c>
      <c r="I1859" s="27" t="s">
        <v>29</v>
      </c>
      <c r="J1859" s="27" t="s">
        <v>109</v>
      </c>
      <c r="K1859" s="27" t="s">
        <v>58</v>
      </c>
      <c r="L1859" s="31" t="s">
        <v>2274</v>
      </c>
      <c r="M1859" s="32">
        <v>0.59</v>
      </c>
      <c r="N1859" s="27" t="s">
        <v>33</v>
      </c>
      <c r="O1859" s="27" t="s">
        <v>53</v>
      </c>
      <c r="P1859" s="27" t="s">
        <v>103</v>
      </c>
      <c r="Q1859" s="27" t="s">
        <v>2554</v>
      </c>
      <c r="R1859" s="33">
        <v>60060</v>
      </c>
      <c r="S1859" s="34">
        <v>42177</v>
      </c>
      <c r="T1859" s="34">
        <v>42178</v>
      </c>
      <c r="U1859" s="29">
        <v>-64.664000000000001</v>
      </c>
      <c r="V1859" s="26">
        <v>3</v>
      </c>
      <c r="W1859" s="29">
        <v>519.41999999999996</v>
      </c>
      <c r="X1859" s="26">
        <v>86790</v>
      </c>
      <c r="Y1859" s="35">
        <v>125.94</v>
      </c>
      <c r="Z1859" s="1" t="s">
        <v>3012</v>
      </c>
      <c r="AA1859" s="36">
        <v>54.293999999999997</v>
      </c>
      <c r="AB1859" s="54">
        <v>212.9622</v>
      </c>
      <c r="AC1859" s="54">
        <v>102.15259999999999</v>
      </c>
      <c r="AD1859" s="36">
        <v>503.59</v>
      </c>
    </row>
    <row r="1860" spans="1:30" s="37" customFormat="1" ht="15.75" customHeight="1" x14ac:dyDescent="0.2">
      <c r="A1860" s="26">
        <v>522</v>
      </c>
      <c r="B1860" s="27" t="s">
        <v>2951</v>
      </c>
      <c r="C1860" s="27" t="s">
        <v>116</v>
      </c>
      <c r="D1860" s="28">
        <v>0.02</v>
      </c>
      <c r="E1860" s="29">
        <v>150.97999999999999</v>
      </c>
      <c r="F1860" s="29">
        <v>13.99</v>
      </c>
      <c r="G1860" s="30" t="s">
        <v>87</v>
      </c>
      <c r="H1860" s="27" t="s">
        <v>3095</v>
      </c>
      <c r="I1860" s="27" t="s">
        <v>41</v>
      </c>
      <c r="J1860" s="27" t="s">
        <v>57</v>
      </c>
      <c r="K1860" s="27" t="s">
        <v>144</v>
      </c>
      <c r="L1860" s="31" t="s">
        <v>782</v>
      </c>
      <c r="M1860" s="32">
        <v>0.38</v>
      </c>
      <c r="N1860" s="27" t="s">
        <v>33</v>
      </c>
      <c r="O1860" s="27" t="s">
        <v>60</v>
      </c>
      <c r="P1860" s="27" t="s">
        <v>139</v>
      </c>
      <c r="Q1860" s="27" t="s">
        <v>842</v>
      </c>
      <c r="R1860" s="33">
        <v>97756</v>
      </c>
      <c r="S1860" s="34">
        <v>42177</v>
      </c>
      <c r="T1860" s="34">
        <v>42179</v>
      </c>
      <c r="U1860" s="29">
        <v>26.1</v>
      </c>
      <c r="V1860" s="26">
        <v>3</v>
      </c>
      <c r="W1860" s="29">
        <v>480.37</v>
      </c>
      <c r="X1860" s="26">
        <v>89327</v>
      </c>
      <c r="Y1860" s="35">
        <v>4.67</v>
      </c>
      <c r="Z1860" s="1" t="s">
        <v>3013</v>
      </c>
      <c r="AA1860" s="36">
        <v>9.0587999999999997</v>
      </c>
      <c r="AB1860" s="54">
        <v>297.82940000000002</v>
      </c>
      <c r="AC1860" s="54">
        <v>60.846866666666671</v>
      </c>
      <c r="AD1860" s="36">
        <v>431.22120000000001</v>
      </c>
    </row>
    <row r="1861" spans="1:30" s="37" customFormat="1" ht="15.75" customHeight="1" x14ac:dyDescent="0.2">
      <c r="A1861" s="26">
        <v>101</v>
      </c>
      <c r="B1861" s="27" t="s">
        <v>2946</v>
      </c>
      <c r="C1861" s="27" t="s">
        <v>116</v>
      </c>
      <c r="D1861" s="28">
        <v>0.1</v>
      </c>
      <c r="E1861" s="29">
        <v>19.98</v>
      </c>
      <c r="F1861" s="29">
        <v>4</v>
      </c>
      <c r="G1861" s="30" t="s">
        <v>39</v>
      </c>
      <c r="H1861" s="27" t="s">
        <v>40</v>
      </c>
      <c r="I1861" s="27" t="s">
        <v>41</v>
      </c>
      <c r="J1861" s="27" t="s">
        <v>42</v>
      </c>
      <c r="K1861" s="27" t="s">
        <v>73</v>
      </c>
      <c r="L1861" s="31" t="s">
        <v>1761</v>
      </c>
      <c r="M1861" s="32">
        <v>0.68</v>
      </c>
      <c r="N1861" s="27" t="s">
        <v>33</v>
      </c>
      <c r="O1861" s="27" t="s">
        <v>111</v>
      </c>
      <c r="P1861" s="27" t="s">
        <v>331</v>
      </c>
      <c r="Q1861" s="27" t="s">
        <v>2947</v>
      </c>
      <c r="R1861" s="33">
        <v>4005</v>
      </c>
      <c r="S1861" s="34">
        <v>42177</v>
      </c>
      <c r="T1861" s="34">
        <v>42179</v>
      </c>
      <c r="U1861" s="29">
        <v>-16.2</v>
      </c>
      <c r="V1861" s="26">
        <v>16</v>
      </c>
      <c r="W1861" s="29">
        <v>303.58999999999997</v>
      </c>
      <c r="X1861" s="26">
        <v>88205</v>
      </c>
      <c r="Y1861" s="35">
        <v>4.1400000000000006</v>
      </c>
      <c r="Z1861" s="1" t="s">
        <v>3014</v>
      </c>
      <c r="AA1861" s="36">
        <v>31.968000000000004</v>
      </c>
      <c r="AB1861" s="54">
        <v>97.14879999999998</v>
      </c>
      <c r="AC1861" s="54">
        <v>12.902575000000001</v>
      </c>
      <c r="AD1861" s="36">
        <v>283.82199999999995</v>
      </c>
    </row>
    <row r="1862" spans="1:30" s="37" customFormat="1" ht="15.75" customHeight="1" x14ac:dyDescent="0.2">
      <c r="A1862" s="26">
        <v>1511</v>
      </c>
      <c r="B1862" s="27" t="s">
        <v>2934</v>
      </c>
      <c r="C1862" s="27" t="s">
        <v>26</v>
      </c>
      <c r="D1862" s="28">
        <v>0.09</v>
      </c>
      <c r="E1862" s="29">
        <v>20.98</v>
      </c>
      <c r="F1862" s="29">
        <v>1.49</v>
      </c>
      <c r="G1862" s="30" t="s">
        <v>39</v>
      </c>
      <c r="H1862" s="27" t="s">
        <v>94</v>
      </c>
      <c r="I1862" s="27" t="s">
        <v>49</v>
      </c>
      <c r="J1862" s="27" t="s">
        <v>72</v>
      </c>
      <c r="K1862" s="27" t="s">
        <v>73</v>
      </c>
      <c r="L1862" s="31" t="s">
        <v>2609</v>
      </c>
      <c r="M1862" s="32">
        <v>0.35</v>
      </c>
      <c r="N1862" s="27" t="s">
        <v>33</v>
      </c>
      <c r="O1862" s="27" t="s">
        <v>53</v>
      </c>
      <c r="P1862" s="27" t="s">
        <v>54</v>
      </c>
      <c r="Q1862" s="27" t="s">
        <v>2935</v>
      </c>
      <c r="R1862" s="33">
        <v>47302</v>
      </c>
      <c r="S1862" s="34">
        <v>42177</v>
      </c>
      <c r="T1862" s="34">
        <v>42179</v>
      </c>
      <c r="U1862" s="29">
        <v>199.1823</v>
      </c>
      <c r="V1862" s="26">
        <v>14</v>
      </c>
      <c r="W1862" s="29">
        <v>288.67</v>
      </c>
      <c r="X1862" s="26">
        <v>90303</v>
      </c>
      <c r="Y1862" s="35">
        <v>4.4400000000000004</v>
      </c>
      <c r="Z1862" s="1" t="s">
        <v>3012</v>
      </c>
      <c r="AA1862" s="36">
        <v>26.434799999999999</v>
      </c>
      <c r="AB1862" s="54">
        <v>187.63550000000001</v>
      </c>
      <c r="AC1862" s="54">
        <v>7.2167500000000002</v>
      </c>
      <c r="AD1862" s="36">
        <v>61.562900000000013</v>
      </c>
    </row>
    <row r="1863" spans="1:30" s="37" customFormat="1" ht="15.75" customHeight="1" x14ac:dyDescent="0.2">
      <c r="A1863" s="26">
        <v>1127</v>
      </c>
      <c r="B1863" s="27" t="s">
        <v>1345</v>
      </c>
      <c r="C1863" s="27" t="s">
        <v>48</v>
      </c>
      <c r="D1863" s="28">
        <v>0.04</v>
      </c>
      <c r="E1863" s="29">
        <v>4.71</v>
      </c>
      <c r="F1863" s="29">
        <v>0.7</v>
      </c>
      <c r="G1863" s="30" t="s">
        <v>39</v>
      </c>
      <c r="H1863" s="27" t="s">
        <v>40</v>
      </c>
      <c r="I1863" s="27" t="s">
        <v>49</v>
      </c>
      <c r="J1863" s="27" t="s">
        <v>176</v>
      </c>
      <c r="K1863" s="27" t="s">
        <v>51</v>
      </c>
      <c r="L1863" s="31" t="s">
        <v>2724</v>
      </c>
      <c r="M1863" s="32">
        <v>0.8</v>
      </c>
      <c r="N1863" s="27" t="s">
        <v>33</v>
      </c>
      <c r="O1863" s="27" t="s">
        <v>53</v>
      </c>
      <c r="P1863" s="27" t="s">
        <v>187</v>
      </c>
      <c r="Q1863" s="27" t="s">
        <v>1346</v>
      </c>
      <c r="R1863" s="33">
        <v>78852</v>
      </c>
      <c r="S1863" s="34">
        <v>42177</v>
      </c>
      <c r="T1863" s="34">
        <v>42181</v>
      </c>
      <c r="U1863" s="29">
        <v>4.53</v>
      </c>
      <c r="V1863" s="26">
        <v>19</v>
      </c>
      <c r="W1863" s="29">
        <v>90.52</v>
      </c>
      <c r="X1863" s="26">
        <v>87222</v>
      </c>
      <c r="Y1863" s="35">
        <v>19.88</v>
      </c>
      <c r="Z1863" s="1" t="s">
        <v>3012</v>
      </c>
      <c r="AA1863" s="36">
        <v>3.5796000000000001</v>
      </c>
      <c r="AB1863" s="54">
        <v>18.103999999999996</v>
      </c>
      <c r="AC1863" s="54">
        <v>3.8113684210526317</v>
      </c>
      <c r="AD1863" s="36">
        <v>81.710399999999993</v>
      </c>
    </row>
    <row r="1864" spans="1:30" s="37" customFormat="1" ht="15.75" customHeight="1" x14ac:dyDescent="0.2">
      <c r="A1864" s="26">
        <v>1128</v>
      </c>
      <c r="B1864" s="27" t="s">
        <v>2942</v>
      </c>
      <c r="C1864" s="27" t="s">
        <v>48</v>
      </c>
      <c r="D1864" s="28">
        <v>0.06</v>
      </c>
      <c r="E1864" s="29">
        <v>4.2</v>
      </c>
      <c r="F1864" s="29">
        <v>2.2599999999999998</v>
      </c>
      <c r="G1864" s="30" t="s">
        <v>39</v>
      </c>
      <c r="H1864" s="27" t="s">
        <v>40</v>
      </c>
      <c r="I1864" s="27" t="s">
        <v>49</v>
      </c>
      <c r="J1864" s="27" t="s">
        <v>88</v>
      </c>
      <c r="K1864" s="27" t="s">
        <v>51</v>
      </c>
      <c r="L1864" s="31" t="s">
        <v>596</v>
      </c>
      <c r="M1864" s="32">
        <v>0.36</v>
      </c>
      <c r="N1864" s="27" t="s">
        <v>33</v>
      </c>
      <c r="O1864" s="27" t="s">
        <v>53</v>
      </c>
      <c r="P1864" s="27" t="s">
        <v>187</v>
      </c>
      <c r="Q1864" s="27" t="s">
        <v>2943</v>
      </c>
      <c r="R1864" s="33">
        <v>78539</v>
      </c>
      <c r="S1864" s="34">
        <v>42177</v>
      </c>
      <c r="T1864" s="34">
        <v>42182</v>
      </c>
      <c r="U1864" s="29">
        <v>9.7799999999999994</v>
      </c>
      <c r="V1864" s="26">
        <v>13</v>
      </c>
      <c r="W1864" s="29">
        <v>55.97</v>
      </c>
      <c r="X1864" s="26">
        <v>87222</v>
      </c>
      <c r="Y1864" s="35">
        <v>19.88</v>
      </c>
      <c r="Z1864" s="1" t="s">
        <v>3012</v>
      </c>
      <c r="AA1864" s="36">
        <v>3.2759999999999998</v>
      </c>
      <c r="AB1864" s="54">
        <v>35.820799999999998</v>
      </c>
      <c r="AC1864" s="54">
        <v>1.5499384615384615</v>
      </c>
      <c r="AD1864" s="36">
        <v>40.653999999999996</v>
      </c>
    </row>
    <row r="1865" spans="1:30" s="37" customFormat="1" ht="15.75" customHeight="1" x14ac:dyDescent="0.2">
      <c r="A1865" s="26">
        <v>102</v>
      </c>
      <c r="B1865" s="27" t="s">
        <v>2042</v>
      </c>
      <c r="C1865" s="27" t="s">
        <v>116</v>
      </c>
      <c r="D1865" s="28">
        <v>0.09</v>
      </c>
      <c r="E1865" s="29">
        <v>2.88</v>
      </c>
      <c r="F1865" s="29">
        <v>1.49</v>
      </c>
      <c r="G1865" s="30" t="s">
        <v>39</v>
      </c>
      <c r="H1865" s="27" t="s">
        <v>40</v>
      </c>
      <c r="I1865" s="27" t="s">
        <v>49</v>
      </c>
      <c r="J1865" s="27" t="s">
        <v>72</v>
      </c>
      <c r="K1865" s="27" t="s">
        <v>73</v>
      </c>
      <c r="L1865" s="31" t="s">
        <v>2948</v>
      </c>
      <c r="M1865" s="32">
        <v>0.36</v>
      </c>
      <c r="N1865" s="27" t="s">
        <v>33</v>
      </c>
      <c r="O1865" s="27" t="s">
        <v>111</v>
      </c>
      <c r="P1865" s="27" t="s">
        <v>403</v>
      </c>
      <c r="Q1865" s="27" t="s">
        <v>788</v>
      </c>
      <c r="R1865" s="33">
        <v>2129</v>
      </c>
      <c r="S1865" s="34">
        <v>42177</v>
      </c>
      <c r="T1865" s="34">
        <v>42178</v>
      </c>
      <c r="U1865" s="29">
        <v>-3.3809999999999998</v>
      </c>
      <c r="V1865" s="26">
        <v>17</v>
      </c>
      <c r="W1865" s="29">
        <v>47.31</v>
      </c>
      <c r="X1865" s="26">
        <v>3397</v>
      </c>
      <c r="Y1865" s="35">
        <v>2.79</v>
      </c>
      <c r="Z1865" s="1" t="s">
        <v>3014</v>
      </c>
      <c r="AA1865" s="36">
        <v>4.4063999999999997</v>
      </c>
      <c r="AB1865" s="54">
        <v>30.278400000000001</v>
      </c>
      <c r="AC1865" s="54">
        <v>1.0018588235294119</v>
      </c>
      <c r="AD1865" s="36">
        <v>44.794600000000003</v>
      </c>
    </row>
    <row r="1866" spans="1:30" s="37" customFormat="1" ht="15.75" customHeight="1" x14ac:dyDescent="0.2">
      <c r="A1866" s="26">
        <v>2279</v>
      </c>
      <c r="B1866" s="27" t="s">
        <v>2944</v>
      </c>
      <c r="C1866" s="27" t="s">
        <v>48</v>
      </c>
      <c r="D1866" s="28">
        <v>0.04</v>
      </c>
      <c r="E1866" s="29">
        <v>4.4800000000000004</v>
      </c>
      <c r="F1866" s="29">
        <v>2.5</v>
      </c>
      <c r="G1866" s="30" t="s">
        <v>87</v>
      </c>
      <c r="H1866" s="27" t="s">
        <v>71</v>
      </c>
      <c r="I1866" s="27" t="s">
        <v>49</v>
      </c>
      <c r="J1866" s="27" t="s">
        <v>345</v>
      </c>
      <c r="K1866" s="27" t="s">
        <v>73</v>
      </c>
      <c r="L1866" s="31" t="s">
        <v>1021</v>
      </c>
      <c r="M1866" s="32">
        <v>0.37</v>
      </c>
      <c r="N1866" s="27" t="s">
        <v>33</v>
      </c>
      <c r="O1866" s="27" t="s">
        <v>111</v>
      </c>
      <c r="P1866" s="27" t="s">
        <v>320</v>
      </c>
      <c r="Q1866" s="27" t="s">
        <v>2945</v>
      </c>
      <c r="R1866" s="33">
        <v>15601</v>
      </c>
      <c r="S1866" s="34">
        <v>42177</v>
      </c>
      <c r="T1866" s="34">
        <v>42181</v>
      </c>
      <c r="U1866" s="29">
        <v>10.32</v>
      </c>
      <c r="V1866" s="26">
        <v>7</v>
      </c>
      <c r="W1866" s="29">
        <v>35.93</v>
      </c>
      <c r="X1866" s="26">
        <v>85949</v>
      </c>
      <c r="Y1866" s="35">
        <v>2.79</v>
      </c>
      <c r="Z1866" s="1" t="s">
        <v>3014</v>
      </c>
      <c r="AA1866" s="36">
        <v>1.2544000000000002</v>
      </c>
      <c r="AB1866" s="54">
        <v>22.635899999999999</v>
      </c>
      <c r="AC1866" s="54">
        <v>1.8991571428571428</v>
      </c>
      <c r="AD1866" s="36">
        <v>21.855599999999999</v>
      </c>
    </row>
    <row r="1867" spans="1:30" s="37" customFormat="1" ht="15.75" customHeight="1" x14ac:dyDescent="0.2">
      <c r="A1867" s="26">
        <v>2963</v>
      </c>
      <c r="B1867" s="27" t="s">
        <v>2937</v>
      </c>
      <c r="C1867" s="27" t="s">
        <v>26</v>
      </c>
      <c r="D1867" s="28">
        <v>0.01</v>
      </c>
      <c r="E1867" s="29">
        <v>7.98</v>
      </c>
      <c r="F1867" s="29">
        <v>6.5</v>
      </c>
      <c r="G1867" s="30" t="s">
        <v>39</v>
      </c>
      <c r="H1867" s="27" t="s">
        <v>40</v>
      </c>
      <c r="I1867" s="27" t="s">
        <v>49</v>
      </c>
      <c r="J1867" s="27" t="s">
        <v>78</v>
      </c>
      <c r="K1867" s="27" t="s">
        <v>144</v>
      </c>
      <c r="L1867" s="31" t="s">
        <v>2938</v>
      </c>
      <c r="M1867" s="32">
        <v>0.59</v>
      </c>
      <c r="N1867" s="27" t="s">
        <v>33</v>
      </c>
      <c r="O1867" s="27" t="s">
        <v>111</v>
      </c>
      <c r="P1867" s="27" t="s">
        <v>418</v>
      </c>
      <c r="Q1867" s="27" t="s">
        <v>2939</v>
      </c>
      <c r="R1867" s="33">
        <v>21220</v>
      </c>
      <c r="S1867" s="34">
        <v>42177</v>
      </c>
      <c r="T1867" s="34">
        <v>42178</v>
      </c>
      <c r="U1867" s="29">
        <v>-34.591999999999999</v>
      </c>
      <c r="V1867" s="26">
        <v>4</v>
      </c>
      <c r="W1867" s="29">
        <v>34.909999999999997</v>
      </c>
      <c r="X1867" s="26">
        <v>88612</v>
      </c>
      <c r="Y1867" s="35">
        <v>150.95999999999998</v>
      </c>
      <c r="Z1867" s="1" t="s">
        <v>3014</v>
      </c>
      <c r="AA1867" s="36">
        <v>0.31920000000000004</v>
      </c>
      <c r="AB1867" s="54">
        <v>14.3131</v>
      </c>
      <c r="AC1867" s="54">
        <v>5.1492249999999995</v>
      </c>
      <c r="AD1867" s="36">
        <v>62.6828</v>
      </c>
    </row>
    <row r="1868" spans="1:30" s="37" customFormat="1" ht="15.75" customHeight="1" x14ac:dyDescent="0.2">
      <c r="A1868" s="26">
        <v>109</v>
      </c>
      <c r="B1868" s="27" t="s">
        <v>2949</v>
      </c>
      <c r="C1868" s="27" t="s">
        <v>116</v>
      </c>
      <c r="D1868" s="28">
        <v>0.09</v>
      </c>
      <c r="E1868" s="29">
        <v>2.88</v>
      </c>
      <c r="F1868" s="29">
        <v>1.49</v>
      </c>
      <c r="G1868" s="30" t="s">
        <v>39</v>
      </c>
      <c r="H1868" s="27" t="s">
        <v>40</v>
      </c>
      <c r="I1868" s="27" t="s">
        <v>49</v>
      </c>
      <c r="J1868" s="27" t="s">
        <v>72</v>
      </c>
      <c r="K1868" s="27" t="s">
        <v>73</v>
      </c>
      <c r="L1868" s="31" t="s">
        <v>2948</v>
      </c>
      <c r="M1868" s="32">
        <v>0.36</v>
      </c>
      <c r="N1868" s="27" t="s">
        <v>33</v>
      </c>
      <c r="O1868" s="27" t="s">
        <v>111</v>
      </c>
      <c r="P1868" s="27" t="s">
        <v>397</v>
      </c>
      <c r="Q1868" s="27" t="s">
        <v>2950</v>
      </c>
      <c r="R1868" s="33">
        <v>7644</v>
      </c>
      <c r="S1868" s="34">
        <v>42177</v>
      </c>
      <c r="T1868" s="34">
        <v>42178</v>
      </c>
      <c r="U1868" s="29">
        <v>-2.7048000000000001</v>
      </c>
      <c r="V1868" s="26">
        <v>4</v>
      </c>
      <c r="W1868" s="29">
        <v>11.13</v>
      </c>
      <c r="X1868" s="26">
        <v>88205</v>
      </c>
      <c r="Y1868" s="35">
        <v>5.33</v>
      </c>
      <c r="Z1868" s="1" t="s">
        <v>3014</v>
      </c>
      <c r="AA1868" s="36">
        <v>1.0367999999999999</v>
      </c>
      <c r="AB1868" s="54">
        <v>7.1232000000000006</v>
      </c>
      <c r="AC1868" s="54">
        <v>1.0017</v>
      </c>
      <c r="AD1868" s="36">
        <v>11.308000000000002</v>
      </c>
    </row>
    <row r="1869" spans="1:30" s="37" customFormat="1" ht="15.75" customHeight="1" x14ac:dyDescent="0.2">
      <c r="A1869" s="26">
        <v>522</v>
      </c>
      <c r="B1869" s="27" t="s">
        <v>2951</v>
      </c>
      <c r="C1869" s="27" t="s">
        <v>116</v>
      </c>
      <c r="D1869" s="28">
        <v>0.1</v>
      </c>
      <c r="E1869" s="29">
        <v>5.43</v>
      </c>
      <c r="F1869" s="29">
        <v>0.95</v>
      </c>
      <c r="G1869" s="30" t="s">
        <v>39</v>
      </c>
      <c r="H1869" s="27" t="s">
        <v>3095</v>
      </c>
      <c r="I1869" s="27" t="s">
        <v>49</v>
      </c>
      <c r="J1869" s="27" t="s">
        <v>88</v>
      </c>
      <c r="K1869" s="27" t="s">
        <v>51</v>
      </c>
      <c r="L1869" s="31" t="s">
        <v>2263</v>
      </c>
      <c r="M1869" s="32">
        <v>0.36</v>
      </c>
      <c r="N1869" s="27" t="s">
        <v>33</v>
      </c>
      <c r="O1869" s="27" t="s">
        <v>60</v>
      </c>
      <c r="P1869" s="27" t="s">
        <v>139</v>
      </c>
      <c r="Q1869" s="27" t="s">
        <v>842</v>
      </c>
      <c r="R1869" s="33">
        <v>97756</v>
      </c>
      <c r="S1869" s="34">
        <v>42177</v>
      </c>
      <c r="T1869" s="34">
        <v>42179</v>
      </c>
      <c r="U1869" s="29">
        <v>-2.58</v>
      </c>
      <c r="V1869" s="26">
        <v>1</v>
      </c>
      <c r="W1869" s="29">
        <v>5.76</v>
      </c>
      <c r="X1869" s="26">
        <v>89327</v>
      </c>
      <c r="Y1869" s="35">
        <v>179.28</v>
      </c>
      <c r="Z1869" s="1" t="s">
        <v>3013</v>
      </c>
      <c r="AA1869" s="36">
        <v>0.54300000000000004</v>
      </c>
      <c r="AB1869" s="54">
        <v>3.6863999999999999</v>
      </c>
      <c r="AC1869" s="54">
        <v>2.0735999999999999</v>
      </c>
      <c r="AD1869" s="36">
        <v>6.8469999999999995</v>
      </c>
    </row>
    <row r="1870" spans="1:30" s="37" customFormat="1" ht="15.75" customHeight="1" x14ac:dyDescent="0.2">
      <c r="A1870" s="26">
        <v>1548</v>
      </c>
      <c r="B1870" s="27" t="s">
        <v>2955</v>
      </c>
      <c r="C1870" s="27" t="s">
        <v>48</v>
      </c>
      <c r="D1870" s="28">
        <v>0</v>
      </c>
      <c r="E1870" s="29">
        <v>599.99</v>
      </c>
      <c r="F1870" s="29">
        <v>24.49</v>
      </c>
      <c r="G1870" s="30" t="s">
        <v>39</v>
      </c>
      <c r="H1870" s="27" t="s">
        <v>94</v>
      </c>
      <c r="I1870" s="27" t="s">
        <v>41</v>
      </c>
      <c r="J1870" s="27" t="s">
        <v>64</v>
      </c>
      <c r="K1870" s="27" t="s">
        <v>65</v>
      </c>
      <c r="L1870" s="31" t="s">
        <v>2956</v>
      </c>
      <c r="M1870" s="32">
        <v>0.44</v>
      </c>
      <c r="N1870" s="27" t="s">
        <v>33</v>
      </c>
      <c r="O1870" s="27" t="s">
        <v>53</v>
      </c>
      <c r="P1870" s="27" t="s">
        <v>54</v>
      </c>
      <c r="Q1870" s="27" t="s">
        <v>2432</v>
      </c>
      <c r="R1870" s="33">
        <v>47374</v>
      </c>
      <c r="S1870" s="34">
        <v>42178</v>
      </c>
      <c r="T1870" s="34">
        <v>42180</v>
      </c>
      <c r="U1870" s="29">
        <v>-367.16500000000002</v>
      </c>
      <c r="V1870" s="26">
        <v>18</v>
      </c>
      <c r="W1870" s="29">
        <v>11015.82</v>
      </c>
      <c r="X1870" s="26">
        <v>88487</v>
      </c>
      <c r="Y1870" s="35">
        <v>200.89</v>
      </c>
      <c r="Z1870" s="1" t="s">
        <v>3012</v>
      </c>
      <c r="AA1870" s="36">
        <v>0</v>
      </c>
      <c r="AB1870" s="54">
        <v>6168.8592000000008</v>
      </c>
      <c r="AC1870" s="54">
        <v>269.2756</v>
      </c>
      <c r="AD1870" s="36">
        <v>11358.494999999999</v>
      </c>
    </row>
    <row r="1871" spans="1:30" s="37" customFormat="1" ht="15.75" customHeight="1" x14ac:dyDescent="0.2">
      <c r="A1871" s="26">
        <v>445</v>
      </c>
      <c r="B1871" s="27" t="s">
        <v>2142</v>
      </c>
      <c r="C1871" s="27" t="s">
        <v>38</v>
      </c>
      <c r="D1871" s="28">
        <v>0.09</v>
      </c>
      <c r="E1871" s="29">
        <v>200.98</v>
      </c>
      <c r="F1871" s="29">
        <v>55.96</v>
      </c>
      <c r="G1871" s="30" t="s">
        <v>27</v>
      </c>
      <c r="H1871" s="27" t="s">
        <v>3095</v>
      </c>
      <c r="I1871" s="27" t="s">
        <v>29</v>
      </c>
      <c r="J1871" s="27" t="s">
        <v>117</v>
      </c>
      <c r="K1871" s="27" t="s">
        <v>31</v>
      </c>
      <c r="L1871" s="31" t="s">
        <v>1639</v>
      </c>
      <c r="M1871" s="32">
        <v>0.75</v>
      </c>
      <c r="N1871" s="27" t="s">
        <v>33</v>
      </c>
      <c r="O1871" s="27" t="s">
        <v>53</v>
      </c>
      <c r="P1871" s="27" t="s">
        <v>133</v>
      </c>
      <c r="Q1871" s="27" t="s">
        <v>1377</v>
      </c>
      <c r="R1871" s="33">
        <v>68701</v>
      </c>
      <c r="S1871" s="34">
        <v>42178</v>
      </c>
      <c r="T1871" s="34">
        <v>42179</v>
      </c>
      <c r="U1871" s="29">
        <v>-512.87199999999996</v>
      </c>
      <c r="V1871" s="26">
        <v>9</v>
      </c>
      <c r="W1871" s="29">
        <v>1766.68</v>
      </c>
      <c r="X1871" s="26">
        <v>88084</v>
      </c>
      <c r="Y1871" s="35">
        <v>2.69</v>
      </c>
      <c r="Z1871" s="1" t="s">
        <v>3012</v>
      </c>
      <c r="AA1871" s="36">
        <v>162.79379999999998</v>
      </c>
      <c r="AB1871" s="54">
        <v>441.67</v>
      </c>
      <c r="AC1871" s="54">
        <v>147.22333333333333</v>
      </c>
      <c r="AD1871" s="36">
        <v>2060.7982000000002</v>
      </c>
    </row>
    <row r="1872" spans="1:30" s="37" customFormat="1" ht="15.75" customHeight="1" x14ac:dyDescent="0.2">
      <c r="A1872" s="26">
        <v>2352</v>
      </c>
      <c r="B1872" s="27" t="s">
        <v>2918</v>
      </c>
      <c r="C1872" s="27" t="s">
        <v>3094</v>
      </c>
      <c r="D1872" s="28">
        <v>0.09</v>
      </c>
      <c r="E1872" s="29">
        <v>71.37</v>
      </c>
      <c r="F1872" s="29">
        <v>69</v>
      </c>
      <c r="G1872" s="30" t="s">
        <v>39</v>
      </c>
      <c r="H1872" s="27" t="s">
        <v>71</v>
      </c>
      <c r="I1872" s="27" t="s">
        <v>29</v>
      </c>
      <c r="J1872" s="27" t="s">
        <v>30</v>
      </c>
      <c r="K1872" s="27" t="s">
        <v>65</v>
      </c>
      <c r="L1872" s="31" t="s">
        <v>1031</v>
      </c>
      <c r="M1872" s="32">
        <v>0.68</v>
      </c>
      <c r="N1872" s="27" t="s">
        <v>33</v>
      </c>
      <c r="O1872" s="27" t="s">
        <v>111</v>
      </c>
      <c r="P1872" s="27" t="s">
        <v>418</v>
      </c>
      <c r="Q1872" s="27" t="s">
        <v>2919</v>
      </c>
      <c r="R1872" s="33">
        <v>21501</v>
      </c>
      <c r="S1872" s="34">
        <v>42178</v>
      </c>
      <c r="T1872" s="34">
        <v>42179</v>
      </c>
      <c r="U1872" s="29">
        <v>-1537.1356000000001</v>
      </c>
      <c r="V1872" s="26">
        <v>19</v>
      </c>
      <c r="W1872" s="29">
        <v>1302.98</v>
      </c>
      <c r="X1872" s="26">
        <v>86166</v>
      </c>
      <c r="Y1872" s="35">
        <v>180.92</v>
      </c>
      <c r="Z1872" s="1" t="s">
        <v>3014</v>
      </c>
      <c r="AA1872" s="36">
        <v>122.04270000000001</v>
      </c>
      <c r="AB1872" s="54">
        <v>416.95359999999994</v>
      </c>
      <c r="AC1872" s="54">
        <v>46.632968421052638</v>
      </c>
      <c r="AD1872" s="36">
        <v>2649.0729000000001</v>
      </c>
    </row>
    <row r="1873" spans="1:30" s="37" customFormat="1" ht="15.75" customHeight="1" x14ac:dyDescent="0.2">
      <c r="A1873" s="26">
        <v>2216</v>
      </c>
      <c r="B1873" s="27" t="s">
        <v>2959</v>
      </c>
      <c r="C1873" s="27" t="s">
        <v>48</v>
      </c>
      <c r="D1873" s="28">
        <v>0.02</v>
      </c>
      <c r="E1873" s="29">
        <v>256.99</v>
      </c>
      <c r="F1873" s="29">
        <v>11.25</v>
      </c>
      <c r="G1873" s="30" t="s">
        <v>39</v>
      </c>
      <c r="H1873" s="27" t="s">
        <v>94</v>
      </c>
      <c r="I1873" s="27" t="s">
        <v>41</v>
      </c>
      <c r="J1873" s="27" t="s">
        <v>42</v>
      </c>
      <c r="K1873" s="27" t="s">
        <v>73</v>
      </c>
      <c r="L1873" s="31" t="s">
        <v>2621</v>
      </c>
      <c r="M1873" s="32">
        <v>0.51</v>
      </c>
      <c r="N1873" s="27" t="s">
        <v>33</v>
      </c>
      <c r="O1873" s="27" t="s">
        <v>111</v>
      </c>
      <c r="P1873" s="27" t="s">
        <v>317</v>
      </c>
      <c r="Q1873" s="27" t="s">
        <v>2133</v>
      </c>
      <c r="R1873" s="33">
        <v>44256</v>
      </c>
      <c r="S1873" s="34">
        <v>42178</v>
      </c>
      <c r="T1873" s="34">
        <v>42185</v>
      </c>
      <c r="U1873" s="29">
        <v>-214.10400000000001</v>
      </c>
      <c r="V1873" s="26">
        <v>3</v>
      </c>
      <c r="W1873" s="29">
        <v>808.44</v>
      </c>
      <c r="X1873" s="26">
        <v>90314</v>
      </c>
      <c r="Y1873" s="35">
        <v>599.99</v>
      </c>
      <c r="Z1873" s="1" t="s">
        <v>3014</v>
      </c>
      <c r="AA1873" s="36">
        <v>15.4194</v>
      </c>
      <c r="AB1873" s="54">
        <v>396.13560000000001</v>
      </c>
      <c r="AC1873" s="54">
        <v>137.43480000000002</v>
      </c>
      <c r="AD1873" s="36">
        <v>995.8746000000001</v>
      </c>
    </row>
    <row r="1874" spans="1:30" s="37" customFormat="1" ht="15.75" customHeight="1" x14ac:dyDescent="0.2">
      <c r="A1874" s="26">
        <v>2333</v>
      </c>
      <c r="B1874" s="27" t="s">
        <v>2953</v>
      </c>
      <c r="C1874" s="27" t="s">
        <v>38</v>
      </c>
      <c r="D1874" s="28">
        <v>0.06</v>
      </c>
      <c r="E1874" s="29">
        <v>180.98</v>
      </c>
      <c r="F1874" s="29">
        <v>26.2</v>
      </c>
      <c r="G1874" s="30" t="s">
        <v>27</v>
      </c>
      <c r="H1874" s="27" t="s">
        <v>3095</v>
      </c>
      <c r="I1874" s="27" t="s">
        <v>29</v>
      </c>
      <c r="J1874" s="27" t="s">
        <v>109</v>
      </c>
      <c r="K1874" s="27" t="s">
        <v>58</v>
      </c>
      <c r="L1874" s="31" t="s">
        <v>2274</v>
      </c>
      <c r="M1874" s="32">
        <v>0.59</v>
      </c>
      <c r="N1874" s="27" t="s">
        <v>33</v>
      </c>
      <c r="O1874" s="27" t="s">
        <v>53</v>
      </c>
      <c r="P1874" s="27" t="s">
        <v>357</v>
      </c>
      <c r="Q1874" s="27" t="s">
        <v>2954</v>
      </c>
      <c r="R1874" s="33">
        <v>54302</v>
      </c>
      <c r="S1874" s="34">
        <v>42178</v>
      </c>
      <c r="T1874" s="34">
        <v>42179</v>
      </c>
      <c r="U1874" s="29">
        <v>-122.235</v>
      </c>
      <c r="V1874" s="26">
        <v>1</v>
      </c>
      <c r="W1874" s="29">
        <v>191.73</v>
      </c>
      <c r="X1874" s="26">
        <v>89611</v>
      </c>
      <c r="Y1874" s="35">
        <v>3.21</v>
      </c>
      <c r="Z1874" s="1" t="s">
        <v>3012</v>
      </c>
      <c r="AA1874" s="36">
        <v>10.858799999999999</v>
      </c>
      <c r="AB1874" s="54">
        <v>78.609300000000005</v>
      </c>
      <c r="AC1874" s="54">
        <v>113.12069999999999</v>
      </c>
      <c r="AD1874" s="36">
        <v>276.90620000000001</v>
      </c>
    </row>
    <row r="1875" spans="1:30" s="37" customFormat="1" ht="15.75" customHeight="1" x14ac:dyDescent="0.2">
      <c r="A1875" s="26">
        <v>2216</v>
      </c>
      <c r="B1875" s="27" t="s">
        <v>2959</v>
      </c>
      <c r="C1875" s="27" t="s">
        <v>48</v>
      </c>
      <c r="D1875" s="28">
        <v>0.01</v>
      </c>
      <c r="E1875" s="29">
        <v>6.48</v>
      </c>
      <c r="F1875" s="29">
        <v>5.14</v>
      </c>
      <c r="G1875" s="30" t="s">
        <v>39</v>
      </c>
      <c r="H1875" s="27" t="s">
        <v>94</v>
      </c>
      <c r="I1875" s="27" t="s">
        <v>49</v>
      </c>
      <c r="J1875" s="27" t="s">
        <v>88</v>
      </c>
      <c r="K1875" s="27" t="s">
        <v>73</v>
      </c>
      <c r="L1875" s="31" t="s">
        <v>1745</v>
      </c>
      <c r="M1875" s="32">
        <v>0.37</v>
      </c>
      <c r="N1875" s="27" t="s">
        <v>33</v>
      </c>
      <c r="O1875" s="27" t="s">
        <v>111</v>
      </c>
      <c r="P1875" s="27" t="s">
        <v>317</v>
      </c>
      <c r="Q1875" s="27" t="s">
        <v>2133</v>
      </c>
      <c r="R1875" s="33">
        <v>44256</v>
      </c>
      <c r="S1875" s="34">
        <v>42178</v>
      </c>
      <c r="T1875" s="34">
        <v>42180</v>
      </c>
      <c r="U1875" s="29">
        <v>-26.936</v>
      </c>
      <c r="V1875" s="26">
        <v>10</v>
      </c>
      <c r="W1875" s="29">
        <v>67.41</v>
      </c>
      <c r="X1875" s="26">
        <v>90314</v>
      </c>
      <c r="Y1875" s="35">
        <v>256.97000000000003</v>
      </c>
      <c r="Z1875" s="1" t="s">
        <v>3014</v>
      </c>
      <c r="AA1875" s="36">
        <v>0.64800000000000013</v>
      </c>
      <c r="AB1875" s="54">
        <v>42.468299999999999</v>
      </c>
      <c r="AC1875" s="54">
        <v>2.49417</v>
      </c>
      <c r="AD1875" s="36">
        <v>88.557999999999993</v>
      </c>
    </row>
    <row r="1876" spans="1:30" s="37" customFormat="1" ht="15.75" customHeight="1" x14ac:dyDescent="0.2">
      <c r="A1876" s="26">
        <v>445</v>
      </c>
      <c r="B1876" s="27" t="s">
        <v>2142</v>
      </c>
      <c r="C1876" s="27" t="s">
        <v>38</v>
      </c>
      <c r="D1876" s="28">
        <v>0.09</v>
      </c>
      <c r="E1876" s="29">
        <v>2.78</v>
      </c>
      <c r="F1876" s="29">
        <v>0.97</v>
      </c>
      <c r="G1876" s="30" t="s">
        <v>39</v>
      </c>
      <c r="H1876" s="27" t="s">
        <v>3095</v>
      </c>
      <c r="I1876" s="27" t="s">
        <v>49</v>
      </c>
      <c r="J1876" s="27" t="s">
        <v>50</v>
      </c>
      <c r="K1876" s="27" t="s">
        <v>51</v>
      </c>
      <c r="L1876" s="31" t="s">
        <v>2952</v>
      </c>
      <c r="M1876" s="32">
        <v>0.59</v>
      </c>
      <c r="N1876" s="27" t="s">
        <v>33</v>
      </c>
      <c r="O1876" s="27" t="s">
        <v>53</v>
      </c>
      <c r="P1876" s="27" t="s">
        <v>133</v>
      </c>
      <c r="Q1876" s="27" t="s">
        <v>1377</v>
      </c>
      <c r="R1876" s="33">
        <v>68701</v>
      </c>
      <c r="S1876" s="34">
        <v>42178</v>
      </c>
      <c r="T1876" s="34">
        <v>42179</v>
      </c>
      <c r="U1876" s="29">
        <v>-3.7839999999999998</v>
      </c>
      <c r="V1876" s="26">
        <v>11</v>
      </c>
      <c r="W1876" s="29">
        <v>29.02</v>
      </c>
      <c r="X1876" s="26">
        <v>88084</v>
      </c>
      <c r="Y1876" s="35">
        <v>6.4700000000000006</v>
      </c>
      <c r="Z1876" s="1" t="s">
        <v>3012</v>
      </c>
      <c r="AA1876" s="36">
        <v>2.7521999999999998</v>
      </c>
      <c r="AB1876" s="54">
        <v>11.898200000000001</v>
      </c>
      <c r="AC1876" s="54">
        <v>1.5565272727272725</v>
      </c>
      <c r="AD1876" s="36">
        <v>29.081800000000001</v>
      </c>
    </row>
    <row r="1877" spans="1:30" s="37" customFormat="1" ht="15.75" customHeight="1" x14ac:dyDescent="0.2">
      <c r="A1877" s="26">
        <v>2215</v>
      </c>
      <c r="B1877" s="27" t="s">
        <v>2957</v>
      </c>
      <c r="C1877" s="27" t="s">
        <v>48</v>
      </c>
      <c r="D1877" s="28">
        <v>7.0000000000000007E-2</v>
      </c>
      <c r="E1877" s="29">
        <v>3.28</v>
      </c>
      <c r="F1877" s="29">
        <v>3.97</v>
      </c>
      <c r="G1877" s="30" t="s">
        <v>39</v>
      </c>
      <c r="H1877" s="27" t="s">
        <v>94</v>
      </c>
      <c r="I1877" s="27" t="s">
        <v>49</v>
      </c>
      <c r="J1877" s="27" t="s">
        <v>50</v>
      </c>
      <c r="K1877" s="27" t="s">
        <v>51</v>
      </c>
      <c r="L1877" s="31" t="s">
        <v>367</v>
      </c>
      <c r="M1877" s="32">
        <v>0.56000000000000005</v>
      </c>
      <c r="N1877" s="27" t="s">
        <v>33</v>
      </c>
      <c r="O1877" s="27" t="s">
        <v>111</v>
      </c>
      <c r="P1877" s="27" t="s">
        <v>317</v>
      </c>
      <c r="Q1877" s="27" t="s">
        <v>2958</v>
      </c>
      <c r="R1877" s="33">
        <v>44646</v>
      </c>
      <c r="S1877" s="34">
        <v>42178</v>
      </c>
      <c r="T1877" s="34">
        <v>42178</v>
      </c>
      <c r="U1877" s="29">
        <v>-22.175999999999998</v>
      </c>
      <c r="V1877" s="26">
        <v>4</v>
      </c>
      <c r="W1877" s="29">
        <v>14.76</v>
      </c>
      <c r="X1877" s="26">
        <v>90314</v>
      </c>
      <c r="Y1877" s="35">
        <v>71.28</v>
      </c>
      <c r="Z1877" s="1" t="s">
        <v>3014</v>
      </c>
      <c r="AA1877" s="36">
        <v>0.91839999999999999</v>
      </c>
      <c r="AB1877" s="54">
        <v>6.4943999999999988</v>
      </c>
      <c r="AC1877" s="54">
        <v>2.0664000000000002</v>
      </c>
      <c r="AD1877" s="36">
        <v>32.047600000000003</v>
      </c>
    </row>
    <row r="1878" spans="1:30" s="37" customFormat="1" ht="15.75" customHeight="1" x14ac:dyDescent="0.2">
      <c r="A1878" s="26">
        <v>3084</v>
      </c>
      <c r="B1878" s="27" t="s">
        <v>2234</v>
      </c>
      <c r="C1878" s="27" t="s">
        <v>3094</v>
      </c>
      <c r="D1878" s="28">
        <v>0.01</v>
      </c>
      <c r="E1878" s="29">
        <v>7.1</v>
      </c>
      <c r="F1878" s="29">
        <v>6.05</v>
      </c>
      <c r="G1878" s="30" t="s">
        <v>39</v>
      </c>
      <c r="H1878" s="27" t="s">
        <v>3095</v>
      </c>
      <c r="I1878" s="27" t="s">
        <v>49</v>
      </c>
      <c r="J1878" s="27" t="s">
        <v>72</v>
      </c>
      <c r="K1878" s="27" t="s">
        <v>73</v>
      </c>
      <c r="L1878" s="31" t="s">
        <v>251</v>
      </c>
      <c r="M1878" s="32">
        <v>0.39</v>
      </c>
      <c r="N1878" s="27" t="s">
        <v>33</v>
      </c>
      <c r="O1878" s="27" t="s">
        <v>60</v>
      </c>
      <c r="P1878" s="27" t="s">
        <v>67</v>
      </c>
      <c r="Q1878" s="27" t="s">
        <v>487</v>
      </c>
      <c r="R1878" s="33">
        <v>98503</v>
      </c>
      <c r="S1878" s="34">
        <v>42179</v>
      </c>
      <c r="T1878" s="34">
        <v>42180</v>
      </c>
      <c r="U1878" s="29">
        <v>-39.186250000000001</v>
      </c>
      <c r="V1878" s="26">
        <v>18</v>
      </c>
      <c r="W1878" s="29">
        <v>133.19</v>
      </c>
      <c r="X1878" s="26">
        <v>89880</v>
      </c>
      <c r="Y1878" s="35">
        <v>20.9</v>
      </c>
      <c r="Z1878" s="1" t="s">
        <v>3013</v>
      </c>
      <c r="AA1878" s="36">
        <v>1.2779999999999998</v>
      </c>
      <c r="AB1878" s="54">
        <v>81.245899999999992</v>
      </c>
      <c r="AC1878" s="54">
        <v>2.8857833333333334</v>
      </c>
      <c r="AD1878" s="36">
        <v>165.04825</v>
      </c>
    </row>
    <row r="1879" spans="1:30" s="37" customFormat="1" ht="15.75" customHeight="1" x14ac:dyDescent="0.2">
      <c r="A1879" s="26">
        <v>3325</v>
      </c>
      <c r="B1879" s="27" t="s">
        <v>2283</v>
      </c>
      <c r="C1879" s="27" t="s">
        <v>48</v>
      </c>
      <c r="D1879" s="28">
        <v>0</v>
      </c>
      <c r="E1879" s="29">
        <v>8.74</v>
      </c>
      <c r="F1879" s="29">
        <v>8.2899999999999991</v>
      </c>
      <c r="G1879" s="30" t="s">
        <v>39</v>
      </c>
      <c r="H1879" s="27" t="s">
        <v>40</v>
      </c>
      <c r="I1879" s="27" t="s">
        <v>49</v>
      </c>
      <c r="J1879" s="27" t="s">
        <v>345</v>
      </c>
      <c r="K1879" s="27" t="s">
        <v>73</v>
      </c>
      <c r="L1879" s="31" t="s">
        <v>440</v>
      </c>
      <c r="M1879" s="32">
        <v>0.38</v>
      </c>
      <c r="N1879" s="27" t="s">
        <v>33</v>
      </c>
      <c r="O1879" s="27" t="s">
        <v>60</v>
      </c>
      <c r="P1879" s="27" t="s">
        <v>139</v>
      </c>
      <c r="Q1879" s="27" t="s">
        <v>2285</v>
      </c>
      <c r="R1879" s="33">
        <v>97420</v>
      </c>
      <c r="S1879" s="34">
        <v>42179</v>
      </c>
      <c r="T1879" s="34">
        <v>42181</v>
      </c>
      <c r="U1879" s="29">
        <v>-79.400000000000006</v>
      </c>
      <c r="V1879" s="26">
        <v>14</v>
      </c>
      <c r="W1879" s="29">
        <v>131.62</v>
      </c>
      <c r="X1879" s="26">
        <v>90986</v>
      </c>
      <c r="Y1879" s="35">
        <v>8.74</v>
      </c>
      <c r="Z1879" s="1" t="s">
        <v>3013</v>
      </c>
      <c r="AA1879" s="36">
        <v>0</v>
      </c>
      <c r="AB1879" s="54">
        <v>81.604399999999998</v>
      </c>
      <c r="AC1879" s="54">
        <v>3.572542857142857</v>
      </c>
      <c r="AD1879" s="36">
        <v>202.73000000000002</v>
      </c>
    </row>
    <row r="1880" spans="1:30" s="37" customFormat="1" ht="15.75" customHeight="1" x14ac:dyDescent="0.2">
      <c r="A1880" s="26">
        <v>2044</v>
      </c>
      <c r="B1880" s="27" t="s">
        <v>2960</v>
      </c>
      <c r="C1880" s="27" t="s">
        <v>48</v>
      </c>
      <c r="D1880" s="28">
        <v>0.09</v>
      </c>
      <c r="E1880" s="29">
        <v>20.99</v>
      </c>
      <c r="F1880" s="29">
        <v>2.5</v>
      </c>
      <c r="G1880" s="30" t="s">
        <v>39</v>
      </c>
      <c r="H1880" s="27" t="s">
        <v>94</v>
      </c>
      <c r="I1880" s="27" t="s">
        <v>41</v>
      </c>
      <c r="J1880" s="27" t="s">
        <v>135</v>
      </c>
      <c r="K1880" s="27" t="s">
        <v>51</v>
      </c>
      <c r="L1880" s="31" t="s">
        <v>1201</v>
      </c>
      <c r="M1880" s="32">
        <v>0.81</v>
      </c>
      <c r="N1880" s="27" t="s">
        <v>33</v>
      </c>
      <c r="O1880" s="27" t="s">
        <v>34</v>
      </c>
      <c r="P1880" s="27" t="s">
        <v>45</v>
      </c>
      <c r="Q1880" s="27" t="s">
        <v>2961</v>
      </c>
      <c r="R1880" s="33">
        <v>72756</v>
      </c>
      <c r="S1880" s="34">
        <v>42179</v>
      </c>
      <c r="T1880" s="34">
        <v>42186</v>
      </c>
      <c r="U1880" s="29">
        <v>-136.12200000000001</v>
      </c>
      <c r="V1880" s="26">
        <v>6</v>
      </c>
      <c r="W1880" s="29">
        <v>100.11</v>
      </c>
      <c r="X1880" s="26">
        <v>88692</v>
      </c>
      <c r="Y1880" s="35">
        <v>10.600000000000001</v>
      </c>
      <c r="Z1880" s="1" t="s">
        <v>3011</v>
      </c>
      <c r="AA1880" s="36">
        <v>11.334599999999998</v>
      </c>
      <c r="AB1880" s="54">
        <v>19.020899999999994</v>
      </c>
      <c r="AC1880" s="54">
        <v>13.514849999999999</v>
      </c>
      <c r="AD1880" s="36">
        <v>222.3974</v>
      </c>
    </row>
    <row r="1881" spans="1:30" s="37" customFormat="1" ht="15.75" customHeight="1" x14ac:dyDescent="0.2">
      <c r="A1881" s="26">
        <v>3084</v>
      </c>
      <c r="B1881" s="27" t="s">
        <v>2234</v>
      </c>
      <c r="C1881" s="27" t="s">
        <v>3094</v>
      </c>
      <c r="D1881" s="28">
        <v>0.05</v>
      </c>
      <c r="E1881" s="29">
        <v>18.97</v>
      </c>
      <c r="F1881" s="29">
        <v>9.0299999999999994</v>
      </c>
      <c r="G1881" s="30" t="s">
        <v>39</v>
      </c>
      <c r="H1881" s="27" t="s">
        <v>3095</v>
      </c>
      <c r="I1881" s="27" t="s">
        <v>49</v>
      </c>
      <c r="J1881" s="27" t="s">
        <v>88</v>
      </c>
      <c r="K1881" s="27" t="s">
        <v>73</v>
      </c>
      <c r="L1881" s="31" t="s">
        <v>630</v>
      </c>
      <c r="M1881" s="32">
        <v>0.37</v>
      </c>
      <c r="N1881" s="27" t="s">
        <v>33</v>
      </c>
      <c r="O1881" s="27" t="s">
        <v>60</v>
      </c>
      <c r="P1881" s="27" t="s">
        <v>67</v>
      </c>
      <c r="Q1881" s="27" t="s">
        <v>487</v>
      </c>
      <c r="R1881" s="33">
        <v>98503</v>
      </c>
      <c r="S1881" s="34">
        <v>42179</v>
      </c>
      <c r="T1881" s="34">
        <v>42180</v>
      </c>
      <c r="U1881" s="29">
        <v>-1.89</v>
      </c>
      <c r="V1881" s="26">
        <v>5</v>
      </c>
      <c r="W1881" s="29">
        <v>97.33</v>
      </c>
      <c r="X1881" s="26">
        <v>89880</v>
      </c>
      <c r="Y1881" s="35">
        <v>2.75</v>
      </c>
      <c r="Z1881" s="1" t="s">
        <v>3013</v>
      </c>
      <c r="AA1881" s="36">
        <v>4.7424999999999997</v>
      </c>
      <c r="AB1881" s="54">
        <v>61.317900000000002</v>
      </c>
      <c r="AC1881" s="54">
        <v>7.20242</v>
      </c>
      <c r="AD1881" s="36">
        <v>85.447499999999991</v>
      </c>
    </row>
    <row r="1882" spans="1:30" s="37" customFormat="1" ht="15.75" customHeight="1" x14ac:dyDescent="0.2">
      <c r="A1882" s="26">
        <v>721</v>
      </c>
      <c r="B1882" s="27" t="s">
        <v>2140</v>
      </c>
      <c r="C1882" s="27" t="s">
        <v>3094</v>
      </c>
      <c r="D1882" s="28">
        <v>0.04</v>
      </c>
      <c r="E1882" s="29">
        <v>10.64</v>
      </c>
      <c r="F1882" s="29">
        <v>5.16</v>
      </c>
      <c r="G1882" s="30" t="s">
        <v>39</v>
      </c>
      <c r="H1882" s="27" t="s">
        <v>94</v>
      </c>
      <c r="I1882" s="27" t="s">
        <v>29</v>
      </c>
      <c r="J1882" s="27" t="s">
        <v>126</v>
      </c>
      <c r="K1882" s="27" t="s">
        <v>73</v>
      </c>
      <c r="L1882" s="31" t="s">
        <v>1844</v>
      </c>
      <c r="M1882" s="32">
        <v>0.56999999999999995</v>
      </c>
      <c r="N1882" s="27" t="s">
        <v>33</v>
      </c>
      <c r="O1882" s="27" t="s">
        <v>53</v>
      </c>
      <c r="P1882" s="27" t="s">
        <v>54</v>
      </c>
      <c r="Q1882" s="27" t="s">
        <v>2141</v>
      </c>
      <c r="R1882" s="33">
        <v>46041</v>
      </c>
      <c r="S1882" s="34">
        <v>42179</v>
      </c>
      <c r="T1882" s="34">
        <v>42180</v>
      </c>
      <c r="U1882" s="29">
        <v>24.096</v>
      </c>
      <c r="V1882" s="26">
        <v>6</v>
      </c>
      <c r="W1882" s="29">
        <v>66.900000000000006</v>
      </c>
      <c r="X1882" s="26">
        <v>91053</v>
      </c>
      <c r="Y1882" s="35">
        <v>7.09</v>
      </c>
      <c r="Z1882" s="1" t="s">
        <v>3012</v>
      </c>
      <c r="AA1882" s="36">
        <v>2.5536000000000003</v>
      </c>
      <c r="AB1882" s="54">
        <v>28.767000000000007</v>
      </c>
      <c r="AC1882" s="54">
        <v>6.3554999999999993</v>
      </c>
      <c r="AD1882" s="36">
        <v>35.090400000000002</v>
      </c>
    </row>
    <row r="1883" spans="1:30" s="37" customFormat="1" ht="15.75" customHeight="1" x14ac:dyDescent="0.2">
      <c r="A1883" s="26">
        <v>721</v>
      </c>
      <c r="B1883" s="27" t="s">
        <v>2140</v>
      </c>
      <c r="C1883" s="27" t="s">
        <v>3094</v>
      </c>
      <c r="D1883" s="28">
        <v>0.03</v>
      </c>
      <c r="E1883" s="29">
        <v>2.78</v>
      </c>
      <c r="F1883" s="29">
        <v>1.34</v>
      </c>
      <c r="G1883" s="30" t="s">
        <v>87</v>
      </c>
      <c r="H1883" s="27" t="s">
        <v>94</v>
      </c>
      <c r="I1883" s="27" t="s">
        <v>49</v>
      </c>
      <c r="J1883" s="27" t="s">
        <v>50</v>
      </c>
      <c r="K1883" s="27" t="s">
        <v>51</v>
      </c>
      <c r="L1883" s="31" t="s">
        <v>2962</v>
      </c>
      <c r="M1883" s="32">
        <v>0.45</v>
      </c>
      <c r="N1883" s="27" t="s">
        <v>33</v>
      </c>
      <c r="O1883" s="27" t="s">
        <v>53</v>
      </c>
      <c r="P1883" s="27" t="s">
        <v>54</v>
      </c>
      <c r="Q1883" s="27" t="s">
        <v>2141</v>
      </c>
      <c r="R1883" s="33">
        <v>46041</v>
      </c>
      <c r="S1883" s="34">
        <v>42179</v>
      </c>
      <c r="T1883" s="34">
        <v>42181</v>
      </c>
      <c r="U1883" s="29">
        <v>6.9720000000000004</v>
      </c>
      <c r="V1883" s="26">
        <v>15</v>
      </c>
      <c r="W1883" s="29">
        <v>43.13</v>
      </c>
      <c r="X1883" s="26">
        <v>91053</v>
      </c>
      <c r="Y1883" s="35">
        <v>18.919999999999998</v>
      </c>
      <c r="Z1883" s="1" t="s">
        <v>3012</v>
      </c>
      <c r="AA1883" s="36">
        <v>1.2509999999999999</v>
      </c>
      <c r="AB1883" s="54">
        <v>23.721500000000002</v>
      </c>
      <c r="AC1883" s="54">
        <v>1.2939000000000001</v>
      </c>
      <c r="AD1883" s="36">
        <v>33.567</v>
      </c>
    </row>
    <row r="1884" spans="1:30" s="37" customFormat="1" ht="15.75" customHeight="1" x14ac:dyDescent="0.2">
      <c r="A1884" s="26">
        <v>1442</v>
      </c>
      <c r="B1884" s="27" t="s">
        <v>877</v>
      </c>
      <c r="C1884" s="27" t="s">
        <v>3094</v>
      </c>
      <c r="D1884" s="28">
        <v>0.04</v>
      </c>
      <c r="E1884" s="29">
        <v>177.98</v>
      </c>
      <c r="F1884" s="29">
        <v>0.99</v>
      </c>
      <c r="G1884" s="30" t="s">
        <v>39</v>
      </c>
      <c r="H1884" s="27" t="s">
        <v>94</v>
      </c>
      <c r="I1884" s="27" t="s">
        <v>49</v>
      </c>
      <c r="J1884" s="27" t="s">
        <v>95</v>
      </c>
      <c r="K1884" s="27" t="s">
        <v>73</v>
      </c>
      <c r="L1884" s="31" t="s">
        <v>2853</v>
      </c>
      <c r="M1884" s="32">
        <v>0.56000000000000005</v>
      </c>
      <c r="N1884" s="27" t="s">
        <v>33</v>
      </c>
      <c r="O1884" s="27" t="s">
        <v>53</v>
      </c>
      <c r="P1884" s="27" t="s">
        <v>80</v>
      </c>
      <c r="Q1884" s="27" t="s">
        <v>878</v>
      </c>
      <c r="R1884" s="33">
        <v>65807</v>
      </c>
      <c r="S1884" s="34">
        <v>42180</v>
      </c>
      <c r="T1884" s="34">
        <v>42182</v>
      </c>
      <c r="U1884" s="29">
        <v>1909.8855000000001</v>
      </c>
      <c r="V1884" s="26">
        <v>15</v>
      </c>
      <c r="W1884" s="29">
        <v>2767.95</v>
      </c>
      <c r="X1884" s="26">
        <v>89076</v>
      </c>
      <c r="Y1884" s="35">
        <v>46.85</v>
      </c>
      <c r="Z1884" s="1" t="s">
        <v>3012</v>
      </c>
      <c r="AA1884" s="36">
        <v>106.78799999999998</v>
      </c>
      <c r="AB1884" s="54">
        <v>1217.8979999999997</v>
      </c>
      <c r="AC1884" s="54">
        <v>103.33680000000001</v>
      </c>
      <c r="AD1884" s="36">
        <v>750.28649999999971</v>
      </c>
    </row>
    <row r="1885" spans="1:30" s="37" customFormat="1" ht="15.75" customHeight="1" x14ac:dyDescent="0.2">
      <c r="A1885" s="26">
        <v>1419</v>
      </c>
      <c r="B1885" s="27" t="s">
        <v>2968</v>
      </c>
      <c r="C1885" s="27" t="s">
        <v>3094</v>
      </c>
      <c r="D1885" s="28">
        <v>0.01</v>
      </c>
      <c r="E1885" s="29">
        <v>124.49</v>
      </c>
      <c r="F1885" s="29">
        <v>51.94</v>
      </c>
      <c r="G1885" s="30" t="s">
        <v>27</v>
      </c>
      <c r="H1885" s="27" t="s">
        <v>3095</v>
      </c>
      <c r="I1885" s="27" t="s">
        <v>29</v>
      </c>
      <c r="J1885" s="27" t="s">
        <v>30</v>
      </c>
      <c r="K1885" s="27" t="s">
        <v>31</v>
      </c>
      <c r="L1885" s="31" t="s">
        <v>1149</v>
      </c>
      <c r="M1885" s="32">
        <v>0.63</v>
      </c>
      <c r="N1885" s="27" t="s">
        <v>33</v>
      </c>
      <c r="O1885" s="27" t="s">
        <v>53</v>
      </c>
      <c r="P1885" s="27" t="s">
        <v>54</v>
      </c>
      <c r="Q1885" s="27" t="s">
        <v>2029</v>
      </c>
      <c r="R1885" s="33">
        <v>47905</v>
      </c>
      <c r="S1885" s="34">
        <v>42180</v>
      </c>
      <c r="T1885" s="34">
        <v>42181</v>
      </c>
      <c r="U1885" s="29">
        <v>-94.674644999999998</v>
      </c>
      <c r="V1885" s="26">
        <v>18</v>
      </c>
      <c r="W1885" s="29">
        <v>2376.12</v>
      </c>
      <c r="X1885" s="26">
        <v>90540</v>
      </c>
      <c r="Y1885" s="35">
        <v>17.63</v>
      </c>
      <c r="Z1885" s="1" t="s">
        <v>3012</v>
      </c>
      <c r="AA1885" s="36">
        <v>22.408199999999997</v>
      </c>
      <c r="AB1885" s="54">
        <v>879.1644</v>
      </c>
      <c r="AC1885" s="54">
        <v>83.164199999999994</v>
      </c>
      <c r="AD1885" s="36">
        <v>2396.446445</v>
      </c>
    </row>
    <row r="1886" spans="1:30" s="37" customFormat="1" ht="15.75" customHeight="1" x14ac:dyDescent="0.2">
      <c r="A1886" s="26">
        <v>447</v>
      </c>
      <c r="B1886" s="27" t="s">
        <v>2967</v>
      </c>
      <c r="C1886" s="27" t="s">
        <v>3094</v>
      </c>
      <c r="D1886" s="28">
        <v>0.05</v>
      </c>
      <c r="E1886" s="29">
        <v>200.99</v>
      </c>
      <c r="F1886" s="29">
        <v>4.2</v>
      </c>
      <c r="G1886" s="30" t="s">
        <v>39</v>
      </c>
      <c r="H1886" s="27" t="s">
        <v>94</v>
      </c>
      <c r="I1886" s="27" t="s">
        <v>41</v>
      </c>
      <c r="J1886" s="27" t="s">
        <v>135</v>
      </c>
      <c r="K1886" s="27" t="s">
        <v>73</v>
      </c>
      <c r="L1886" s="31" t="s">
        <v>794</v>
      </c>
      <c r="M1886" s="32">
        <v>0.59</v>
      </c>
      <c r="N1886" s="27" t="s">
        <v>33</v>
      </c>
      <c r="O1886" s="27" t="s">
        <v>53</v>
      </c>
      <c r="P1886" s="27" t="s">
        <v>84</v>
      </c>
      <c r="Q1886" s="27" t="s">
        <v>1649</v>
      </c>
      <c r="R1886" s="33">
        <v>55113</v>
      </c>
      <c r="S1886" s="34">
        <v>42180</v>
      </c>
      <c r="T1886" s="34">
        <v>42180</v>
      </c>
      <c r="U1886" s="29">
        <v>1268.8064999999999</v>
      </c>
      <c r="V1886" s="26">
        <v>11</v>
      </c>
      <c r="W1886" s="29">
        <v>1838.85</v>
      </c>
      <c r="X1886" s="26">
        <v>90449</v>
      </c>
      <c r="Y1886" s="35">
        <v>3.61</v>
      </c>
      <c r="Z1886" s="1" t="s">
        <v>3012</v>
      </c>
      <c r="AA1886" s="36">
        <v>110.54450000000003</v>
      </c>
      <c r="AB1886" s="54">
        <v>753.92849999999999</v>
      </c>
      <c r="AC1886" s="54">
        <v>98.629227272727263</v>
      </c>
      <c r="AD1886" s="36">
        <v>455.29899999999998</v>
      </c>
    </row>
    <row r="1887" spans="1:30" s="37" customFormat="1" ht="15.75" customHeight="1" x14ac:dyDescent="0.2">
      <c r="A1887" s="26">
        <v>3176</v>
      </c>
      <c r="B1887" s="27" t="s">
        <v>2409</v>
      </c>
      <c r="C1887" s="27" t="s">
        <v>48</v>
      </c>
      <c r="D1887" s="28">
        <v>0.02</v>
      </c>
      <c r="E1887" s="29">
        <v>58.14</v>
      </c>
      <c r="F1887" s="29">
        <v>36.61</v>
      </c>
      <c r="G1887" s="30" t="s">
        <v>27</v>
      </c>
      <c r="H1887" s="27" t="s">
        <v>40</v>
      </c>
      <c r="I1887" s="27" t="s">
        <v>29</v>
      </c>
      <c r="J1887" s="27" t="s">
        <v>117</v>
      </c>
      <c r="K1887" s="27" t="s">
        <v>31</v>
      </c>
      <c r="L1887" s="31" t="s">
        <v>2575</v>
      </c>
      <c r="M1887" s="32">
        <v>0.61</v>
      </c>
      <c r="N1887" s="27" t="s">
        <v>33</v>
      </c>
      <c r="O1887" s="27" t="s">
        <v>34</v>
      </c>
      <c r="P1887" s="27" t="s">
        <v>123</v>
      </c>
      <c r="Q1887" s="27" t="s">
        <v>2411</v>
      </c>
      <c r="R1887" s="33">
        <v>32216</v>
      </c>
      <c r="S1887" s="34">
        <v>42180</v>
      </c>
      <c r="T1887" s="34">
        <v>42186</v>
      </c>
      <c r="U1887" s="29">
        <v>0.25800000000000001</v>
      </c>
      <c r="V1887" s="26">
        <v>22</v>
      </c>
      <c r="W1887" s="29">
        <v>1358.02</v>
      </c>
      <c r="X1887" s="26">
        <v>90821</v>
      </c>
      <c r="Y1887" s="35">
        <v>58.12</v>
      </c>
      <c r="Z1887" s="1" t="s">
        <v>3011</v>
      </c>
      <c r="AA1887" s="36">
        <v>25.581600000000002</v>
      </c>
      <c r="AB1887" s="54">
        <v>529.62779999999998</v>
      </c>
      <c r="AC1887" s="54">
        <v>37.654190909090907</v>
      </c>
      <c r="AD1887" s="36">
        <v>1295.5704000000001</v>
      </c>
    </row>
    <row r="1888" spans="1:30" s="37" customFormat="1" ht="15.75" customHeight="1" x14ac:dyDescent="0.2">
      <c r="A1888" s="26">
        <v>3261</v>
      </c>
      <c r="B1888" s="27" t="s">
        <v>2972</v>
      </c>
      <c r="C1888" s="27" t="s">
        <v>3094</v>
      </c>
      <c r="D1888" s="28">
        <v>7.0000000000000007E-2</v>
      </c>
      <c r="E1888" s="29">
        <v>105.34</v>
      </c>
      <c r="F1888" s="29">
        <v>24.49</v>
      </c>
      <c r="G1888" s="30" t="s">
        <v>87</v>
      </c>
      <c r="H1888" s="27" t="s">
        <v>40</v>
      </c>
      <c r="I1888" s="27" t="s">
        <v>29</v>
      </c>
      <c r="J1888" s="27" t="s">
        <v>126</v>
      </c>
      <c r="K1888" s="27" t="s">
        <v>65</v>
      </c>
      <c r="L1888" s="31" t="s">
        <v>681</v>
      </c>
      <c r="M1888" s="32">
        <v>0.61</v>
      </c>
      <c r="N1888" s="27" t="s">
        <v>33</v>
      </c>
      <c r="O1888" s="27" t="s">
        <v>53</v>
      </c>
      <c r="P1888" s="27" t="s">
        <v>289</v>
      </c>
      <c r="Q1888" s="27" t="s">
        <v>2973</v>
      </c>
      <c r="R1888" s="33">
        <v>49221</v>
      </c>
      <c r="S1888" s="34">
        <v>42180</v>
      </c>
      <c r="T1888" s="34">
        <v>42181</v>
      </c>
      <c r="U1888" s="29">
        <v>710.67240000000004</v>
      </c>
      <c r="V1888" s="26">
        <v>10</v>
      </c>
      <c r="W1888" s="29">
        <v>1029.96</v>
      </c>
      <c r="X1888" s="26">
        <v>90296</v>
      </c>
      <c r="Y1888" s="35">
        <v>15.540000000000001</v>
      </c>
      <c r="Z1888" s="1" t="s">
        <v>3012</v>
      </c>
      <c r="AA1888" s="36">
        <v>73.738000000000014</v>
      </c>
      <c r="AB1888" s="54">
        <v>401.68440000000004</v>
      </c>
      <c r="AC1888" s="54">
        <v>62.827560000000005</v>
      </c>
      <c r="AD1888" s="36">
        <v>221.05959999999993</v>
      </c>
    </row>
    <row r="1889" spans="1:30" s="37" customFormat="1" ht="15.75" customHeight="1" x14ac:dyDescent="0.2">
      <c r="A1889" s="26">
        <v>2903</v>
      </c>
      <c r="B1889" s="27" t="s">
        <v>2969</v>
      </c>
      <c r="C1889" s="27" t="s">
        <v>3094</v>
      </c>
      <c r="D1889" s="28">
        <v>0.06</v>
      </c>
      <c r="E1889" s="29">
        <v>70.89</v>
      </c>
      <c r="F1889" s="29">
        <v>89.3</v>
      </c>
      <c r="G1889" s="30" t="s">
        <v>27</v>
      </c>
      <c r="H1889" s="27" t="s">
        <v>3095</v>
      </c>
      <c r="I1889" s="27" t="s">
        <v>29</v>
      </c>
      <c r="J1889" s="27" t="s">
        <v>30</v>
      </c>
      <c r="K1889" s="27" t="s">
        <v>31</v>
      </c>
      <c r="L1889" s="31" t="s">
        <v>2970</v>
      </c>
      <c r="M1889" s="32">
        <v>0.72</v>
      </c>
      <c r="N1889" s="27" t="s">
        <v>33</v>
      </c>
      <c r="O1889" s="27" t="s">
        <v>111</v>
      </c>
      <c r="P1889" s="27" t="s">
        <v>317</v>
      </c>
      <c r="Q1889" s="27" t="s">
        <v>2971</v>
      </c>
      <c r="R1889" s="33">
        <v>43068</v>
      </c>
      <c r="S1889" s="34">
        <v>42180</v>
      </c>
      <c r="T1889" s="34">
        <v>42180</v>
      </c>
      <c r="U1889" s="29">
        <v>65.077020000000005</v>
      </c>
      <c r="V1889" s="26">
        <v>6</v>
      </c>
      <c r="W1889" s="29">
        <v>364.26</v>
      </c>
      <c r="X1889" s="26">
        <v>87374</v>
      </c>
      <c r="Y1889" s="35">
        <v>130.94</v>
      </c>
      <c r="Z1889" s="1" t="s">
        <v>3014</v>
      </c>
      <c r="AA1889" s="36">
        <v>25.520400000000002</v>
      </c>
      <c r="AB1889" s="54">
        <v>101.9928</v>
      </c>
      <c r="AC1889" s="54">
        <v>43.711199999999998</v>
      </c>
      <c r="AD1889" s="36">
        <v>184.36257999999998</v>
      </c>
    </row>
    <row r="1890" spans="1:30" s="37" customFormat="1" ht="15.75" customHeight="1" x14ac:dyDescent="0.2">
      <c r="A1890" s="26">
        <v>3176</v>
      </c>
      <c r="B1890" s="27" t="s">
        <v>2409</v>
      </c>
      <c r="C1890" s="27" t="s">
        <v>48</v>
      </c>
      <c r="D1890" s="28">
        <v>0.03</v>
      </c>
      <c r="E1890" s="29">
        <v>15.57</v>
      </c>
      <c r="F1890" s="29">
        <v>1.39</v>
      </c>
      <c r="G1890" s="30" t="s">
        <v>39</v>
      </c>
      <c r="H1890" s="27" t="s">
        <v>40</v>
      </c>
      <c r="I1890" s="27" t="s">
        <v>49</v>
      </c>
      <c r="J1890" s="27" t="s">
        <v>345</v>
      </c>
      <c r="K1890" s="27" t="s">
        <v>73</v>
      </c>
      <c r="L1890" s="31" t="s">
        <v>2340</v>
      </c>
      <c r="M1890" s="32">
        <v>0.38</v>
      </c>
      <c r="N1890" s="27" t="s">
        <v>33</v>
      </c>
      <c r="O1890" s="27" t="s">
        <v>34</v>
      </c>
      <c r="P1890" s="27" t="s">
        <v>123</v>
      </c>
      <c r="Q1890" s="27" t="s">
        <v>2411</v>
      </c>
      <c r="R1890" s="33">
        <v>32216</v>
      </c>
      <c r="S1890" s="34">
        <v>42180</v>
      </c>
      <c r="T1890" s="34">
        <v>42186</v>
      </c>
      <c r="U1890" s="29">
        <v>63.222000000000001</v>
      </c>
      <c r="V1890" s="26">
        <v>22</v>
      </c>
      <c r="W1890" s="29">
        <v>358.84</v>
      </c>
      <c r="X1890" s="26">
        <v>90821</v>
      </c>
      <c r="Y1890" s="35">
        <v>200.94</v>
      </c>
      <c r="Z1890" s="1" t="s">
        <v>3011</v>
      </c>
      <c r="AA1890" s="36">
        <v>10.276200000000001</v>
      </c>
      <c r="AB1890" s="54">
        <v>222.48079999999999</v>
      </c>
      <c r="AC1890" s="54">
        <v>6.198145454545454</v>
      </c>
      <c r="AD1890" s="36">
        <v>283.95179999999999</v>
      </c>
    </row>
    <row r="1891" spans="1:30" s="37" customFormat="1" ht="15.75" customHeight="1" x14ac:dyDescent="0.2">
      <c r="A1891" s="26">
        <v>1551</v>
      </c>
      <c r="B1891" s="27" t="s">
        <v>2963</v>
      </c>
      <c r="C1891" s="27" t="s">
        <v>48</v>
      </c>
      <c r="D1891" s="28">
        <v>7.0000000000000007E-2</v>
      </c>
      <c r="E1891" s="29">
        <v>17.7</v>
      </c>
      <c r="F1891" s="29">
        <v>9.4700000000000006</v>
      </c>
      <c r="G1891" s="30" t="s">
        <v>39</v>
      </c>
      <c r="H1891" s="27" t="s">
        <v>40</v>
      </c>
      <c r="I1891" s="27" t="s">
        <v>49</v>
      </c>
      <c r="J1891" s="27" t="s">
        <v>78</v>
      </c>
      <c r="K1891" s="27" t="s">
        <v>73</v>
      </c>
      <c r="L1891" s="31" t="s">
        <v>1051</v>
      </c>
      <c r="M1891" s="32">
        <v>0.59</v>
      </c>
      <c r="N1891" s="27" t="s">
        <v>33</v>
      </c>
      <c r="O1891" s="27" t="s">
        <v>34</v>
      </c>
      <c r="P1891" s="27" t="s">
        <v>35</v>
      </c>
      <c r="Q1891" s="27" t="s">
        <v>2964</v>
      </c>
      <c r="R1891" s="33">
        <v>39530</v>
      </c>
      <c r="S1891" s="34">
        <v>42180</v>
      </c>
      <c r="T1891" s="34">
        <v>42186</v>
      </c>
      <c r="U1891" s="29">
        <v>-243.54400000000001</v>
      </c>
      <c r="V1891" s="26">
        <v>18</v>
      </c>
      <c r="W1891" s="29">
        <v>300.67</v>
      </c>
      <c r="X1891" s="26">
        <v>87488</v>
      </c>
      <c r="Y1891" s="35">
        <v>124.47999999999999</v>
      </c>
      <c r="Z1891" s="1" t="s">
        <v>3011</v>
      </c>
      <c r="AA1891" s="36">
        <v>22.302000000000003</v>
      </c>
      <c r="AB1891" s="54">
        <v>123.27470000000001</v>
      </c>
      <c r="AC1891" s="54">
        <v>9.8552944444444446</v>
      </c>
      <c r="AD1891" s="36">
        <v>512.44200000000001</v>
      </c>
    </row>
    <row r="1892" spans="1:30" s="37" customFormat="1" ht="15.75" customHeight="1" x14ac:dyDescent="0.2">
      <c r="A1892" s="26">
        <v>1416</v>
      </c>
      <c r="B1892" s="27" t="s">
        <v>2430</v>
      </c>
      <c r="C1892" s="27" t="s">
        <v>38</v>
      </c>
      <c r="D1892" s="28">
        <v>0.04</v>
      </c>
      <c r="E1892" s="29">
        <v>46.89</v>
      </c>
      <c r="F1892" s="29">
        <v>5.0999999999999996</v>
      </c>
      <c r="G1892" s="30" t="s">
        <v>39</v>
      </c>
      <c r="H1892" s="27" t="s">
        <v>3095</v>
      </c>
      <c r="I1892" s="27" t="s">
        <v>49</v>
      </c>
      <c r="J1892" s="27" t="s">
        <v>95</v>
      </c>
      <c r="K1892" s="27" t="s">
        <v>144</v>
      </c>
      <c r="L1892" s="31" t="s">
        <v>1843</v>
      </c>
      <c r="M1892" s="32">
        <v>0.46</v>
      </c>
      <c r="N1892" s="27" t="s">
        <v>33</v>
      </c>
      <c r="O1892" s="27" t="s">
        <v>53</v>
      </c>
      <c r="P1892" s="27" t="s">
        <v>54</v>
      </c>
      <c r="Q1892" s="27" t="s">
        <v>1512</v>
      </c>
      <c r="R1892" s="33">
        <v>46203</v>
      </c>
      <c r="S1892" s="34">
        <v>42180</v>
      </c>
      <c r="T1892" s="34">
        <v>42182</v>
      </c>
      <c r="U1892" s="29">
        <v>87.12</v>
      </c>
      <c r="V1892" s="26">
        <v>4</v>
      </c>
      <c r="W1892" s="29">
        <v>182.61</v>
      </c>
      <c r="X1892" s="26">
        <v>90540</v>
      </c>
      <c r="Y1892" s="35">
        <v>177.94</v>
      </c>
      <c r="Z1892" s="1" t="s">
        <v>3012</v>
      </c>
      <c r="AA1892" s="36">
        <v>7.5024000000000006</v>
      </c>
      <c r="AB1892" s="54">
        <v>98.609400000000008</v>
      </c>
      <c r="AC1892" s="54">
        <v>21.000150000000001</v>
      </c>
      <c r="AD1892" s="36">
        <v>82.88760000000002</v>
      </c>
    </row>
    <row r="1893" spans="1:30" s="37" customFormat="1" ht="15.75" customHeight="1" x14ac:dyDescent="0.2">
      <c r="A1893" s="26">
        <v>447</v>
      </c>
      <c r="B1893" s="27" t="s">
        <v>2967</v>
      </c>
      <c r="C1893" s="27" t="s">
        <v>3094</v>
      </c>
      <c r="D1893" s="28">
        <v>0.04</v>
      </c>
      <c r="E1893" s="29">
        <v>130.97999999999999</v>
      </c>
      <c r="F1893" s="29">
        <v>30</v>
      </c>
      <c r="G1893" s="30" t="s">
        <v>27</v>
      </c>
      <c r="H1893" s="27" t="s">
        <v>94</v>
      </c>
      <c r="I1893" s="27" t="s">
        <v>29</v>
      </c>
      <c r="J1893" s="27" t="s">
        <v>109</v>
      </c>
      <c r="K1893" s="27" t="s">
        <v>58</v>
      </c>
      <c r="L1893" s="31" t="s">
        <v>2199</v>
      </c>
      <c r="M1893" s="32">
        <v>0.78</v>
      </c>
      <c r="N1893" s="27" t="s">
        <v>33</v>
      </c>
      <c r="O1893" s="27" t="s">
        <v>53</v>
      </c>
      <c r="P1893" s="27" t="s">
        <v>84</v>
      </c>
      <c r="Q1893" s="27" t="s">
        <v>1649</v>
      </c>
      <c r="R1893" s="33">
        <v>55113</v>
      </c>
      <c r="S1893" s="34">
        <v>42180</v>
      </c>
      <c r="T1893" s="34">
        <v>42183</v>
      </c>
      <c r="U1893" s="29">
        <v>-82.903999999999996</v>
      </c>
      <c r="V1893" s="26">
        <v>1</v>
      </c>
      <c r="W1893" s="29">
        <v>159.51</v>
      </c>
      <c r="X1893" s="26">
        <v>90449</v>
      </c>
      <c r="Y1893" s="35">
        <v>70.83</v>
      </c>
      <c r="Z1893" s="1" t="s">
        <v>3012</v>
      </c>
      <c r="AA1893" s="36">
        <v>5.2391999999999994</v>
      </c>
      <c r="AB1893" s="54">
        <v>35.092199999999991</v>
      </c>
      <c r="AC1893" s="54">
        <v>124.4178</v>
      </c>
      <c r="AD1893" s="36">
        <v>207.1748</v>
      </c>
    </row>
    <row r="1894" spans="1:30" s="37" customFormat="1" ht="15.75" customHeight="1" x14ac:dyDescent="0.2">
      <c r="A1894" s="26">
        <v>3128</v>
      </c>
      <c r="B1894" s="27" t="s">
        <v>2965</v>
      </c>
      <c r="C1894" s="27" t="s">
        <v>48</v>
      </c>
      <c r="D1894" s="28">
        <v>0.08</v>
      </c>
      <c r="E1894" s="29">
        <v>3.69</v>
      </c>
      <c r="F1894" s="29">
        <v>2.5</v>
      </c>
      <c r="G1894" s="30" t="s">
        <v>39</v>
      </c>
      <c r="H1894" s="27" t="s">
        <v>3095</v>
      </c>
      <c r="I1894" s="27" t="s">
        <v>49</v>
      </c>
      <c r="J1894" s="27" t="s">
        <v>345</v>
      </c>
      <c r="K1894" s="27" t="s">
        <v>73</v>
      </c>
      <c r="L1894" s="31" t="s">
        <v>2230</v>
      </c>
      <c r="M1894" s="32">
        <v>0.39</v>
      </c>
      <c r="N1894" s="27" t="s">
        <v>33</v>
      </c>
      <c r="O1894" s="27" t="s">
        <v>34</v>
      </c>
      <c r="P1894" s="27" t="s">
        <v>168</v>
      </c>
      <c r="Q1894" s="27" t="s">
        <v>2966</v>
      </c>
      <c r="R1894" s="33">
        <v>71109</v>
      </c>
      <c r="S1894" s="34">
        <v>42180</v>
      </c>
      <c r="T1894" s="34">
        <v>42185</v>
      </c>
      <c r="U1894" s="29">
        <v>-139.07599999999999</v>
      </c>
      <c r="V1894" s="26">
        <v>9</v>
      </c>
      <c r="W1894" s="29">
        <v>31.98</v>
      </c>
      <c r="X1894" s="26">
        <v>89810</v>
      </c>
      <c r="Y1894" s="35">
        <v>105.27000000000001</v>
      </c>
      <c r="Z1894" s="1" t="s">
        <v>3011</v>
      </c>
      <c r="AA1894" s="36">
        <v>2.6568000000000001</v>
      </c>
      <c r="AB1894" s="54">
        <v>19.5078</v>
      </c>
      <c r="AC1894" s="54">
        <v>1.3857999999999999</v>
      </c>
      <c r="AD1894" s="36">
        <v>165.89919999999998</v>
      </c>
    </row>
    <row r="1895" spans="1:30" s="37" customFormat="1" ht="15.75" customHeight="1" x14ac:dyDescent="0.2">
      <c r="A1895" s="26">
        <v>2062</v>
      </c>
      <c r="B1895" s="27" t="s">
        <v>866</v>
      </c>
      <c r="C1895" s="27" t="s">
        <v>48</v>
      </c>
      <c r="D1895" s="28">
        <v>0.04</v>
      </c>
      <c r="E1895" s="29">
        <v>291.73</v>
      </c>
      <c r="F1895" s="29">
        <v>48.8</v>
      </c>
      <c r="G1895" s="30" t="s">
        <v>27</v>
      </c>
      <c r="H1895" s="27" t="s">
        <v>94</v>
      </c>
      <c r="I1895" s="27" t="s">
        <v>29</v>
      </c>
      <c r="J1895" s="27" t="s">
        <v>109</v>
      </c>
      <c r="K1895" s="27" t="s">
        <v>58</v>
      </c>
      <c r="L1895" s="31" t="s">
        <v>110</v>
      </c>
      <c r="M1895" s="32">
        <v>0.56000000000000005</v>
      </c>
      <c r="N1895" s="27" t="s">
        <v>33</v>
      </c>
      <c r="O1895" s="27" t="s">
        <v>34</v>
      </c>
      <c r="P1895" s="27" t="s">
        <v>242</v>
      </c>
      <c r="Q1895" s="27" t="s">
        <v>868</v>
      </c>
      <c r="R1895" s="33">
        <v>23111</v>
      </c>
      <c r="S1895" s="34">
        <v>42181</v>
      </c>
      <c r="T1895" s="34">
        <v>42185</v>
      </c>
      <c r="U1895" s="29">
        <v>-115.90389999999999</v>
      </c>
      <c r="V1895" s="26">
        <v>22</v>
      </c>
      <c r="W1895" s="29">
        <v>6676.61</v>
      </c>
      <c r="X1895" s="26">
        <v>87148</v>
      </c>
      <c r="Y1895" s="35">
        <v>100.89</v>
      </c>
      <c r="Z1895" s="1" t="s">
        <v>3011</v>
      </c>
      <c r="AA1895" s="36">
        <v>256.72240000000005</v>
      </c>
      <c r="AB1895" s="54">
        <v>2937.7083999999995</v>
      </c>
      <c r="AC1895" s="54">
        <v>169.95007272727273</v>
      </c>
      <c r="AD1895" s="36">
        <v>6486.9915000000001</v>
      </c>
    </row>
    <row r="1896" spans="1:30" s="37" customFormat="1" ht="15.75" customHeight="1" x14ac:dyDescent="0.2">
      <c r="A1896" s="26">
        <v>2197</v>
      </c>
      <c r="B1896" s="27" t="s">
        <v>2974</v>
      </c>
      <c r="C1896" s="27" t="s">
        <v>26</v>
      </c>
      <c r="D1896" s="28">
        <v>0.08</v>
      </c>
      <c r="E1896" s="29">
        <v>100.97</v>
      </c>
      <c r="F1896" s="29">
        <v>7.18</v>
      </c>
      <c r="G1896" s="30" t="s">
        <v>39</v>
      </c>
      <c r="H1896" s="27" t="s">
        <v>3095</v>
      </c>
      <c r="I1896" s="27" t="s">
        <v>41</v>
      </c>
      <c r="J1896" s="27" t="s">
        <v>42</v>
      </c>
      <c r="K1896" s="27" t="s">
        <v>73</v>
      </c>
      <c r="L1896" s="31" t="s">
        <v>2801</v>
      </c>
      <c r="M1896" s="32">
        <v>0.46</v>
      </c>
      <c r="N1896" s="27" t="s">
        <v>33</v>
      </c>
      <c r="O1896" s="27" t="s">
        <v>111</v>
      </c>
      <c r="P1896" s="27" t="s">
        <v>112</v>
      </c>
      <c r="Q1896" s="27" t="s">
        <v>1856</v>
      </c>
      <c r="R1896" s="33">
        <v>11756</v>
      </c>
      <c r="S1896" s="34">
        <v>42181</v>
      </c>
      <c r="T1896" s="34">
        <v>42182</v>
      </c>
      <c r="U1896" s="29">
        <v>126.22499999999999</v>
      </c>
      <c r="V1896" s="26">
        <v>7</v>
      </c>
      <c r="W1896" s="29">
        <v>650.25</v>
      </c>
      <c r="X1896" s="26">
        <v>89176</v>
      </c>
      <c r="Y1896" s="35">
        <v>13.4</v>
      </c>
      <c r="Z1896" s="1" t="s">
        <v>3014</v>
      </c>
      <c r="AA1896" s="36">
        <v>56.543199999999999</v>
      </c>
      <c r="AB1896" s="54">
        <v>351.13500000000005</v>
      </c>
      <c r="AC1896" s="54">
        <v>42.730714285714285</v>
      </c>
      <c r="AD1896" s="36">
        <v>460.30180000000001</v>
      </c>
    </row>
    <row r="1897" spans="1:30" s="37" customFormat="1" ht="15.75" customHeight="1" x14ac:dyDescent="0.2">
      <c r="A1897" s="26">
        <v>2587</v>
      </c>
      <c r="B1897" s="27" t="s">
        <v>1427</v>
      </c>
      <c r="C1897" s="27" t="s">
        <v>3094</v>
      </c>
      <c r="D1897" s="28">
        <v>0.02</v>
      </c>
      <c r="E1897" s="29">
        <v>22.72</v>
      </c>
      <c r="F1897" s="29">
        <v>8.99</v>
      </c>
      <c r="G1897" s="30" t="s">
        <v>39</v>
      </c>
      <c r="H1897" s="27" t="s">
        <v>71</v>
      </c>
      <c r="I1897" s="27" t="s">
        <v>29</v>
      </c>
      <c r="J1897" s="27" t="s">
        <v>126</v>
      </c>
      <c r="K1897" s="27" t="s">
        <v>43</v>
      </c>
      <c r="L1897" s="31" t="s">
        <v>328</v>
      </c>
      <c r="M1897" s="32">
        <v>0.44</v>
      </c>
      <c r="N1897" s="27" t="s">
        <v>33</v>
      </c>
      <c r="O1897" s="27" t="s">
        <v>53</v>
      </c>
      <c r="P1897" s="27" t="s">
        <v>357</v>
      </c>
      <c r="Q1897" s="27" t="s">
        <v>1429</v>
      </c>
      <c r="R1897" s="33">
        <v>54220</v>
      </c>
      <c r="S1897" s="34">
        <v>42181</v>
      </c>
      <c r="T1897" s="34">
        <v>42181</v>
      </c>
      <c r="U1897" s="29">
        <v>200.0172</v>
      </c>
      <c r="V1897" s="26">
        <v>12</v>
      </c>
      <c r="W1897" s="29">
        <v>289.88</v>
      </c>
      <c r="X1897" s="26">
        <v>91167</v>
      </c>
      <c r="Y1897" s="35">
        <v>291.69</v>
      </c>
      <c r="Z1897" s="1" t="s">
        <v>3012</v>
      </c>
      <c r="AA1897" s="36">
        <v>5.4527999999999999</v>
      </c>
      <c r="AB1897" s="54">
        <v>162.33280000000002</v>
      </c>
      <c r="AC1897" s="54">
        <v>10.628933333333332</v>
      </c>
      <c r="AD1897" s="36">
        <v>75.419999999999987</v>
      </c>
    </row>
    <row r="1898" spans="1:30" s="37" customFormat="1" ht="15.75" customHeight="1" x14ac:dyDescent="0.2">
      <c r="A1898" s="26">
        <v>2197</v>
      </c>
      <c r="B1898" s="27" t="s">
        <v>2974</v>
      </c>
      <c r="C1898" s="27" t="s">
        <v>26</v>
      </c>
      <c r="D1898" s="28">
        <v>0</v>
      </c>
      <c r="E1898" s="29">
        <v>13.4</v>
      </c>
      <c r="F1898" s="29">
        <v>4.95</v>
      </c>
      <c r="G1898" s="30" t="s">
        <v>39</v>
      </c>
      <c r="H1898" s="27" t="s">
        <v>3095</v>
      </c>
      <c r="I1898" s="27" t="s">
        <v>29</v>
      </c>
      <c r="J1898" s="27" t="s">
        <v>126</v>
      </c>
      <c r="K1898" s="27" t="s">
        <v>43</v>
      </c>
      <c r="L1898" s="31" t="s">
        <v>1205</v>
      </c>
      <c r="M1898" s="32">
        <v>0.37</v>
      </c>
      <c r="N1898" s="27" t="s">
        <v>33</v>
      </c>
      <c r="O1898" s="27" t="s">
        <v>111</v>
      </c>
      <c r="P1898" s="27" t="s">
        <v>112</v>
      </c>
      <c r="Q1898" s="27" t="s">
        <v>1856</v>
      </c>
      <c r="R1898" s="33">
        <v>11756</v>
      </c>
      <c r="S1898" s="34">
        <v>42181</v>
      </c>
      <c r="T1898" s="34">
        <v>42182</v>
      </c>
      <c r="U1898" s="29">
        <v>187.7628</v>
      </c>
      <c r="V1898" s="26">
        <v>19</v>
      </c>
      <c r="W1898" s="29">
        <v>272.12</v>
      </c>
      <c r="X1898" s="26">
        <v>89176</v>
      </c>
      <c r="Y1898" s="35">
        <v>22.7</v>
      </c>
      <c r="Z1898" s="1" t="s">
        <v>3014</v>
      </c>
      <c r="AA1898" s="36">
        <v>0</v>
      </c>
      <c r="AB1898" s="54">
        <v>171.43559999999999</v>
      </c>
      <c r="AC1898" s="54">
        <v>5.2991789473684205</v>
      </c>
      <c r="AD1898" s="36">
        <v>79.407200000000017</v>
      </c>
    </row>
    <row r="1899" spans="1:30" s="37" customFormat="1" ht="15.75" customHeight="1" x14ac:dyDescent="0.2">
      <c r="A1899" s="26">
        <v>937</v>
      </c>
      <c r="B1899" s="27" t="s">
        <v>2976</v>
      </c>
      <c r="C1899" s="27" t="s">
        <v>3094</v>
      </c>
      <c r="D1899" s="28">
        <v>0.01</v>
      </c>
      <c r="E1899" s="29">
        <v>65.989999999999995</v>
      </c>
      <c r="F1899" s="29">
        <v>3.99</v>
      </c>
      <c r="G1899" s="30" t="s">
        <v>39</v>
      </c>
      <c r="H1899" s="27" t="s">
        <v>94</v>
      </c>
      <c r="I1899" s="27" t="s">
        <v>41</v>
      </c>
      <c r="J1899" s="27" t="s">
        <v>135</v>
      </c>
      <c r="K1899" s="27" t="s">
        <v>73</v>
      </c>
      <c r="L1899" s="31" t="s">
        <v>1634</v>
      </c>
      <c r="M1899" s="32">
        <v>0.59</v>
      </c>
      <c r="N1899" s="27" t="s">
        <v>33</v>
      </c>
      <c r="O1899" s="27" t="s">
        <v>60</v>
      </c>
      <c r="P1899" s="27" t="s">
        <v>90</v>
      </c>
      <c r="Q1899" s="27" t="s">
        <v>959</v>
      </c>
      <c r="R1899" s="33">
        <v>90278</v>
      </c>
      <c r="S1899" s="34">
        <v>42182</v>
      </c>
      <c r="T1899" s="34">
        <v>42183</v>
      </c>
      <c r="U1899" s="29">
        <v>-95.210499999999996</v>
      </c>
      <c r="V1899" s="26">
        <v>3</v>
      </c>
      <c r="W1899" s="29">
        <v>166.59</v>
      </c>
      <c r="X1899" s="26">
        <v>90589</v>
      </c>
      <c r="Y1899" s="35">
        <v>2.8400000000000003</v>
      </c>
      <c r="Z1899" s="1" t="s">
        <v>3013</v>
      </c>
      <c r="AA1899" s="36">
        <v>1.9796999999999998</v>
      </c>
      <c r="AB1899" s="54">
        <v>68.301900000000003</v>
      </c>
      <c r="AC1899" s="54">
        <v>32.762700000000002</v>
      </c>
      <c r="AD1899" s="36">
        <v>255.83080000000001</v>
      </c>
    </row>
    <row r="1900" spans="1:30" s="37" customFormat="1" ht="15.75" customHeight="1" x14ac:dyDescent="0.2">
      <c r="A1900" s="26">
        <v>936</v>
      </c>
      <c r="B1900" s="27" t="s">
        <v>1227</v>
      </c>
      <c r="C1900" s="27" t="s">
        <v>3094</v>
      </c>
      <c r="D1900" s="28">
        <v>0.05</v>
      </c>
      <c r="E1900" s="29">
        <v>5.98</v>
      </c>
      <c r="F1900" s="29">
        <v>5.46</v>
      </c>
      <c r="G1900" s="30" t="s">
        <v>39</v>
      </c>
      <c r="H1900" s="27" t="s">
        <v>94</v>
      </c>
      <c r="I1900" s="27" t="s">
        <v>49</v>
      </c>
      <c r="J1900" s="27" t="s">
        <v>88</v>
      </c>
      <c r="K1900" s="27" t="s">
        <v>73</v>
      </c>
      <c r="L1900" s="31" t="s">
        <v>1156</v>
      </c>
      <c r="M1900" s="32">
        <v>0.36</v>
      </c>
      <c r="N1900" s="27" t="s">
        <v>33</v>
      </c>
      <c r="O1900" s="27" t="s">
        <v>60</v>
      </c>
      <c r="P1900" s="27" t="s">
        <v>90</v>
      </c>
      <c r="Q1900" s="27" t="s">
        <v>1229</v>
      </c>
      <c r="R1900" s="33">
        <v>92374</v>
      </c>
      <c r="S1900" s="34">
        <v>42182</v>
      </c>
      <c r="T1900" s="34">
        <v>42182</v>
      </c>
      <c r="U1900" s="29">
        <v>-31.885000000000002</v>
      </c>
      <c r="V1900" s="26">
        <v>17</v>
      </c>
      <c r="W1900" s="29">
        <v>104.95</v>
      </c>
      <c r="X1900" s="26">
        <v>90589</v>
      </c>
      <c r="Y1900" s="35">
        <v>5.9300000000000006</v>
      </c>
      <c r="Z1900" s="1" t="s">
        <v>3013</v>
      </c>
      <c r="AA1900" s="36">
        <v>5.0830000000000011</v>
      </c>
      <c r="AB1900" s="54">
        <v>67.168000000000006</v>
      </c>
      <c r="AC1900" s="54">
        <v>2.2224705882352942</v>
      </c>
      <c r="AD1900" s="36">
        <v>126.292</v>
      </c>
    </row>
    <row r="1901" spans="1:30" s="37" customFormat="1" ht="15.75" customHeight="1" x14ac:dyDescent="0.2">
      <c r="A1901" s="26">
        <v>2617</v>
      </c>
      <c r="B1901" s="27" t="s">
        <v>2977</v>
      </c>
      <c r="C1901" s="27" t="s">
        <v>3094</v>
      </c>
      <c r="D1901" s="28">
        <v>0.1</v>
      </c>
      <c r="E1901" s="29">
        <v>3.25</v>
      </c>
      <c r="F1901" s="29">
        <v>49</v>
      </c>
      <c r="G1901" s="30" t="s">
        <v>39</v>
      </c>
      <c r="H1901" s="27" t="s">
        <v>94</v>
      </c>
      <c r="I1901" s="27" t="s">
        <v>49</v>
      </c>
      <c r="J1901" s="27" t="s">
        <v>95</v>
      </c>
      <c r="K1901" s="27" t="s">
        <v>65</v>
      </c>
      <c r="L1901" s="31" t="s">
        <v>2719</v>
      </c>
      <c r="M1901" s="32">
        <v>0.56000000000000005</v>
      </c>
      <c r="N1901" s="27" t="s">
        <v>33</v>
      </c>
      <c r="O1901" s="27" t="s">
        <v>53</v>
      </c>
      <c r="P1901" s="27" t="s">
        <v>1071</v>
      </c>
      <c r="Q1901" s="27" t="s">
        <v>2978</v>
      </c>
      <c r="R1901" s="33">
        <v>57401</v>
      </c>
      <c r="S1901" s="34">
        <v>42182</v>
      </c>
      <c r="T1901" s="34">
        <v>42183</v>
      </c>
      <c r="U1901" s="29">
        <v>-286.245</v>
      </c>
      <c r="V1901" s="26">
        <v>6</v>
      </c>
      <c r="W1901" s="29">
        <v>40.69</v>
      </c>
      <c r="X1901" s="26">
        <v>91496</v>
      </c>
      <c r="Y1901" s="35">
        <v>65.97999999999999</v>
      </c>
      <c r="Z1901" s="1" t="s">
        <v>3012</v>
      </c>
      <c r="AA1901" s="36">
        <v>1.9500000000000002</v>
      </c>
      <c r="AB1901" s="54">
        <v>17.903599999999997</v>
      </c>
      <c r="AC1901" s="54">
        <v>3.7977333333333334</v>
      </c>
      <c r="AD1901" s="36">
        <v>275.98500000000001</v>
      </c>
    </row>
    <row r="1902" spans="1:30" s="37" customFormat="1" ht="15.75" customHeight="1" x14ac:dyDescent="0.2">
      <c r="A1902" s="26">
        <v>1380</v>
      </c>
      <c r="B1902" s="27" t="s">
        <v>2975</v>
      </c>
      <c r="C1902" s="27" t="s">
        <v>48</v>
      </c>
      <c r="D1902" s="28">
        <v>0.05</v>
      </c>
      <c r="E1902" s="29">
        <v>2.89</v>
      </c>
      <c r="F1902" s="29">
        <v>0.5</v>
      </c>
      <c r="G1902" s="30" t="s">
        <v>39</v>
      </c>
      <c r="H1902" s="27" t="s">
        <v>71</v>
      </c>
      <c r="I1902" s="27" t="s">
        <v>49</v>
      </c>
      <c r="J1902" s="27" t="s">
        <v>152</v>
      </c>
      <c r="K1902" s="27" t="s">
        <v>73</v>
      </c>
      <c r="L1902" s="31" t="s">
        <v>729</v>
      </c>
      <c r="M1902" s="32">
        <v>0.38</v>
      </c>
      <c r="N1902" s="27" t="s">
        <v>33</v>
      </c>
      <c r="O1902" s="27" t="s">
        <v>111</v>
      </c>
      <c r="P1902" s="27" t="s">
        <v>1356</v>
      </c>
      <c r="Q1902" s="27" t="s">
        <v>1877</v>
      </c>
      <c r="R1902" s="33">
        <v>3801</v>
      </c>
      <c r="S1902" s="34">
        <v>42182</v>
      </c>
      <c r="T1902" s="34">
        <v>42188</v>
      </c>
      <c r="U1902" s="29">
        <v>18.0642</v>
      </c>
      <c r="V1902" s="26">
        <v>9</v>
      </c>
      <c r="W1902" s="29">
        <v>26.18</v>
      </c>
      <c r="X1902" s="26">
        <v>88213</v>
      </c>
      <c r="Y1902" s="35">
        <v>3.15</v>
      </c>
      <c r="Z1902" s="1" t="s">
        <v>3014</v>
      </c>
      <c r="AA1902" s="36">
        <v>1.3005000000000002</v>
      </c>
      <c r="AB1902" s="54">
        <v>16.2316</v>
      </c>
      <c r="AC1902" s="54">
        <v>1.1053777777777778</v>
      </c>
      <c r="AD1902" s="36">
        <v>6.3153000000000006</v>
      </c>
    </row>
    <row r="1903" spans="1:30" s="37" customFormat="1" ht="15.75" customHeight="1" x14ac:dyDescent="0.2">
      <c r="A1903" s="26">
        <v>1193</v>
      </c>
      <c r="B1903" s="27" t="s">
        <v>1351</v>
      </c>
      <c r="C1903" s="27" t="s">
        <v>48</v>
      </c>
      <c r="D1903" s="28">
        <v>0.09</v>
      </c>
      <c r="E1903" s="29">
        <v>49.99</v>
      </c>
      <c r="F1903" s="29">
        <v>19.989999999999998</v>
      </c>
      <c r="G1903" s="30" t="s">
        <v>39</v>
      </c>
      <c r="H1903" s="27" t="s">
        <v>3095</v>
      </c>
      <c r="I1903" s="27" t="s">
        <v>41</v>
      </c>
      <c r="J1903" s="27" t="s">
        <v>42</v>
      </c>
      <c r="K1903" s="27" t="s">
        <v>73</v>
      </c>
      <c r="L1903" s="31" t="s">
        <v>1288</v>
      </c>
      <c r="M1903" s="32">
        <v>0.41</v>
      </c>
      <c r="N1903" s="27" t="s">
        <v>33</v>
      </c>
      <c r="O1903" s="27" t="s">
        <v>111</v>
      </c>
      <c r="P1903" s="27" t="s">
        <v>374</v>
      </c>
      <c r="Q1903" s="27" t="s">
        <v>67</v>
      </c>
      <c r="R1903" s="33">
        <v>20016</v>
      </c>
      <c r="S1903" s="34">
        <v>42183</v>
      </c>
      <c r="T1903" s="34">
        <v>42185</v>
      </c>
      <c r="U1903" s="29">
        <v>-17.03</v>
      </c>
      <c r="V1903" s="26">
        <v>48</v>
      </c>
      <c r="W1903" s="29">
        <v>2373.3200000000002</v>
      </c>
      <c r="X1903" s="26">
        <v>11206</v>
      </c>
      <c r="Y1903" s="35">
        <v>100.89</v>
      </c>
      <c r="Z1903" s="1" t="s">
        <v>3014</v>
      </c>
      <c r="AA1903" s="36">
        <v>215.95680000000002</v>
      </c>
      <c r="AB1903" s="54">
        <v>1400.2588000000003</v>
      </c>
      <c r="AC1903" s="54">
        <v>20.272108333333332</v>
      </c>
      <c r="AD1903" s="36">
        <v>2154.4032000000002</v>
      </c>
    </row>
    <row r="1904" spans="1:30" s="37" customFormat="1" ht="15.75" customHeight="1" x14ac:dyDescent="0.2">
      <c r="A1904" s="26">
        <v>1357</v>
      </c>
      <c r="B1904" s="27" t="s">
        <v>2750</v>
      </c>
      <c r="C1904" s="27" t="s">
        <v>38</v>
      </c>
      <c r="D1904" s="28">
        <v>7.0000000000000007E-2</v>
      </c>
      <c r="E1904" s="29">
        <v>119.99</v>
      </c>
      <c r="F1904" s="29">
        <v>16.8</v>
      </c>
      <c r="G1904" s="30" t="s">
        <v>27</v>
      </c>
      <c r="H1904" s="27" t="s">
        <v>71</v>
      </c>
      <c r="I1904" s="27" t="s">
        <v>41</v>
      </c>
      <c r="J1904" s="27" t="s">
        <v>57</v>
      </c>
      <c r="K1904" s="27" t="s">
        <v>31</v>
      </c>
      <c r="L1904" s="31" t="s">
        <v>2984</v>
      </c>
      <c r="M1904" s="32">
        <v>0.35</v>
      </c>
      <c r="N1904" s="27" t="s">
        <v>33</v>
      </c>
      <c r="O1904" s="27" t="s">
        <v>53</v>
      </c>
      <c r="P1904" s="27" t="s">
        <v>187</v>
      </c>
      <c r="Q1904" s="27" t="s">
        <v>2751</v>
      </c>
      <c r="R1904" s="33">
        <v>78596</v>
      </c>
      <c r="S1904" s="34">
        <v>42183</v>
      </c>
      <c r="T1904" s="34">
        <v>42185</v>
      </c>
      <c r="U1904" s="29">
        <v>1206.5961</v>
      </c>
      <c r="V1904" s="26">
        <v>15</v>
      </c>
      <c r="W1904" s="29">
        <v>1748.69</v>
      </c>
      <c r="X1904" s="26">
        <v>88185</v>
      </c>
      <c r="Y1904" s="35">
        <v>5.6800000000000006</v>
      </c>
      <c r="Z1904" s="1" t="s">
        <v>3012</v>
      </c>
      <c r="AA1904" s="36">
        <v>125.98950000000001</v>
      </c>
      <c r="AB1904" s="54">
        <v>1136.6485</v>
      </c>
      <c r="AC1904" s="54">
        <v>40.802766666666663</v>
      </c>
      <c r="AD1904" s="36">
        <v>399.30440000000021</v>
      </c>
    </row>
    <row r="1905" spans="1:30" s="37" customFormat="1" ht="15.75" customHeight="1" x14ac:dyDescent="0.2">
      <c r="A1905" s="26">
        <v>2987</v>
      </c>
      <c r="B1905" s="27" t="s">
        <v>2979</v>
      </c>
      <c r="C1905" s="27" t="s">
        <v>26</v>
      </c>
      <c r="D1905" s="28">
        <v>0.09</v>
      </c>
      <c r="E1905" s="29">
        <v>100.98</v>
      </c>
      <c r="F1905" s="29">
        <v>35.840000000000003</v>
      </c>
      <c r="G1905" s="30" t="s">
        <v>27</v>
      </c>
      <c r="H1905" s="27" t="s">
        <v>71</v>
      </c>
      <c r="I1905" s="27" t="s">
        <v>29</v>
      </c>
      <c r="J1905" s="27" t="s">
        <v>117</v>
      </c>
      <c r="K1905" s="27" t="s">
        <v>31</v>
      </c>
      <c r="L1905" s="31" t="s">
        <v>118</v>
      </c>
      <c r="M1905" s="32">
        <v>0.62</v>
      </c>
      <c r="N1905" s="27" t="s">
        <v>33</v>
      </c>
      <c r="O1905" s="27" t="s">
        <v>53</v>
      </c>
      <c r="P1905" s="27" t="s">
        <v>213</v>
      </c>
      <c r="Q1905" s="27" t="s">
        <v>2980</v>
      </c>
      <c r="R1905" s="33">
        <v>50265</v>
      </c>
      <c r="S1905" s="34">
        <v>42183</v>
      </c>
      <c r="T1905" s="34">
        <v>42183</v>
      </c>
      <c r="U1905" s="29">
        <v>-103.624</v>
      </c>
      <c r="V1905" s="26">
        <v>17</v>
      </c>
      <c r="W1905" s="29">
        <v>1700.38</v>
      </c>
      <c r="X1905" s="26">
        <v>91180</v>
      </c>
      <c r="Y1905" s="35">
        <v>4.95</v>
      </c>
      <c r="Z1905" s="1" t="s">
        <v>3012</v>
      </c>
      <c r="AA1905" s="36">
        <v>154.49940000000001</v>
      </c>
      <c r="AB1905" s="54">
        <v>646.14440000000002</v>
      </c>
      <c r="AC1905" s="54">
        <v>62.013858823529418</v>
      </c>
      <c r="AD1905" s="36">
        <v>1613.6646000000001</v>
      </c>
    </row>
    <row r="1906" spans="1:30" s="37" customFormat="1" ht="15.75" customHeight="1" x14ac:dyDescent="0.2">
      <c r="A1906" s="26">
        <v>1203</v>
      </c>
      <c r="B1906" s="27" t="s">
        <v>2990</v>
      </c>
      <c r="C1906" s="27" t="s">
        <v>48</v>
      </c>
      <c r="D1906" s="28">
        <v>0.09</v>
      </c>
      <c r="E1906" s="29">
        <v>49.99</v>
      </c>
      <c r="F1906" s="29">
        <v>19.989999999999998</v>
      </c>
      <c r="G1906" s="30" t="s">
        <v>39</v>
      </c>
      <c r="H1906" s="27" t="s">
        <v>3095</v>
      </c>
      <c r="I1906" s="27" t="s">
        <v>41</v>
      </c>
      <c r="J1906" s="27" t="s">
        <v>42</v>
      </c>
      <c r="K1906" s="27" t="s">
        <v>73</v>
      </c>
      <c r="L1906" s="31" t="s">
        <v>1288</v>
      </c>
      <c r="M1906" s="32">
        <v>0.41</v>
      </c>
      <c r="N1906" s="27" t="s">
        <v>33</v>
      </c>
      <c r="O1906" s="27" t="s">
        <v>111</v>
      </c>
      <c r="P1906" s="27" t="s">
        <v>584</v>
      </c>
      <c r="Q1906" s="27" t="s">
        <v>585</v>
      </c>
      <c r="R1906" s="33">
        <v>2920</v>
      </c>
      <c r="S1906" s="34">
        <v>42183</v>
      </c>
      <c r="T1906" s="34">
        <v>42185</v>
      </c>
      <c r="U1906" s="29">
        <v>-8.5150000000000006</v>
      </c>
      <c r="V1906" s="26">
        <v>12</v>
      </c>
      <c r="W1906" s="29">
        <v>593.33000000000004</v>
      </c>
      <c r="X1906" s="26">
        <v>87587</v>
      </c>
      <c r="Y1906" s="35">
        <v>119.92</v>
      </c>
      <c r="Z1906" s="1" t="s">
        <v>3014</v>
      </c>
      <c r="AA1906" s="36">
        <v>53.989200000000004</v>
      </c>
      <c r="AB1906" s="54">
        <v>350.06470000000007</v>
      </c>
      <c r="AC1906" s="54">
        <v>20.272108333333332</v>
      </c>
      <c r="AD1906" s="36">
        <v>527.86580000000004</v>
      </c>
    </row>
    <row r="1907" spans="1:30" s="37" customFormat="1" ht="15.75" customHeight="1" x14ac:dyDescent="0.2">
      <c r="A1907" s="26">
        <v>1733</v>
      </c>
      <c r="B1907" s="27" t="s">
        <v>2001</v>
      </c>
      <c r="C1907" s="27" t="s">
        <v>38</v>
      </c>
      <c r="D1907" s="28">
        <v>0.02</v>
      </c>
      <c r="E1907" s="29">
        <v>30.98</v>
      </c>
      <c r="F1907" s="29">
        <v>17.079999999999998</v>
      </c>
      <c r="G1907" s="30" t="s">
        <v>39</v>
      </c>
      <c r="H1907" s="27" t="s">
        <v>3095</v>
      </c>
      <c r="I1907" s="27" t="s">
        <v>49</v>
      </c>
      <c r="J1907" s="27" t="s">
        <v>88</v>
      </c>
      <c r="K1907" s="27" t="s">
        <v>73</v>
      </c>
      <c r="L1907" s="31" t="s">
        <v>2985</v>
      </c>
      <c r="M1907" s="32">
        <v>0.4</v>
      </c>
      <c r="N1907" s="27" t="s">
        <v>33</v>
      </c>
      <c r="O1907" s="27" t="s">
        <v>111</v>
      </c>
      <c r="P1907" s="27" t="s">
        <v>374</v>
      </c>
      <c r="Q1907" s="27" t="s">
        <v>67</v>
      </c>
      <c r="R1907" s="33">
        <v>20012</v>
      </c>
      <c r="S1907" s="34">
        <v>42183</v>
      </c>
      <c r="T1907" s="34">
        <v>42184</v>
      </c>
      <c r="U1907" s="29">
        <v>-32.28</v>
      </c>
      <c r="V1907" s="26">
        <v>13</v>
      </c>
      <c r="W1907" s="29">
        <v>438.25</v>
      </c>
      <c r="X1907" s="26">
        <v>59937</v>
      </c>
      <c r="Y1907" s="35">
        <v>30.96</v>
      </c>
      <c r="Z1907" s="1" t="s">
        <v>3014</v>
      </c>
      <c r="AA1907" s="36">
        <v>8.0548000000000002</v>
      </c>
      <c r="AB1907" s="54">
        <v>262.95</v>
      </c>
      <c r="AC1907" s="54">
        <v>13.484615384615385</v>
      </c>
      <c r="AD1907" s="36">
        <v>445.39519999999999</v>
      </c>
    </row>
    <row r="1908" spans="1:30" s="37" customFormat="1" ht="15.75" customHeight="1" x14ac:dyDescent="0.2">
      <c r="A1908" s="26">
        <v>1193</v>
      </c>
      <c r="B1908" s="27" t="s">
        <v>1351</v>
      </c>
      <c r="C1908" s="27" t="s">
        <v>48</v>
      </c>
      <c r="D1908" s="28">
        <v>0.03</v>
      </c>
      <c r="E1908" s="29">
        <v>28.53</v>
      </c>
      <c r="F1908" s="29">
        <v>1.49</v>
      </c>
      <c r="G1908" s="30" t="s">
        <v>39</v>
      </c>
      <c r="H1908" s="27" t="s">
        <v>3095</v>
      </c>
      <c r="I1908" s="27" t="s">
        <v>49</v>
      </c>
      <c r="J1908" s="27" t="s">
        <v>72</v>
      </c>
      <c r="K1908" s="27" t="s">
        <v>73</v>
      </c>
      <c r="L1908" s="31" t="s">
        <v>1832</v>
      </c>
      <c r="M1908" s="32">
        <v>0.38</v>
      </c>
      <c r="N1908" s="27" t="s">
        <v>33</v>
      </c>
      <c r="O1908" s="27" t="s">
        <v>111</v>
      </c>
      <c r="P1908" s="27" t="s">
        <v>374</v>
      </c>
      <c r="Q1908" s="27" t="s">
        <v>67</v>
      </c>
      <c r="R1908" s="33">
        <v>20016</v>
      </c>
      <c r="S1908" s="34">
        <v>42183</v>
      </c>
      <c r="T1908" s="34">
        <v>42186</v>
      </c>
      <c r="U1908" s="29">
        <v>39.627000000000002</v>
      </c>
      <c r="V1908" s="26">
        <v>11</v>
      </c>
      <c r="W1908" s="29">
        <v>325.73</v>
      </c>
      <c r="X1908" s="26">
        <v>11206</v>
      </c>
      <c r="Y1908" s="35">
        <v>30.96</v>
      </c>
      <c r="Z1908" s="1" t="s">
        <v>3014</v>
      </c>
      <c r="AA1908" s="36">
        <v>9.4148999999999994</v>
      </c>
      <c r="AB1908" s="54">
        <v>201.95260000000002</v>
      </c>
      <c r="AC1908" s="54">
        <v>11.252490909090909</v>
      </c>
      <c r="AD1908" s="36">
        <v>275.19810000000001</v>
      </c>
    </row>
    <row r="1909" spans="1:30" s="37" customFormat="1" ht="15.75" customHeight="1" x14ac:dyDescent="0.2">
      <c r="A1909" s="26">
        <v>2801</v>
      </c>
      <c r="B1909" s="27" t="s">
        <v>2991</v>
      </c>
      <c r="C1909" s="27" t="s">
        <v>48</v>
      </c>
      <c r="D1909" s="28">
        <v>0</v>
      </c>
      <c r="E1909" s="29">
        <v>17.52</v>
      </c>
      <c r="F1909" s="29">
        <v>8.17</v>
      </c>
      <c r="G1909" s="30" t="s">
        <v>39</v>
      </c>
      <c r="H1909" s="27" t="s">
        <v>71</v>
      </c>
      <c r="I1909" s="27" t="s">
        <v>49</v>
      </c>
      <c r="J1909" s="27" t="s">
        <v>95</v>
      </c>
      <c r="K1909" s="27" t="s">
        <v>144</v>
      </c>
      <c r="L1909" s="31" t="s">
        <v>2992</v>
      </c>
      <c r="M1909" s="32">
        <v>0.5</v>
      </c>
      <c r="N1909" s="27" t="s">
        <v>33</v>
      </c>
      <c r="O1909" s="27" t="s">
        <v>60</v>
      </c>
      <c r="P1909" s="27" t="s">
        <v>588</v>
      </c>
      <c r="Q1909" s="27" t="s">
        <v>1718</v>
      </c>
      <c r="R1909" s="33">
        <v>85224</v>
      </c>
      <c r="S1909" s="34">
        <v>42183</v>
      </c>
      <c r="T1909" s="34">
        <v>42188</v>
      </c>
      <c r="U1909" s="29">
        <v>52.764000000000003</v>
      </c>
      <c r="V1909" s="26">
        <v>15</v>
      </c>
      <c r="W1909" s="29">
        <v>284.33999999999997</v>
      </c>
      <c r="X1909" s="26">
        <v>91049</v>
      </c>
      <c r="Y1909" s="35">
        <v>28.5</v>
      </c>
      <c r="Z1909" s="1" t="s">
        <v>3013</v>
      </c>
      <c r="AA1909" s="36">
        <v>0</v>
      </c>
      <c r="AB1909" s="54">
        <v>142.16999999999999</v>
      </c>
      <c r="AC1909" s="54">
        <v>9.4779999999999998</v>
      </c>
      <c r="AD1909" s="36">
        <v>223.40599999999998</v>
      </c>
    </row>
    <row r="1910" spans="1:30" s="37" customFormat="1" ht="15.75" customHeight="1" x14ac:dyDescent="0.2">
      <c r="A1910" s="26">
        <v>3226</v>
      </c>
      <c r="B1910" s="27" t="s">
        <v>501</v>
      </c>
      <c r="C1910" s="27" t="s">
        <v>116</v>
      </c>
      <c r="D1910" s="28">
        <v>0.06</v>
      </c>
      <c r="E1910" s="29">
        <v>22.24</v>
      </c>
      <c r="F1910" s="29">
        <v>1.99</v>
      </c>
      <c r="G1910" s="30" t="s">
        <v>39</v>
      </c>
      <c r="H1910" s="27" t="s">
        <v>3095</v>
      </c>
      <c r="I1910" s="27" t="s">
        <v>41</v>
      </c>
      <c r="J1910" s="27" t="s">
        <v>42</v>
      </c>
      <c r="K1910" s="27" t="s">
        <v>43</v>
      </c>
      <c r="L1910" s="31" t="s">
        <v>2993</v>
      </c>
      <c r="M1910" s="32">
        <v>0.43</v>
      </c>
      <c r="N1910" s="27" t="s">
        <v>33</v>
      </c>
      <c r="O1910" s="27" t="s">
        <v>34</v>
      </c>
      <c r="P1910" s="27" t="s">
        <v>400</v>
      </c>
      <c r="Q1910" s="27" t="s">
        <v>503</v>
      </c>
      <c r="R1910" s="33">
        <v>37075</v>
      </c>
      <c r="S1910" s="34">
        <v>42183</v>
      </c>
      <c r="T1910" s="34">
        <v>42185</v>
      </c>
      <c r="U1910" s="29">
        <v>95.388000000000005</v>
      </c>
      <c r="V1910" s="26">
        <v>12</v>
      </c>
      <c r="W1910" s="29">
        <v>255.88</v>
      </c>
      <c r="X1910" s="26">
        <v>86509</v>
      </c>
      <c r="Y1910" s="35">
        <v>49.9</v>
      </c>
      <c r="Z1910" s="1" t="s">
        <v>3011</v>
      </c>
      <c r="AA1910" s="36">
        <v>16.012799999999999</v>
      </c>
      <c r="AB1910" s="54">
        <v>145.85160000000002</v>
      </c>
      <c r="AC1910" s="54">
        <v>9.1690333333333331</v>
      </c>
      <c r="AD1910" s="36">
        <v>142.48919999999998</v>
      </c>
    </row>
    <row r="1911" spans="1:30" s="37" customFormat="1" ht="15.75" customHeight="1" x14ac:dyDescent="0.2">
      <c r="A1911" s="26">
        <v>1735</v>
      </c>
      <c r="B1911" s="27" t="s">
        <v>2986</v>
      </c>
      <c r="C1911" s="27" t="s">
        <v>38</v>
      </c>
      <c r="D1911" s="28">
        <v>0.02</v>
      </c>
      <c r="E1911" s="29">
        <v>30.98</v>
      </c>
      <c r="F1911" s="29">
        <v>17.079999999999998</v>
      </c>
      <c r="G1911" s="30" t="s">
        <v>39</v>
      </c>
      <c r="H1911" s="27" t="s">
        <v>3095</v>
      </c>
      <c r="I1911" s="27" t="s">
        <v>49</v>
      </c>
      <c r="J1911" s="27" t="s">
        <v>88</v>
      </c>
      <c r="K1911" s="27" t="s">
        <v>73</v>
      </c>
      <c r="L1911" s="31" t="s">
        <v>2985</v>
      </c>
      <c r="M1911" s="32">
        <v>0.4</v>
      </c>
      <c r="N1911" s="27" t="s">
        <v>33</v>
      </c>
      <c r="O1911" s="27" t="s">
        <v>111</v>
      </c>
      <c r="P1911" s="27" t="s">
        <v>112</v>
      </c>
      <c r="Q1911" s="27" t="s">
        <v>2987</v>
      </c>
      <c r="R1911" s="33">
        <v>11550</v>
      </c>
      <c r="S1911" s="34">
        <v>42183</v>
      </c>
      <c r="T1911" s="34">
        <v>42184</v>
      </c>
      <c r="U1911" s="29">
        <v>-16.14</v>
      </c>
      <c r="V1911" s="26">
        <v>3</v>
      </c>
      <c r="W1911" s="29">
        <v>101.13</v>
      </c>
      <c r="X1911" s="26">
        <v>88444</v>
      </c>
      <c r="Y1911" s="35">
        <v>28.5</v>
      </c>
      <c r="Z1911" s="1" t="s">
        <v>3014</v>
      </c>
      <c r="AA1911" s="36">
        <v>1.8588</v>
      </c>
      <c r="AB1911" s="54">
        <v>60.677999999999997</v>
      </c>
      <c r="AC1911" s="54">
        <v>13.484000000000002</v>
      </c>
      <c r="AD1911" s="36">
        <v>98.331199999999995</v>
      </c>
    </row>
    <row r="1912" spans="1:30" s="37" customFormat="1" ht="15.75" customHeight="1" x14ac:dyDescent="0.2">
      <c r="A1912" s="26">
        <v>1191</v>
      </c>
      <c r="B1912" s="27" t="s">
        <v>2988</v>
      </c>
      <c r="C1912" s="27" t="s">
        <v>48</v>
      </c>
      <c r="D1912" s="28">
        <v>0.03</v>
      </c>
      <c r="E1912" s="29">
        <v>28.53</v>
      </c>
      <c r="F1912" s="29">
        <v>1.49</v>
      </c>
      <c r="G1912" s="30" t="s">
        <v>39</v>
      </c>
      <c r="H1912" s="27" t="s">
        <v>3095</v>
      </c>
      <c r="I1912" s="27" t="s">
        <v>49</v>
      </c>
      <c r="J1912" s="27" t="s">
        <v>72</v>
      </c>
      <c r="K1912" s="27" t="s">
        <v>73</v>
      </c>
      <c r="L1912" s="31" t="s">
        <v>1832</v>
      </c>
      <c r="M1912" s="32">
        <v>0.38</v>
      </c>
      <c r="N1912" s="27" t="s">
        <v>33</v>
      </c>
      <c r="O1912" s="27" t="s">
        <v>111</v>
      </c>
      <c r="P1912" s="27" t="s">
        <v>248</v>
      </c>
      <c r="Q1912" s="27" t="s">
        <v>2989</v>
      </c>
      <c r="R1912" s="33">
        <v>6050</v>
      </c>
      <c r="S1912" s="34">
        <v>42183</v>
      </c>
      <c r="T1912" s="34">
        <v>42186</v>
      </c>
      <c r="U1912" s="29">
        <v>59.4405</v>
      </c>
      <c r="V1912" s="26">
        <v>3</v>
      </c>
      <c r="W1912" s="29">
        <v>88.84</v>
      </c>
      <c r="X1912" s="26">
        <v>87587</v>
      </c>
      <c r="Y1912" s="35">
        <v>49.9</v>
      </c>
      <c r="Z1912" s="1" t="s">
        <v>3014</v>
      </c>
      <c r="AA1912" s="36">
        <v>2.5676999999999999</v>
      </c>
      <c r="AB1912" s="54">
        <v>55.080800000000004</v>
      </c>
      <c r="AC1912" s="54">
        <v>11.253066666666667</v>
      </c>
      <c r="AD1912" s="36">
        <v>25.341799999999999</v>
      </c>
    </row>
    <row r="1913" spans="1:30" s="37" customFormat="1" ht="15.75" customHeight="1" x14ac:dyDescent="0.2">
      <c r="A1913" s="26">
        <v>3209</v>
      </c>
      <c r="B1913" s="27" t="s">
        <v>2982</v>
      </c>
      <c r="C1913" s="27" t="s">
        <v>26</v>
      </c>
      <c r="D1913" s="28">
        <v>0.03</v>
      </c>
      <c r="E1913" s="29">
        <v>4.9800000000000004</v>
      </c>
      <c r="F1913" s="29">
        <v>4.62</v>
      </c>
      <c r="G1913" s="30" t="s">
        <v>87</v>
      </c>
      <c r="H1913" s="27" t="s">
        <v>94</v>
      </c>
      <c r="I1913" s="27" t="s">
        <v>41</v>
      </c>
      <c r="J1913" s="27" t="s">
        <v>42</v>
      </c>
      <c r="K1913" s="27" t="s">
        <v>43</v>
      </c>
      <c r="L1913" s="31" t="s">
        <v>1221</v>
      </c>
      <c r="M1913" s="32">
        <v>0.64</v>
      </c>
      <c r="N1913" s="27" t="s">
        <v>33</v>
      </c>
      <c r="O1913" s="27" t="s">
        <v>60</v>
      </c>
      <c r="P1913" s="27" t="s">
        <v>90</v>
      </c>
      <c r="Q1913" s="27" t="s">
        <v>2983</v>
      </c>
      <c r="R1913" s="33">
        <v>90210</v>
      </c>
      <c r="S1913" s="34">
        <v>42183</v>
      </c>
      <c r="T1913" s="34">
        <v>42184</v>
      </c>
      <c r="U1913" s="29">
        <v>-30.45</v>
      </c>
      <c r="V1913" s="26">
        <v>8</v>
      </c>
      <c r="W1913" s="29">
        <v>44.24</v>
      </c>
      <c r="X1913" s="26">
        <v>90739</v>
      </c>
      <c r="Y1913" s="35">
        <v>17.52</v>
      </c>
      <c r="Z1913" s="1" t="s">
        <v>3013</v>
      </c>
      <c r="AA1913" s="36">
        <v>1.1952</v>
      </c>
      <c r="AB1913" s="54">
        <v>15.926400000000001</v>
      </c>
      <c r="AC1913" s="54">
        <v>3.5392000000000001</v>
      </c>
      <c r="AD1913" s="36">
        <v>68.874799999999993</v>
      </c>
    </row>
    <row r="1914" spans="1:30" s="37" customFormat="1" ht="15.75" customHeight="1" x14ac:dyDescent="0.2">
      <c r="A1914" s="26">
        <v>2987</v>
      </c>
      <c r="B1914" s="27" t="s">
        <v>2979</v>
      </c>
      <c r="C1914" s="27" t="s">
        <v>26</v>
      </c>
      <c r="D1914" s="28">
        <v>0.1</v>
      </c>
      <c r="E1914" s="29">
        <v>5.78</v>
      </c>
      <c r="F1914" s="29">
        <v>7.96</v>
      </c>
      <c r="G1914" s="30" t="s">
        <v>39</v>
      </c>
      <c r="H1914" s="27" t="s">
        <v>71</v>
      </c>
      <c r="I1914" s="27" t="s">
        <v>49</v>
      </c>
      <c r="J1914" s="27" t="s">
        <v>88</v>
      </c>
      <c r="K1914" s="27" t="s">
        <v>73</v>
      </c>
      <c r="L1914" s="31" t="s">
        <v>2981</v>
      </c>
      <c r="M1914" s="32">
        <v>0.36</v>
      </c>
      <c r="N1914" s="27" t="s">
        <v>33</v>
      </c>
      <c r="O1914" s="27" t="s">
        <v>53</v>
      </c>
      <c r="P1914" s="27" t="s">
        <v>213</v>
      </c>
      <c r="Q1914" s="27" t="s">
        <v>2980</v>
      </c>
      <c r="R1914" s="33">
        <v>50265</v>
      </c>
      <c r="S1914" s="34">
        <v>42183</v>
      </c>
      <c r="T1914" s="34">
        <v>42183</v>
      </c>
      <c r="U1914" s="29">
        <v>-57.823999999999998</v>
      </c>
      <c r="V1914" s="26">
        <v>6</v>
      </c>
      <c r="W1914" s="29">
        <v>35.96</v>
      </c>
      <c r="X1914" s="26">
        <v>91180</v>
      </c>
      <c r="Y1914" s="35">
        <v>22.18</v>
      </c>
      <c r="Z1914" s="1" t="s">
        <v>3012</v>
      </c>
      <c r="AA1914" s="36">
        <v>3.4680000000000004</v>
      </c>
      <c r="AB1914" s="54">
        <v>23.014400000000002</v>
      </c>
      <c r="AC1914" s="54">
        <v>2.1576</v>
      </c>
      <c r="AD1914" s="36">
        <v>82.355999999999995</v>
      </c>
    </row>
    <row r="1915" spans="1:30" s="37" customFormat="1" ht="15.75" customHeight="1" x14ac:dyDescent="0.2">
      <c r="A1915" s="26">
        <v>1502</v>
      </c>
      <c r="B1915" s="27" t="s">
        <v>2437</v>
      </c>
      <c r="C1915" s="27" t="s">
        <v>48</v>
      </c>
      <c r="D1915" s="28">
        <v>0</v>
      </c>
      <c r="E1915" s="29">
        <v>205.99</v>
      </c>
      <c r="F1915" s="29">
        <v>8.99</v>
      </c>
      <c r="G1915" s="30" t="s">
        <v>39</v>
      </c>
      <c r="H1915" s="27" t="s">
        <v>3095</v>
      </c>
      <c r="I1915" s="27" t="s">
        <v>41</v>
      </c>
      <c r="J1915" s="27" t="s">
        <v>135</v>
      </c>
      <c r="K1915" s="27" t="s">
        <v>73</v>
      </c>
      <c r="L1915" s="31" t="s">
        <v>1032</v>
      </c>
      <c r="M1915" s="32">
        <v>0.6</v>
      </c>
      <c r="N1915" s="27" t="s">
        <v>33</v>
      </c>
      <c r="O1915" s="27" t="s">
        <v>34</v>
      </c>
      <c r="P1915" s="27" t="s">
        <v>123</v>
      </c>
      <c r="Q1915" s="27" t="s">
        <v>2438</v>
      </c>
      <c r="R1915" s="33">
        <v>33065</v>
      </c>
      <c r="S1915" s="34">
        <v>42184</v>
      </c>
      <c r="T1915" s="34">
        <v>42187</v>
      </c>
      <c r="U1915" s="29">
        <v>186.55799999999999</v>
      </c>
      <c r="V1915" s="26">
        <v>13</v>
      </c>
      <c r="W1915" s="29">
        <v>2435.52</v>
      </c>
      <c r="X1915" s="26">
        <v>89194</v>
      </c>
      <c r="Y1915" s="35">
        <v>6.3900000000000006</v>
      </c>
      <c r="Z1915" s="1" t="s">
        <v>3011</v>
      </c>
      <c r="AA1915" s="36">
        <v>0</v>
      </c>
      <c r="AB1915" s="54">
        <v>974.20800000000008</v>
      </c>
      <c r="AC1915" s="54">
        <v>112.40861538461539</v>
      </c>
      <c r="AD1915" s="36">
        <v>2239.9719999999998</v>
      </c>
    </row>
    <row r="1916" spans="1:30" s="37" customFormat="1" ht="15.75" customHeight="1" x14ac:dyDescent="0.2">
      <c r="A1916" s="26">
        <v>3374</v>
      </c>
      <c r="B1916" s="27" t="s">
        <v>2742</v>
      </c>
      <c r="C1916" s="27" t="s">
        <v>38</v>
      </c>
      <c r="D1916" s="28">
        <v>0.05</v>
      </c>
      <c r="E1916" s="29">
        <v>73.98</v>
      </c>
      <c r="F1916" s="29">
        <v>12.14</v>
      </c>
      <c r="G1916" s="30" t="s">
        <v>39</v>
      </c>
      <c r="H1916" s="27" t="s">
        <v>71</v>
      </c>
      <c r="I1916" s="27" t="s">
        <v>41</v>
      </c>
      <c r="J1916" s="27" t="s">
        <v>42</v>
      </c>
      <c r="K1916" s="27" t="s">
        <v>73</v>
      </c>
      <c r="L1916" s="31" t="s">
        <v>733</v>
      </c>
      <c r="M1916" s="32">
        <v>0.67</v>
      </c>
      <c r="N1916" s="27" t="s">
        <v>33</v>
      </c>
      <c r="O1916" s="27" t="s">
        <v>111</v>
      </c>
      <c r="P1916" s="27" t="s">
        <v>418</v>
      </c>
      <c r="Q1916" s="27" t="s">
        <v>2743</v>
      </c>
      <c r="R1916" s="33">
        <v>21113</v>
      </c>
      <c r="S1916" s="34">
        <v>42184</v>
      </c>
      <c r="T1916" s="34">
        <v>42185</v>
      </c>
      <c r="U1916" s="29">
        <v>-1.9039999999999999</v>
      </c>
      <c r="V1916" s="26">
        <v>8</v>
      </c>
      <c r="W1916" s="29">
        <v>600.4</v>
      </c>
      <c r="X1916" s="26">
        <v>87474</v>
      </c>
      <c r="Y1916" s="35">
        <v>73.930000000000007</v>
      </c>
      <c r="Z1916" s="1" t="s">
        <v>3014</v>
      </c>
      <c r="AA1916" s="36">
        <v>29.592000000000002</v>
      </c>
      <c r="AB1916" s="54">
        <v>198.13199999999998</v>
      </c>
      <c r="AC1916" s="54">
        <v>50.283500000000004</v>
      </c>
      <c r="AD1916" s="36">
        <v>560.572</v>
      </c>
    </row>
    <row r="1917" spans="1:30" s="37" customFormat="1" ht="15.75" customHeight="1" x14ac:dyDescent="0.2">
      <c r="A1917" s="26">
        <v>1183</v>
      </c>
      <c r="B1917" s="27" t="s">
        <v>2998</v>
      </c>
      <c r="C1917" s="27" t="s">
        <v>3094</v>
      </c>
      <c r="D1917" s="28">
        <v>0.04</v>
      </c>
      <c r="E1917" s="29">
        <v>35.99</v>
      </c>
      <c r="F1917" s="29">
        <v>3.3</v>
      </c>
      <c r="G1917" s="30" t="s">
        <v>39</v>
      </c>
      <c r="H1917" s="27" t="s">
        <v>71</v>
      </c>
      <c r="I1917" s="27" t="s">
        <v>41</v>
      </c>
      <c r="J1917" s="27" t="s">
        <v>135</v>
      </c>
      <c r="K1917" s="27" t="s">
        <v>43</v>
      </c>
      <c r="L1917" s="31" t="s">
        <v>1910</v>
      </c>
      <c r="M1917" s="32">
        <v>0.39</v>
      </c>
      <c r="N1917" s="27" t="s">
        <v>33</v>
      </c>
      <c r="O1917" s="27" t="s">
        <v>60</v>
      </c>
      <c r="P1917" s="27" t="s">
        <v>146</v>
      </c>
      <c r="Q1917" s="27" t="s">
        <v>2999</v>
      </c>
      <c r="R1917" s="33">
        <v>84663</v>
      </c>
      <c r="S1917" s="34">
        <v>42184</v>
      </c>
      <c r="T1917" s="34">
        <v>42184</v>
      </c>
      <c r="U1917" s="29">
        <v>184.19550000000001</v>
      </c>
      <c r="V1917" s="26">
        <v>9</v>
      </c>
      <c r="W1917" s="29">
        <v>266.95</v>
      </c>
      <c r="X1917" s="26">
        <v>86914</v>
      </c>
      <c r="Y1917" s="35">
        <v>5.98</v>
      </c>
      <c r="Z1917" s="1" t="s">
        <v>3013</v>
      </c>
      <c r="AA1917" s="36">
        <v>12.956400000000002</v>
      </c>
      <c r="AB1917" s="54">
        <v>162.83949999999999</v>
      </c>
      <c r="AC1917" s="54">
        <v>11.567833333333335</v>
      </c>
      <c r="AD1917" s="36">
        <v>66.498099999999965</v>
      </c>
    </row>
    <row r="1918" spans="1:30" s="37" customFormat="1" ht="15.75" customHeight="1" x14ac:dyDescent="0.2">
      <c r="A1918" s="26">
        <v>1109</v>
      </c>
      <c r="B1918" s="27" t="s">
        <v>2996</v>
      </c>
      <c r="C1918" s="27" t="s">
        <v>116</v>
      </c>
      <c r="D1918" s="28">
        <v>0.08</v>
      </c>
      <c r="E1918" s="29">
        <v>8.3699999999999992</v>
      </c>
      <c r="F1918" s="29">
        <v>10.16</v>
      </c>
      <c r="G1918" s="30" t="s">
        <v>39</v>
      </c>
      <c r="H1918" s="27" t="s">
        <v>40</v>
      </c>
      <c r="I1918" s="27" t="s">
        <v>29</v>
      </c>
      <c r="J1918" s="27" t="s">
        <v>126</v>
      </c>
      <c r="K1918" s="27" t="s">
        <v>65</v>
      </c>
      <c r="L1918" s="31" t="s">
        <v>1572</v>
      </c>
      <c r="M1918" s="32">
        <v>0.59</v>
      </c>
      <c r="N1918" s="27" t="s">
        <v>33</v>
      </c>
      <c r="O1918" s="27" t="s">
        <v>53</v>
      </c>
      <c r="P1918" s="27" t="s">
        <v>187</v>
      </c>
      <c r="Q1918" s="27" t="s">
        <v>2997</v>
      </c>
      <c r="R1918" s="33">
        <v>78041</v>
      </c>
      <c r="S1918" s="34">
        <v>42184</v>
      </c>
      <c r="T1918" s="34">
        <v>42184</v>
      </c>
      <c r="U1918" s="29">
        <v>-169.232</v>
      </c>
      <c r="V1918" s="26">
        <v>13</v>
      </c>
      <c r="W1918" s="29">
        <v>108.99</v>
      </c>
      <c r="X1918" s="26">
        <v>86410</v>
      </c>
      <c r="Y1918" s="35">
        <v>3.48</v>
      </c>
      <c r="Z1918" s="1" t="s">
        <v>3012</v>
      </c>
      <c r="AA1918" s="36">
        <v>8.7047999999999988</v>
      </c>
      <c r="AB1918" s="54">
        <v>44.685900000000004</v>
      </c>
      <c r="AC1918" s="54">
        <v>4.9464692307692308</v>
      </c>
      <c r="AD1918" s="36">
        <v>259.35719999999998</v>
      </c>
    </row>
    <row r="1919" spans="1:30" s="37" customFormat="1" ht="15.75" customHeight="1" x14ac:dyDescent="0.2">
      <c r="A1919" s="26">
        <v>2448</v>
      </c>
      <c r="B1919" s="27" t="s">
        <v>2994</v>
      </c>
      <c r="C1919" s="27" t="s">
        <v>38</v>
      </c>
      <c r="D1919" s="28">
        <v>0.09</v>
      </c>
      <c r="E1919" s="29">
        <v>6.48</v>
      </c>
      <c r="F1919" s="29">
        <v>7.03</v>
      </c>
      <c r="G1919" s="30" t="s">
        <v>39</v>
      </c>
      <c r="H1919" s="27" t="s">
        <v>40</v>
      </c>
      <c r="I1919" s="27" t="s">
        <v>49</v>
      </c>
      <c r="J1919" s="27" t="s">
        <v>88</v>
      </c>
      <c r="K1919" s="27" t="s">
        <v>73</v>
      </c>
      <c r="L1919" s="31" t="s">
        <v>2523</v>
      </c>
      <c r="M1919" s="32">
        <v>0.37</v>
      </c>
      <c r="N1919" s="27" t="s">
        <v>33</v>
      </c>
      <c r="O1919" s="27" t="s">
        <v>53</v>
      </c>
      <c r="P1919" s="27" t="s">
        <v>84</v>
      </c>
      <c r="Q1919" s="27" t="s">
        <v>159</v>
      </c>
      <c r="R1919" s="33">
        <v>55410</v>
      </c>
      <c r="S1919" s="34">
        <v>42184</v>
      </c>
      <c r="T1919" s="34">
        <v>42186</v>
      </c>
      <c r="U1919" s="29">
        <v>-126.208</v>
      </c>
      <c r="V1919" s="26">
        <v>16</v>
      </c>
      <c r="W1919" s="29">
        <v>96.96</v>
      </c>
      <c r="X1919" s="26">
        <v>87790</v>
      </c>
      <c r="Y1919" s="35">
        <v>5.76</v>
      </c>
      <c r="Z1919" s="1" t="s">
        <v>3012</v>
      </c>
      <c r="AA1919" s="36">
        <v>9.3312000000000008</v>
      </c>
      <c r="AB1919" s="54">
        <v>61.084799999999994</v>
      </c>
      <c r="AC1919" s="54">
        <v>2.2422</v>
      </c>
      <c r="AD1919" s="36">
        <v>206.80680000000001</v>
      </c>
    </row>
    <row r="1920" spans="1:30" s="37" customFormat="1" ht="15.75" customHeight="1" x14ac:dyDescent="0.2">
      <c r="A1920" s="26">
        <v>1502</v>
      </c>
      <c r="B1920" s="27" t="s">
        <v>2437</v>
      </c>
      <c r="C1920" s="27" t="s">
        <v>48</v>
      </c>
      <c r="D1920" s="28">
        <v>0.08</v>
      </c>
      <c r="E1920" s="29">
        <v>5.84</v>
      </c>
      <c r="F1920" s="29">
        <v>1</v>
      </c>
      <c r="G1920" s="30" t="s">
        <v>87</v>
      </c>
      <c r="H1920" s="27" t="s">
        <v>3095</v>
      </c>
      <c r="I1920" s="27" t="s">
        <v>49</v>
      </c>
      <c r="J1920" s="27" t="s">
        <v>50</v>
      </c>
      <c r="K1920" s="27" t="s">
        <v>51</v>
      </c>
      <c r="L1920" s="31" t="s">
        <v>2995</v>
      </c>
      <c r="M1920" s="32">
        <v>0.38</v>
      </c>
      <c r="N1920" s="27" t="s">
        <v>33</v>
      </c>
      <c r="O1920" s="27" t="s">
        <v>34</v>
      </c>
      <c r="P1920" s="27" t="s">
        <v>123</v>
      </c>
      <c r="Q1920" s="27" t="s">
        <v>2438</v>
      </c>
      <c r="R1920" s="33">
        <v>33065</v>
      </c>
      <c r="S1920" s="34">
        <v>42184</v>
      </c>
      <c r="T1920" s="34">
        <v>42188</v>
      </c>
      <c r="U1920" s="29">
        <v>731.92200000000003</v>
      </c>
      <c r="V1920" s="26">
        <v>11</v>
      </c>
      <c r="W1920" s="29">
        <v>61.39</v>
      </c>
      <c r="X1920" s="26">
        <v>89194</v>
      </c>
      <c r="Y1920" s="35">
        <v>205.99</v>
      </c>
      <c r="Z1920" s="1" t="s">
        <v>3011</v>
      </c>
      <c r="AA1920" s="36">
        <v>5.1391999999999998</v>
      </c>
      <c r="AB1920" s="54">
        <v>38.061799999999998</v>
      </c>
      <c r="AC1920" s="54">
        <v>2.1207454545454545</v>
      </c>
      <c r="AD1920" s="36">
        <v>-676.6712</v>
      </c>
    </row>
    <row r="1921" spans="1:30" s="37" customFormat="1" ht="15.75" customHeight="1" x14ac:dyDescent="0.2">
      <c r="A1921" s="26">
        <v>3374</v>
      </c>
      <c r="B1921" s="27" t="s">
        <v>2742</v>
      </c>
      <c r="C1921" s="27" t="s">
        <v>38</v>
      </c>
      <c r="D1921" s="28">
        <v>0</v>
      </c>
      <c r="E1921" s="29">
        <v>5.98</v>
      </c>
      <c r="F1921" s="29">
        <v>7.15</v>
      </c>
      <c r="G1921" s="30" t="s">
        <v>39</v>
      </c>
      <c r="H1921" s="27" t="s">
        <v>71</v>
      </c>
      <c r="I1921" s="27" t="s">
        <v>49</v>
      </c>
      <c r="J1921" s="27" t="s">
        <v>88</v>
      </c>
      <c r="K1921" s="27" t="s">
        <v>73</v>
      </c>
      <c r="L1921" s="31" t="s">
        <v>2538</v>
      </c>
      <c r="M1921" s="32">
        <v>0.36</v>
      </c>
      <c r="N1921" s="27" t="s">
        <v>33</v>
      </c>
      <c r="O1921" s="27" t="s">
        <v>111</v>
      </c>
      <c r="P1921" s="27" t="s">
        <v>418</v>
      </c>
      <c r="Q1921" s="27" t="s">
        <v>2743</v>
      </c>
      <c r="R1921" s="33">
        <v>21113</v>
      </c>
      <c r="S1921" s="34">
        <v>42184</v>
      </c>
      <c r="T1921" s="34">
        <v>42186</v>
      </c>
      <c r="U1921" s="29">
        <v>-37.048000000000002</v>
      </c>
      <c r="V1921" s="26">
        <v>5</v>
      </c>
      <c r="W1921" s="29">
        <v>34.25</v>
      </c>
      <c r="X1921" s="26">
        <v>87474</v>
      </c>
      <c r="Y1921" s="35">
        <v>8.2899999999999991</v>
      </c>
      <c r="Z1921" s="1" t="s">
        <v>3014</v>
      </c>
      <c r="AA1921" s="36">
        <v>0</v>
      </c>
      <c r="AB1921" s="54">
        <v>21.92</v>
      </c>
      <c r="AC1921" s="54">
        <v>2.4659999999999997</v>
      </c>
      <c r="AD1921" s="36">
        <v>64.147999999999996</v>
      </c>
    </row>
    <row r="1922" spans="1:30" s="37" customFormat="1" ht="15.75" customHeight="1" x14ac:dyDescent="0.2">
      <c r="A1922" s="26">
        <v>3374</v>
      </c>
      <c r="B1922" s="27" t="s">
        <v>2742</v>
      </c>
      <c r="C1922" s="27" t="s">
        <v>38</v>
      </c>
      <c r="D1922" s="28">
        <v>0.09</v>
      </c>
      <c r="E1922" s="29">
        <v>3.57</v>
      </c>
      <c r="F1922" s="29">
        <v>4.17</v>
      </c>
      <c r="G1922" s="30" t="s">
        <v>39</v>
      </c>
      <c r="H1922" s="27" t="s">
        <v>71</v>
      </c>
      <c r="I1922" s="27" t="s">
        <v>49</v>
      </c>
      <c r="J1922" s="27" t="s">
        <v>50</v>
      </c>
      <c r="K1922" s="27" t="s">
        <v>43</v>
      </c>
      <c r="L1922" s="31" t="s">
        <v>792</v>
      </c>
      <c r="M1922" s="32">
        <v>0.59</v>
      </c>
      <c r="N1922" s="27" t="s">
        <v>33</v>
      </c>
      <c r="O1922" s="27" t="s">
        <v>111</v>
      </c>
      <c r="P1922" s="27" t="s">
        <v>418</v>
      </c>
      <c r="Q1922" s="27" t="s">
        <v>2743</v>
      </c>
      <c r="R1922" s="33">
        <v>21113</v>
      </c>
      <c r="S1922" s="34">
        <v>42184</v>
      </c>
      <c r="T1922" s="34">
        <v>42186</v>
      </c>
      <c r="U1922" s="29">
        <v>-56.887999999999998</v>
      </c>
      <c r="V1922" s="26">
        <v>9</v>
      </c>
      <c r="W1922" s="29">
        <v>31.45</v>
      </c>
      <c r="X1922" s="26">
        <v>87474</v>
      </c>
      <c r="Y1922" s="35">
        <v>35.950000000000003</v>
      </c>
      <c r="Z1922" s="1" t="s">
        <v>3014</v>
      </c>
      <c r="AA1922" s="36">
        <v>2.8916999999999997</v>
      </c>
      <c r="AB1922" s="54">
        <v>12.894500000000001</v>
      </c>
      <c r="AC1922" s="54">
        <v>2.061722222222222</v>
      </c>
      <c r="AD1922" s="36">
        <v>81.276299999999992</v>
      </c>
    </row>
    <row r="1923" spans="1:30" s="37" customFormat="1" ht="15.75" customHeight="1" x14ac:dyDescent="0.2">
      <c r="A1923" s="26">
        <v>2089</v>
      </c>
      <c r="B1923" s="27" t="s">
        <v>3002</v>
      </c>
      <c r="C1923" s="27" t="s">
        <v>48</v>
      </c>
      <c r="D1923" s="28">
        <v>0.08</v>
      </c>
      <c r="E1923" s="29">
        <v>599.99</v>
      </c>
      <c r="F1923" s="29">
        <v>24.49</v>
      </c>
      <c r="G1923" s="30" t="s">
        <v>39</v>
      </c>
      <c r="H1923" s="27" t="s">
        <v>94</v>
      </c>
      <c r="I1923" s="27" t="s">
        <v>41</v>
      </c>
      <c r="J1923" s="27" t="s">
        <v>64</v>
      </c>
      <c r="K1923" s="27" t="s">
        <v>65</v>
      </c>
      <c r="L1923" s="31" t="s">
        <v>3005</v>
      </c>
      <c r="M1923" s="32">
        <v>0.37</v>
      </c>
      <c r="N1923" s="27" t="s">
        <v>33</v>
      </c>
      <c r="O1923" s="27" t="s">
        <v>111</v>
      </c>
      <c r="P1923" s="27" t="s">
        <v>112</v>
      </c>
      <c r="Q1923" s="27" t="s">
        <v>3004</v>
      </c>
      <c r="R1923" s="33">
        <v>10956</v>
      </c>
      <c r="S1923" s="34">
        <v>42185</v>
      </c>
      <c r="T1923" s="34">
        <v>42193</v>
      </c>
      <c r="U1923" s="29">
        <v>8798.1831000000002</v>
      </c>
      <c r="V1923" s="26">
        <v>22</v>
      </c>
      <c r="W1923" s="29">
        <v>12750.99</v>
      </c>
      <c r="X1923" s="26">
        <v>88348</v>
      </c>
      <c r="Y1923" s="35">
        <v>7.88</v>
      </c>
      <c r="Z1923" s="1" t="s">
        <v>3014</v>
      </c>
      <c r="AA1923" s="36">
        <v>1055.9824000000001</v>
      </c>
      <c r="AB1923" s="54">
        <v>8033.1237000000001</v>
      </c>
      <c r="AC1923" s="54">
        <v>214.44846818181819</v>
      </c>
      <c r="AD1923" s="36">
        <v>2872.334499999999</v>
      </c>
    </row>
    <row r="1924" spans="1:30" s="37" customFormat="1" ht="15.75" customHeight="1" x14ac:dyDescent="0.2">
      <c r="A1924" s="26">
        <v>2276</v>
      </c>
      <c r="B1924" s="27" t="s">
        <v>3009</v>
      </c>
      <c r="C1924" s="27" t="s">
        <v>3094</v>
      </c>
      <c r="D1924" s="28">
        <v>0.01</v>
      </c>
      <c r="E1924" s="29">
        <v>195.99</v>
      </c>
      <c r="F1924" s="29">
        <v>8.99</v>
      </c>
      <c r="G1924" s="30" t="s">
        <v>39</v>
      </c>
      <c r="H1924" s="27" t="s">
        <v>40</v>
      </c>
      <c r="I1924" s="27" t="s">
        <v>41</v>
      </c>
      <c r="J1924" s="27" t="s">
        <v>135</v>
      </c>
      <c r="K1924" s="27" t="s">
        <v>73</v>
      </c>
      <c r="L1924" s="31" t="s">
        <v>1343</v>
      </c>
      <c r="M1924" s="32">
        <v>0.6</v>
      </c>
      <c r="N1924" s="27" t="s">
        <v>33</v>
      </c>
      <c r="O1924" s="27" t="s">
        <v>111</v>
      </c>
      <c r="P1924" s="27" t="s">
        <v>112</v>
      </c>
      <c r="Q1924" s="27" t="s">
        <v>3010</v>
      </c>
      <c r="R1924" s="33">
        <v>14304</v>
      </c>
      <c r="S1924" s="34">
        <v>42185</v>
      </c>
      <c r="T1924" s="34">
        <v>42185</v>
      </c>
      <c r="U1924" s="29">
        <v>2653.7813999999998</v>
      </c>
      <c r="V1924" s="26">
        <v>22</v>
      </c>
      <c r="W1924" s="29">
        <v>3846.06</v>
      </c>
      <c r="X1924" s="26">
        <v>91502</v>
      </c>
      <c r="Y1924" s="35">
        <v>3.5900000000000003</v>
      </c>
      <c r="Z1924" s="1" t="s">
        <v>3014</v>
      </c>
      <c r="AA1924" s="36">
        <v>43.117800000000003</v>
      </c>
      <c r="AB1924" s="54">
        <v>1538.424</v>
      </c>
      <c r="AC1924" s="54">
        <v>104.89254545454544</v>
      </c>
      <c r="AD1924" s="36">
        <v>1140.1708000000003</v>
      </c>
    </row>
    <row r="1925" spans="1:30" s="37" customFormat="1" ht="15.75" customHeight="1" x14ac:dyDescent="0.2">
      <c r="A1925" s="26">
        <v>2882</v>
      </c>
      <c r="B1925" s="27" t="s">
        <v>671</v>
      </c>
      <c r="C1925" s="27" t="s">
        <v>48</v>
      </c>
      <c r="D1925" s="28">
        <v>0.05</v>
      </c>
      <c r="E1925" s="29">
        <v>63.94</v>
      </c>
      <c r="F1925" s="29">
        <v>14.48</v>
      </c>
      <c r="G1925" s="30" t="s">
        <v>87</v>
      </c>
      <c r="H1925" s="27" t="s">
        <v>40</v>
      </c>
      <c r="I1925" s="27" t="s">
        <v>29</v>
      </c>
      <c r="J1925" s="27" t="s">
        <v>126</v>
      </c>
      <c r="K1925" s="27" t="s">
        <v>73</v>
      </c>
      <c r="L1925" s="31" t="s">
        <v>1994</v>
      </c>
      <c r="M1925" s="32">
        <v>0.46</v>
      </c>
      <c r="N1925" s="27" t="s">
        <v>33</v>
      </c>
      <c r="O1925" s="27" t="s">
        <v>34</v>
      </c>
      <c r="P1925" s="27" t="s">
        <v>97</v>
      </c>
      <c r="Q1925" s="27" t="s">
        <v>673</v>
      </c>
      <c r="R1925" s="33">
        <v>28206</v>
      </c>
      <c r="S1925" s="34">
        <v>42185</v>
      </c>
      <c r="T1925" s="34">
        <v>42192</v>
      </c>
      <c r="U1925" s="29">
        <v>270.87430000000001</v>
      </c>
      <c r="V1925" s="26">
        <v>21</v>
      </c>
      <c r="W1925" s="29">
        <v>1336.35</v>
      </c>
      <c r="X1925" s="26">
        <v>40224</v>
      </c>
      <c r="Y1925" s="35">
        <v>9.6100000000000012</v>
      </c>
      <c r="Z1925" s="1" t="s">
        <v>3011</v>
      </c>
      <c r="AA1925" s="36">
        <v>67.137</v>
      </c>
      <c r="AB1925" s="54">
        <v>721.62900000000002</v>
      </c>
      <c r="AC1925" s="54">
        <v>29.27242857142857</v>
      </c>
      <c r="AD1925" s="36">
        <v>983.85869999999989</v>
      </c>
    </row>
    <row r="1926" spans="1:30" s="37" customFormat="1" ht="15.75" customHeight="1" x14ac:dyDescent="0.2">
      <c r="A1926" s="26">
        <v>2089</v>
      </c>
      <c r="B1926" s="27" t="s">
        <v>3002</v>
      </c>
      <c r="C1926" s="27" t="s">
        <v>48</v>
      </c>
      <c r="D1926" s="28">
        <v>0.06</v>
      </c>
      <c r="E1926" s="29">
        <v>38.06</v>
      </c>
      <c r="F1926" s="29">
        <v>4.5</v>
      </c>
      <c r="G1926" s="30" t="s">
        <v>39</v>
      </c>
      <c r="H1926" s="27" t="s">
        <v>94</v>
      </c>
      <c r="I1926" s="27" t="s">
        <v>49</v>
      </c>
      <c r="J1926" s="27" t="s">
        <v>95</v>
      </c>
      <c r="K1926" s="27" t="s">
        <v>73</v>
      </c>
      <c r="L1926" s="31" t="s">
        <v>3003</v>
      </c>
      <c r="M1926" s="32">
        <v>0.56000000000000005</v>
      </c>
      <c r="N1926" s="27" t="s">
        <v>33</v>
      </c>
      <c r="O1926" s="27" t="s">
        <v>111</v>
      </c>
      <c r="P1926" s="27" t="s">
        <v>112</v>
      </c>
      <c r="Q1926" s="27" t="s">
        <v>3004</v>
      </c>
      <c r="R1926" s="33">
        <v>10956</v>
      </c>
      <c r="S1926" s="34">
        <v>42185</v>
      </c>
      <c r="T1926" s="34">
        <v>42191</v>
      </c>
      <c r="U1926" s="29">
        <v>450.45960000000002</v>
      </c>
      <c r="V1926" s="26">
        <v>17</v>
      </c>
      <c r="W1926" s="29">
        <v>652.84</v>
      </c>
      <c r="X1926" s="26">
        <v>88348</v>
      </c>
      <c r="Y1926" s="35">
        <v>7.88</v>
      </c>
      <c r="Z1926" s="1" t="s">
        <v>3014</v>
      </c>
      <c r="AA1926" s="36">
        <v>38.821199999999997</v>
      </c>
      <c r="AB1926" s="54">
        <v>287.24959999999999</v>
      </c>
      <c r="AC1926" s="54">
        <v>21.505317647058828</v>
      </c>
      <c r="AD1926" s="36">
        <v>159.05920000000003</v>
      </c>
    </row>
    <row r="1927" spans="1:30" s="37" customFormat="1" ht="15.75" customHeight="1" x14ac:dyDescent="0.2">
      <c r="A1927" s="26">
        <v>1472</v>
      </c>
      <c r="B1927" s="27" t="s">
        <v>2669</v>
      </c>
      <c r="C1927" s="27" t="s">
        <v>3094</v>
      </c>
      <c r="D1927" s="28">
        <v>0.02</v>
      </c>
      <c r="E1927" s="29">
        <v>30.98</v>
      </c>
      <c r="F1927" s="29">
        <v>6.5</v>
      </c>
      <c r="G1927" s="30" t="s">
        <v>87</v>
      </c>
      <c r="H1927" s="27" t="s">
        <v>71</v>
      </c>
      <c r="I1927" s="27" t="s">
        <v>41</v>
      </c>
      <c r="J1927" s="27" t="s">
        <v>42</v>
      </c>
      <c r="K1927" s="27" t="s">
        <v>73</v>
      </c>
      <c r="L1927" s="31" t="s">
        <v>2855</v>
      </c>
      <c r="M1927" s="32">
        <v>0.79</v>
      </c>
      <c r="N1927" s="27" t="s">
        <v>33</v>
      </c>
      <c r="O1927" s="27" t="s">
        <v>111</v>
      </c>
      <c r="P1927" s="27" t="s">
        <v>317</v>
      </c>
      <c r="Q1927" s="27" t="s">
        <v>2670</v>
      </c>
      <c r="R1927" s="33">
        <v>44145</v>
      </c>
      <c r="S1927" s="34">
        <v>42185</v>
      </c>
      <c r="T1927" s="34">
        <v>42186</v>
      </c>
      <c r="U1927" s="29">
        <v>-44.624000000000002</v>
      </c>
      <c r="V1927" s="26">
        <v>17</v>
      </c>
      <c r="W1927" s="29">
        <v>552.89</v>
      </c>
      <c r="X1927" s="26">
        <v>87078</v>
      </c>
      <c r="Y1927" s="35">
        <v>3.5900000000000003</v>
      </c>
      <c r="Z1927" s="1" t="s">
        <v>3014</v>
      </c>
      <c r="AA1927" s="36">
        <v>10.533200000000001</v>
      </c>
      <c r="AB1927" s="54">
        <v>116.10689999999998</v>
      </c>
      <c r="AC1927" s="54">
        <v>25.693123529411768</v>
      </c>
      <c r="AD1927" s="36">
        <v>580.48080000000004</v>
      </c>
    </row>
    <row r="1928" spans="1:30" s="37" customFormat="1" ht="15.75" customHeight="1" x14ac:dyDescent="0.2">
      <c r="A1928" s="26">
        <v>2885</v>
      </c>
      <c r="B1928" s="27" t="s">
        <v>3007</v>
      </c>
      <c r="C1928" s="27" t="s">
        <v>48</v>
      </c>
      <c r="D1928" s="28">
        <v>0.05</v>
      </c>
      <c r="E1928" s="29">
        <v>63.94</v>
      </c>
      <c r="F1928" s="29">
        <v>14.48</v>
      </c>
      <c r="G1928" s="30" t="s">
        <v>87</v>
      </c>
      <c r="H1928" s="27" t="s">
        <v>40</v>
      </c>
      <c r="I1928" s="27" t="s">
        <v>29</v>
      </c>
      <c r="J1928" s="27" t="s">
        <v>126</v>
      </c>
      <c r="K1928" s="27" t="s">
        <v>73</v>
      </c>
      <c r="L1928" s="31" t="s">
        <v>1994</v>
      </c>
      <c r="M1928" s="32">
        <v>0.46</v>
      </c>
      <c r="N1928" s="27" t="s">
        <v>33</v>
      </c>
      <c r="O1928" s="27" t="s">
        <v>111</v>
      </c>
      <c r="P1928" s="27" t="s">
        <v>317</v>
      </c>
      <c r="Q1928" s="27" t="s">
        <v>3008</v>
      </c>
      <c r="R1928" s="33">
        <v>44133</v>
      </c>
      <c r="S1928" s="34">
        <v>42185</v>
      </c>
      <c r="T1928" s="34">
        <v>42192</v>
      </c>
      <c r="U1928" s="29">
        <v>219.54419999999999</v>
      </c>
      <c r="V1928" s="26">
        <v>5</v>
      </c>
      <c r="W1928" s="29">
        <v>318.18</v>
      </c>
      <c r="X1928" s="26">
        <v>87634</v>
      </c>
      <c r="Y1928" s="35">
        <v>9.6100000000000012</v>
      </c>
      <c r="Z1928" s="1" t="s">
        <v>3014</v>
      </c>
      <c r="AA1928" s="36">
        <v>15.984999999999999</v>
      </c>
      <c r="AB1928" s="54">
        <v>171.81720000000001</v>
      </c>
      <c r="AC1928" s="54">
        <v>29.272560000000002</v>
      </c>
      <c r="AD1928" s="36">
        <v>68.170800000000042</v>
      </c>
    </row>
    <row r="1929" spans="1:30" s="37" customFormat="1" ht="15.75" customHeight="1" x14ac:dyDescent="0.2">
      <c r="A1929" s="26">
        <v>699</v>
      </c>
      <c r="B1929" s="27" t="s">
        <v>861</v>
      </c>
      <c r="C1929" s="27" t="s">
        <v>38</v>
      </c>
      <c r="D1929" s="28">
        <v>0.01</v>
      </c>
      <c r="E1929" s="29">
        <v>7.89</v>
      </c>
      <c r="F1929" s="29">
        <v>2.82</v>
      </c>
      <c r="G1929" s="30" t="s">
        <v>39</v>
      </c>
      <c r="H1929" s="27" t="s">
        <v>40</v>
      </c>
      <c r="I1929" s="27" t="s">
        <v>49</v>
      </c>
      <c r="J1929" s="27" t="s">
        <v>176</v>
      </c>
      <c r="K1929" s="27" t="s">
        <v>51</v>
      </c>
      <c r="L1929" s="31" t="s">
        <v>3000</v>
      </c>
      <c r="M1929" s="32">
        <v>0.4</v>
      </c>
      <c r="N1929" s="27" t="s">
        <v>33</v>
      </c>
      <c r="O1929" s="27" t="s">
        <v>60</v>
      </c>
      <c r="P1929" s="27" t="s">
        <v>90</v>
      </c>
      <c r="Q1929" s="27" t="s">
        <v>100</v>
      </c>
      <c r="R1929" s="33">
        <v>90041</v>
      </c>
      <c r="S1929" s="34">
        <v>42185</v>
      </c>
      <c r="T1929" s="34">
        <v>42186</v>
      </c>
      <c r="U1929" s="29">
        <v>38.700000000000003</v>
      </c>
      <c r="V1929" s="26">
        <v>32</v>
      </c>
      <c r="W1929" s="29">
        <v>274.26</v>
      </c>
      <c r="X1929" s="26">
        <v>36647</v>
      </c>
      <c r="Y1929" s="35">
        <v>8.2900000000000009</v>
      </c>
      <c r="Z1929" s="1" t="s">
        <v>3013</v>
      </c>
      <c r="AA1929" s="36">
        <v>2.5247999999999999</v>
      </c>
      <c r="AB1929" s="54">
        <v>164.55599999999998</v>
      </c>
      <c r="AC1929" s="54">
        <v>3.4282500000000002</v>
      </c>
      <c r="AD1929" s="36">
        <v>230.21519999999998</v>
      </c>
    </row>
    <row r="1930" spans="1:30" s="37" customFormat="1" ht="15.75" customHeight="1" x14ac:dyDescent="0.2">
      <c r="A1930" s="26">
        <v>699</v>
      </c>
      <c r="B1930" s="27" t="s">
        <v>861</v>
      </c>
      <c r="C1930" s="27" t="s">
        <v>38</v>
      </c>
      <c r="D1930" s="28">
        <v>0.1</v>
      </c>
      <c r="E1930" s="29">
        <v>9.7100000000000009</v>
      </c>
      <c r="F1930" s="29">
        <v>9.4499999999999993</v>
      </c>
      <c r="G1930" s="30" t="s">
        <v>39</v>
      </c>
      <c r="H1930" s="27" t="s">
        <v>40</v>
      </c>
      <c r="I1930" s="27" t="s">
        <v>49</v>
      </c>
      <c r="J1930" s="27" t="s">
        <v>78</v>
      </c>
      <c r="K1930" s="27" t="s">
        <v>73</v>
      </c>
      <c r="L1930" s="31" t="s">
        <v>1203</v>
      </c>
      <c r="M1930" s="32">
        <v>0.6</v>
      </c>
      <c r="N1930" s="27" t="s">
        <v>33</v>
      </c>
      <c r="O1930" s="27" t="s">
        <v>60</v>
      </c>
      <c r="P1930" s="27" t="s">
        <v>90</v>
      </c>
      <c r="Q1930" s="27" t="s">
        <v>100</v>
      </c>
      <c r="R1930" s="33">
        <v>90041</v>
      </c>
      <c r="S1930" s="34">
        <v>42185</v>
      </c>
      <c r="T1930" s="34">
        <v>42188</v>
      </c>
      <c r="U1930" s="29">
        <v>-119.77</v>
      </c>
      <c r="V1930" s="26">
        <v>27</v>
      </c>
      <c r="W1930" s="29">
        <v>261.93</v>
      </c>
      <c r="X1930" s="26">
        <v>36647</v>
      </c>
      <c r="Y1930" s="35">
        <v>38</v>
      </c>
      <c r="Z1930" s="1" t="s">
        <v>3013</v>
      </c>
      <c r="AA1930" s="36">
        <v>26.217000000000002</v>
      </c>
      <c r="AB1930" s="54">
        <v>104.77200000000001</v>
      </c>
      <c r="AC1930" s="54">
        <v>5.820666666666666</v>
      </c>
      <c r="AD1930" s="36">
        <v>346.03300000000002</v>
      </c>
    </row>
    <row r="1931" spans="1:30" s="37" customFormat="1" ht="15.75" customHeight="1" x14ac:dyDescent="0.2">
      <c r="A1931" s="26">
        <v>1307</v>
      </c>
      <c r="B1931" s="27" t="s">
        <v>3001</v>
      </c>
      <c r="C1931" s="27" t="s">
        <v>48</v>
      </c>
      <c r="D1931" s="28">
        <v>0.04</v>
      </c>
      <c r="E1931" s="29">
        <v>8.33</v>
      </c>
      <c r="F1931" s="29">
        <v>1.99</v>
      </c>
      <c r="G1931" s="30" t="s">
        <v>39</v>
      </c>
      <c r="H1931" s="27" t="s">
        <v>3095</v>
      </c>
      <c r="I1931" s="27" t="s">
        <v>41</v>
      </c>
      <c r="J1931" s="27" t="s">
        <v>42</v>
      </c>
      <c r="K1931" s="27" t="s">
        <v>43</v>
      </c>
      <c r="L1931" s="31" t="s">
        <v>1174</v>
      </c>
      <c r="M1931" s="32">
        <v>0.52</v>
      </c>
      <c r="N1931" s="27" t="s">
        <v>33</v>
      </c>
      <c r="O1931" s="27" t="s">
        <v>60</v>
      </c>
      <c r="P1931" s="27" t="s">
        <v>139</v>
      </c>
      <c r="Q1931" s="27" t="s">
        <v>2285</v>
      </c>
      <c r="R1931" s="33">
        <v>97420</v>
      </c>
      <c r="S1931" s="34">
        <v>42185</v>
      </c>
      <c r="T1931" s="34">
        <v>42192</v>
      </c>
      <c r="U1931" s="29">
        <v>44.892000000000003</v>
      </c>
      <c r="V1931" s="26">
        <v>16</v>
      </c>
      <c r="W1931" s="29">
        <v>131.26</v>
      </c>
      <c r="X1931" s="26">
        <v>91451</v>
      </c>
      <c r="Y1931" s="35">
        <v>599.91</v>
      </c>
      <c r="Z1931" s="1" t="s">
        <v>3013</v>
      </c>
      <c r="AA1931" s="36">
        <v>5.3311999999999999</v>
      </c>
      <c r="AB1931" s="54">
        <v>63.004799999999996</v>
      </c>
      <c r="AC1931" s="54">
        <v>4.2659500000000001</v>
      </c>
      <c r="AD1931" s="36">
        <v>79.04679999999999</v>
      </c>
    </row>
    <row r="1932" spans="1:30" s="37" customFormat="1" ht="15.75" customHeight="1" x14ac:dyDescent="0.2">
      <c r="A1932" s="26">
        <v>1384</v>
      </c>
      <c r="B1932" s="27" t="s">
        <v>2791</v>
      </c>
      <c r="C1932" s="27" t="s">
        <v>3094</v>
      </c>
      <c r="D1932" s="28">
        <v>7.0000000000000007E-2</v>
      </c>
      <c r="E1932" s="29">
        <v>11.29</v>
      </c>
      <c r="F1932" s="29">
        <v>5.03</v>
      </c>
      <c r="G1932" s="30" t="s">
        <v>39</v>
      </c>
      <c r="H1932" s="27" t="s">
        <v>40</v>
      </c>
      <c r="I1932" s="27" t="s">
        <v>49</v>
      </c>
      <c r="J1932" s="27" t="s">
        <v>78</v>
      </c>
      <c r="K1932" s="27" t="s">
        <v>73</v>
      </c>
      <c r="L1932" s="31" t="s">
        <v>1260</v>
      </c>
      <c r="M1932" s="32">
        <v>0.59</v>
      </c>
      <c r="N1932" s="27" t="s">
        <v>33</v>
      </c>
      <c r="O1932" s="27" t="s">
        <v>34</v>
      </c>
      <c r="P1932" s="27" t="s">
        <v>242</v>
      </c>
      <c r="Q1932" s="27" t="s">
        <v>2732</v>
      </c>
      <c r="R1932" s="33">
        <v>22304</v>
      </c>
      <c r="S1932" s="34">
        <v>42185</v>
      </c>
      <c r="T1932" s="34">
        <v>42187</v>
      </c>
      <c r="U1932" s="29">
        <v>-163.03</v>
      </c>
      <c r="V1932" s="26">
        <v>11</v>
      </c>
      <c r="W1932" s="29">
        <v>123.18</v>
      </c>
      <c r="X1932" s="26">
        <v>89407</v>
      </c>
      <c r="Y1932" s="35">
        <v>3.88</v>
      </c>
      <c r="Z1932" s="1" t="s">
        <v>3011</v>
      </c>
      <c r="AA1932" s="36">
        <v>8.6933000000000007</v>
      </c>
      <c r="AB1932" s="54">
        <v>50.503800000000005</v>
      </c>
      <c r="AC1932" s="54">
        <v>6.6069272727272725</v>
      </c>
      <c r="AD1932" s="36">
        <v>272.48670000000004</v>
      </c>
    </row>
    <row r="1933" spans="1:30" s="37" customFormat="1" ht="15.75" customHeight="1" x14ac:dyDescent="0.2">
      <c r="A1933" s="26">
        <v>699</v>
      </c>
      <c r="B1933" s="27" t="s">
        <v>861</v>
      </c>
      <c r="C1933" s="27" t="s">
        <v>38</v>
      </c>
      <c r="D1933" s="28">
        <v>0.09</v>
      </c>
      <c r="E1933" s="29">
        <v>3.68</v>
      </c>
      <c r="F1933" s="29">
        <v>1.32</v>
      </c>
      <c r="G1933" s="30" t="s">
        <v>39</v>
      </c>
      <c r="H1933" s="27" t="s">
        <v>40</v>
      </c>
      <c r="I1933" s="27" t="s">
        <v>49</v>
      </c>
      <c r="J1933" s="27" t="s">
        <v>568</v>
      </c>
      <c r="K1933" s="27" t="s">
        <v>51</v>
      </c>
      <c r="L1933" s="31" t="s">
        <v>2526</v>
      </c>
      <c r="M1933" s="32">
        <v>0.83</v>
      </c>
      <c r="N1933" s="27" t="s">
        <v>33</v>
      </c>
      <c r="O1933" s="27" t="s">
        <v>60</v>
      </c>
      <c r="P1933" s="27" t="s">
        <v>90</v>
      </c>
      <c r="Q1933" s="27" t="s">
        <v>100</v>
      </c>
      <c r="R1933" s="33">
        <v>90041</v>
      </c>
      <c r="S1933" s="34">
        <v>42185</v>
      </c>
      <c r="T1933" s="34">
        <v>42186</v>
      </c>
      <c r="U1933" s="29">
        <v>-21.91</v>
      </c>
      <c r="V1933" s="26">
        <v>24</v>
      </c>
      <c r="W1933" s="29">
        <v>83.16</v>
      </c>
      <c r="X1933" s="26">
        <v>36647</v>
      </c>
      <c r="Y1933" s="35">
        <v>63.89</v>
      </c>
      <c r="Z1933" s="1" t="s">
        <v>3013</v>
      </c>
      <c r="AA1933" s="36">
        <v>7.9488000000000003</v>
      </c>
      <c r="AB1933" s="54">
        <v>14.137200000000004</v>
      </c>
      <c r="AC1933" s="54">
        <v>2.8759499999999996</v>
      </c>
      <c r="AD1933" s="36">
        <v>95.801199999999994</v>
      </c>
    </row>
    <row r="1934" spans="1:30" s="37" customFormat="1" ht="15.75" customHeight="1" x14ac:dyDescent="0.2">
      <c r="A1934" s="26">
        <v>702</v>
      </c>
      <c r="B1934" s="27" t="s">
        <v>2276</v>
      </c>
      <c r="C1934" s="27" t="s">
        <v>38</v>
      </c>
      <c r="D1934" s="28">
        <v>0.01</v>
      </c>
      <c r="E1934" s="29">
        <v>7.89</v>
      </c>
      <c r="F1934" s="29">
        <v>2.82</v>
      </c>
      <c r="G1934" s="30" t="s">
        <v>39</v>
      </c>
      <c r="H1934" s="27" t="s">
        <v>40</v>
      </c>
      <c r="I1934" s="27" t="s">
        <v>49</v>
      </c>
      <c r="J1934" s="27" t="s">
        <v>176</v>
      </c>
      <c r="K1934" s="27" t="s">
        <v>51</v>
      </c>
      <c r="L1934" s="31" t="s">
        <v>3000</v>
      </c>
      <c r="M1934" s="32">
        <v>0.4</v>
      </c>
      <c r="N1934" s="27" t="s">
        <v>33</v>
      </c>
      <c r="O1934" s="27" t="s">
        <v>60</v>
      </c>
      <c r="P1934" s="27" t="s">
        <v>90</v>
      </c>
      <c r="Q1934" s="27" t="s">
        <v>2277</v>
      </c>
      <c r="R1934" s="33">
        <v>95404</v>
      </c>
      <c r="S1934" s="34">
        <v>42185</v>
      </c>
      <c r="T1934" s="34">
        <v>42186</v>
      </c>
      <c r="U1934" s="29">
        <v>46.44</v>
      </c>
      <c r="V1934" s="26">
        <v>8</v>
      </c>
      <c r="W1934" s="29">
        <v>68.56</v>
      </c>
      <c r="X1934" s="26">
        <v>87979</v>
      </c>
      <c r="Y1934" s="35">
        <v>63.89</v>
      </c>
      <c r="Z1934" s="1" t="s">
        <v>3013</v>
      </c>
      <c r="AA1934" s="36">
        <v>0.63119999999999998</v>
      </c>
      <c r="AB1934" s="54">
        <v>41.136000000000003</v>
      </c>
      <c r="AC1934" s="54">
        <v>3.4280000000000004</v>
      </c>
      <c r="AD1934" s="36">
        <v>18.668800000000005</v>
      </c>
    </row>
    <row r="1935" spans="1:30" s="37" customFormat="1" ht="15.75" customHeight="1" x14ac:dyDescent="0.2">
      <c r="A1935" s="26">
        <v>702</v>
      </c>
      <c r="B1935" s="27" t="s">
        <v>2276</v>
      </c>
      <c r="C1935" s="27" t="s">
        <v>38</v>
      </c>
      <c r="D1935" s="28">
        <v>0.1</v>
      </c>
      <c r="E1935" s="29">
        <v>9.7100000000000009</v>
      </c>
      <c r="F1935" s="29">
        <v>9.4499999999999993</v>
      </c>
      <c r="G1935" s="30" t="s">
        <v>39</v>
      </c>
      <c r="H1935" s="27" t="s">
        <v>40</v>
      </c>
      <c r="I1935" s="27" t="s">
        <v>49</v>
      </c>
      <c r="J1935" s="27" t="s">
        <v>78</v>
      </c>
      <c r="K1935" s="27" t="s">
        <v>73</v>
      </c>
      <c r="L1935" s="31" t="s">
        <v>1203</v>
      </c>
      <c r="M1935" s="32">
        <v>0.6</v>
      </c>
      <c r="N1935" s="27" t="s">
        <v>33</v>
      </c>
      <c r="O1935" s="27" t="s">
        <v>60</v>
      </c>
      <c r="P1935" s="27" t="s">
        <v>90</v>
      </c>
      <c r="Q1935" s="27" t="s">
        <v>2277</v>
      </c>
      <c r="R1935" s="33">
        <v>95404</v>
      </c>
      <c r="S1935" s="34">
        <v>42185</v>
      </c>
      <c r="T1935" s="34">
        <v>42188</v>
      </c>
      <c r="U1935" s="29">
        <v>-95.816000000000003</v>
      </c>
      <c r="V1935" s="26">
        <v>7</v>
      </c>
      <c r="W1935" s="29">
        <v>67.91</v>
      </c>
      <c r="X1935" s="26">
        <v>87979</v>
      </c>
      <c r="Y1935" s="35">
        <v>11.219999999999999</v>
      </c>
      <c r="Z1935" s="1" t="s">
        <v>3013</v>
      </c>
      <c r="AA1935" s="36">
        <v>6.7970000000000006</v>
      </c>
      <c r="AB1935" s="54">
        <v>27.164000000000001</v>
      </c>
      <c r="AC1935" s="54">
        <v>5.8208571428571423</v>
      </c>
      <c r="AD1935" s="36">
        <v>147.47899999999998</v>
      </c>
    </row>
    <row r="1936" spans="1:30" s="37" customFormat="1" ht="15.75" customHeight="1" x14ac:dyDescent="0.2">
      <c r="A1936" s="26">
        <v>702</v>
      </c>
      <c r="B1936" s="27" t="s">
        <v>2276</v>
      </c>
      <c r="C1936" s="27" t="s">
        <v>38</v>
      </c>
      <c r="D1936" s="28">
        <v>0.09</v>
      </c>
      <c r="E1936" s="29">
        <v>3.68</v>
      </c>
      <c r="F1936" s="29">
        <v>1.32</v>
      </c>
      <c r="G1936" s="30" t="s">
        <v>39</v>
      </c>
      <c r="H1936" s="27" t="s">
        <v>40</v>
      </c>
      <c r="I1936" s="27" t="s">
        <v>49</v>
      </c>
      <c r="J1936" s="27" t="s">
        <v>568</v>
      </c>
      <c r="K1936" s="27" t="s">
        <v>51</v>
      </c>
      <c r="L1936" s="31" t="s">
        <v>2526</v>
      </c>
      <c r="M1936" s="32">
        <v>0.83</v>
      </c>
      <c r="N1936" s="27" t="s">
        <v>33</v>
      </c>
      <c r="O1936" s="27" t="s">
        <v>60</v>
      </c>
      <c r="P1936" s="27" t="s">
        <v>90</v>
      </c>
      <c r="Q1936" s="27" t="s">
        <v>2277</v>
      </c>
      <c r="R1936" s="33">
        <v>95404</v>
      </c>
      <c r="S1936" s="34">
        <v>42185</v>
      </c>
      <c r="T1936" s="34">
        <v>42186</v>
      </c>
      <c r="U1936" s="29">
        <v>-17.527999999999999</v>
      </c>
      <c r="V1936" s="26">
        <v>6</v>
      </c>
      <c r="W1936" s="29">
        <v>20.79</v>
      </c>
      <c r="X1936" s="26">
        <v>87979</v>
      </c>
      <c r="Y1936" s="35">
        <v>30.96</v>
      </c>
      <c r="Z1936" s="1" t="s">
        <v>3013</v>
      </c>
      <c r="AA1936" s="36">
        <v>1.9872000000000001</v>
      </c>
      <c r="AB1936" s="54">
        <v>3.5343000000000009</v>
      </c>
      <c r="AC1936" s="54">
        <v>2.8759499999999996</v>
      </c>
      <c r="AD1936" s="36">
        <v>35.010799999999996</v>
      </c>
    </row>
    <row r="1937" spans="1:30" s="37" customFormat="1" ht="15.75" customHeight="1" x14ac:dyDescent="0.2">
      <c r="A1937" s="26">
        <v>2089</v>
      </c>
      <c r="B1937" s="27" t="s">
        <v>3002</v>
      </c>
      <c r="C1937" s="27" t="s">
        <v>48</v>
      </c>
      <c r="D1937" s="28">
        <v>0.1</v>
      </c>
      <c r="E1937" s="29">
        <v>3.98</v>
      </c>
      <c r="F1937" s="29">
        <v>2.97</v>
      </c>
      <c r="G1937" s="30" t="s">
        <v>87</v>
      </c>
      <c r="H1937" s="27" t="s">
        <v>94</v>
      </c>
      <c r="I1937" s="27" t="s">
        <v>49</v>
      </c>
      <c r="J1937" s="27" t="s">
        <v>88</v>
      </c>
      <c r="K1937" s="27" t="s">
        <v>51</v>
      </c>
      <c r="L1937" s="31" t="s">
        <v>3006</v>
      </c>
      <c r="M1937" s="32">
        <v>0.35</v>
      </c>
      <c r="N1937" s="27" t="s">
        <v>33</v>
      </c>
      <c r="O1937" s="27" t="s">
        <v>111</v>
      </c>
      <c r="P1937" s="27" t="s">
        <v>112</v>
      </c>
      <c r="Q1937" s="27" t="s">
        <v>3004</v>
      </c>
      <c r="R1937" s="33">
        <v>10956</v>
      </c>
      <c r="S1937" s="34">
        <v>42185</v>
      </c>
      <c r="T1937" s="34">
        <v>42189</v>
      </c>
      <c r="U1937" s="29">
        <v>-5.3849999999999998</v>
      </c>
      <c r="V1937" s="26">
        <v>5</v>
      </c>
      <c r="W1937" s="29">
        <v>20.54</v>
      </c>
      <c r="X1937" s="26">
        <v>88348</v>
      </c>
      <c r="Y1937" s="35">
        <v>195.98000000000002</v>
      </c>
      <c r="Z1937" s="1" t="s">
        <v>3014</v>
      </c>
      <c r="AA1937" s="36">
        <v>1.9900000000000002</v>
      </c>
      <c r="AB1937" s="54">
        <v>13.350999999999999</v>
      </c>
      <c r="AC1937" s="54">
        <v>1.4377999999999997</v>
      </c>
      <c r="AD1937" s="36">
        <v>20.965</v>
      </c>
    </row>
    <row r="1938" spans="1:30" s="37" customFormat="1" ht="15.75" customHeight="1" x14ac:dyDescent="0.2">
      <c r="A1938" s="38"/>
      <c r="B1938" s="39"/>
      <c r="C1938" s="39"/>
      <c r="D1938" s="40"/>
      <c r="E1938" s="41"/>
      <c r="F1938" s="41">
        <f>SUBTOTAL(109,Table_1[Shipping Cost])</f>
        <v>24748.430000000164</v>
      </c>
      <c r="G1938" s="42"/>
      <c r="H1938" s="39"/>
      <c r="I1938" s="39"/>
      <c r="J1938" s="39">
        <f>COUNT(DataSheet!$J$2:$J$1937)</f>
        <v>0</v>
      </c>
      <c r="K1938" s="39"/>
      <c r="L1938" s="43"/>
      <c r="M1938" s="44"/>
      <c r="N1938" s="39"/>
      <c r="O1938" s="39"/>
      <c r="P1938" s="39"/>
      <c r="Q1938" s="39"/>
      <c r="R1938" s="45"/>
      <c r="S1938" s="34"/>
      <c r="T1938" s="34"/>
      <c r="U1938" s="41">
        <f>SUBTOTAL(109,Table_1[Profit])</f>
        <v>215023.39973715009</v>
      </c>
      <c r="V1938" s="38"/>
      <c r="W1938" s="41"/>
      <c r="X1938" s="44">
        <f>SUBTOTAL(102,Table_1[Order ID])</f>
        <v>1936</v>
      </c>
      <c r="Y1938" s="41"/>
      <c r="Z1938" s="39"/>
      <c r="AA1938" s="46"/>
      <c r="AB1938" s="46"/>
      <c r="AC1938" s="46"/>
      <c r="AD1938" s="50">
        <f>SUBTOTAL(109,Table_1[Cumulative cost])</f>
        <v>1550633.4510628521</v>
      </c>
    </row>
    <row r="1939" spans="1:30" ht="15.75" customHeight="1" x14ac:dyDescent="0.2">
      <c r="X1939" s="47">
        <f>COUNT(_xlfn.UNIQUE(Table_1[[#Headers],[#Data],[Order ID]]))</f>
        <v>1358</v>
      </c>
    </row>
  </sheetData>
  <phoneticPr fontId="4" type="noConversion"/>
  <conditionalFormatting sqref="AD1:AD1048576">
    <cfRule type="cellIs" dxfId="62" priority="1" operator="lessThan">
      <formula>0</formula>
    </cfRule>
  </conditionalFormatting>
  <pageMargins left="0.7" right="0.7" top="0.75" bottom="0.75" header="0" footer="0"/>
  <pageSetup orientation="landscape"/>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item1.xml>�� � � � � � � � � 
</file>

<file path=customXml/item2.xml>�� 
</file>

<file path=customXml/item3.xml>�� 
</file>

<file path=customXml/item4.xml>�� � � � � � � � � 
</file>

<file path=customXml/item5.xml>�� � � � � � � � � 
</file>

<file path=customXml/item6.xml>�� � � � � � � � � 
</file>

<file path=customXml/item7.xml>�� � � � � � � � � 
</file>

<file path=customXml/item8.xml>�� � � � � � � � � 
</file>

<file path=customXml/item9.xml>�� 
</file>

<file path=customXml/item10.xml>�� 
</file>

<file path=customXml/item11.xml>�� 
</file>

<file path=customXml/item12.xml>�� 
</file>

<file path=customXml/item13.xml>�� 
</file>

<file path=customXml/item14.xml>�� � � � � � � � � 
</file>

<file path=customXml/item15.xml>�� � � � � � � � � 
</file>

<file path=customXml/item16.xml>�� 
</file>

<file path=customXml/item17.xml>�� � � � � � � � � 
</file>

<file path=customXml/item18.xml>�� 
</file>

<file path=customXml/item19.xml>�� 
</file>

<file path=customXml/item20.xml>�� � � � � � � � � 
</file>

<file path=customXml/item21.xml>�� � � � � � � � � 
</file>

<file path=customXml/item22.xml>�� 
</file>

<file path=customXml/item23.xml>�� 
</file>

<file path=customXml/item24.xml>�� � � � � � � � � 
</file>

<file path=customXml/item25.xml>�� 
</file>

<file path=customXml/item26.xml>�� � � � � � � � � � � � � � � � � � � � � � � � � 
</file>

<file path=customXml/item27.xml>�� 
</file>

<file path=customXml/item28.xml>�� 
</file>

<file path=customXml/item29.xml>�� 
</file>

<file path=customXml/itemProps1.xml><?xml version="1.0" encoding="utf-8"?>
<ds:datastoreItem xmlns:ds="http://schemas.openxmlformats.org/officeDocument/2006/customXml" ds:itemID="{238AF1A1-CC3B-49E3-898A-78115A108B8F}">
  <ds:schemaRefs/>
</ds:datastoreItem>
</file>

<file path=customXml/itemProps2.xml><?xml version="1.0" encoding="utf-8"?>
<ds:datastoreItem xmlns:ds="http://schemas.openxmlformats.org/officeDocument/2006/customXml" ds:itemID="{DBD1D52A-7F06-48FD-820F-A4C3BF6E554B}">
  <ds:schemaRefs/>
</ds:datastoreItem>
</file>

<file path=customXml/itemProps3.xml><?xml version="1.0" encoding="utf-8"?>
<ds:datastoreItem xmlns:ds="http://schemas.openxmlformats.org/officeDocument/2006/customXml" ds:itemID="{8933CD8B-A441-44E9-8665-F71E6CF88E1C}">
  <ds:schemaRefs/>
</ds:datastoreItem>
</file>

<file path=customXml/itemProps4.xml><?xml version="1.0" encoding="utf-8"?>
<ds:datastoreItem xmlns:ds="http://schemas.openxmlformats.org/officeDocument/2006/customXml" ds:itemID="{2D641A6E-0911-4431-8CD7-DF2B67C0A7B1}">
  <ds:schemaRefs/>
</ds:datastoreItem>
</file>

<file path=customXml/itemProps5.xml><?xml version="1.0" encoding="utf-8"?>
<ds:datastoreItem xmlns:ds="http://schemas.openxmlformats.org/officeDocument/2006/customXml" ds:itemID="{33FC9BB7-815D-4CA4-93A3-8AFE5B9D12CC}">
  <ds:schemaRefs/>
</ds:datastoreItem>
</file>

<file path=customXml/itemProps6.xml><?xml version="1.0" encoding="utf-8"?>
<ds:datastoreItem xmlns:ds="http://schemas.openxmlformats.org/officeDocument/2006/customXml" ds:itemID="{5FD27C19-1568-4453-AB61-87A6C6FAD224}">
  <ds:schemaRefs/>
</ds:datastoreItem>
</file>

<file path=customXml/itemProps7.xml><?xml version="1.0" encoding="utf-8"?>
<ds:datastoreItem xmlns:ds="http://schemas.openxmlformats.org/officeDocument/2006/customXml" ds:itemID="{065618F7-C788-4C06-8A69-F0471BF0EBBE}">
  <ds:schemaRefs/>
</ds:datastoreItem>
</file>

<file path=customXml/itemProps8.xml><?xml version="1.0" encoding="utf-8"?>
<ds:datastoreItem xmlns:ds="http://schemas.openxmlformats.org/officeDocument/2006/customXml" ds:itemID="{D5E97E16-170A-4B3F-84EE-F30AC0EEC8A0}">
  <ds:schemaRefs/>
</ds:datastoreItem>
</file>

<file path=customXml/itemProps9.xml><?xml version="1.0" encoding="utf-8"?>
<ds:datastoreItem xmlns:ds="http://schemas.openxmlformats.org/officeDocument/2006/customXml" ds:itemID="{359AC154-B2E4-4861-9B64-2AF04A04A609}">
  <ds:schemaRefs/>
</ds:datastoreItem>
</file>

<file path=customXml/itemProps10.xml><?xml version="1.0" encoding="utf-8"?>
<ds:datastoreItem xmlns:ds="http://schemas.openxmlformats.org/officeDocument/2006/customXml" ds:itemID="{4E62B3C5-0B7E-44DD-BAA7-50E22AE769C9}">
  <ds:schemaRefs/>
</ds:datastoreItem>
</file>

<file path=customXml/itemProps11.xml><?xml version="1.0" encoding="utf-8"?>
<ds:datastoreItem xmlns:ds="http://schemas.openxmlformats.org/officeDocument/2006/customXml" ds:itemID="{423B8DAF-0B0F-427E-8400-5EC1DD62C262}">
  <ds:schemaRefs/>
</ds:datastoreItem>
</file>

<file path=customXml/itemProps12.xml><?xml version="1.0" encoding="utf-8"?>
<ds:datastoreItem xmlns:ds="http://schemas.openxmlformats.org/officeDocument/2006/customXml" ds:itemID="{E8549CE3-6A14-41C5-9137-9E1B0F3AD66E}">
  <ds:schemaRefs/>
</ds:datastoreItem>
</file>

<file path=customXml/itemProps13.xml><?xml version="1.0" encoding="utf-8"?>
<ds:datastoreItem xmlns:ds="http://schemas.openxmlformats.org/officeDocument/2006/customXml" ds:itemID="{7445FFE8-AE3A-42C3-B79B-C5C71F13C4BC}">
  <ds:schemaRefs/>
</ds:datastoreItem>
</file>

<file path=customXml/itemProps14.xml><?xml version="1.0" encoding="utf-8"?>
<ds:datastoreItem xmlns:ds="http://schemas.openxmlformats.org/officeDocument/2006/customXml" ds:itemID="{6BC9E959-6E65-459B-AEA7-012D30BCF06D}">
  <ds:schemaRefs/>
</ds:datastoreItem>
</file>

<file path=customXml/itemProps15.xml><?xml version="1.0" encoding="utf-8"?>
<ds:datastoreItem xmlns:ds="http://schemas.openxmlformats.org/officeDocument/2006/customXml" ds:itemID="{5119AADC-03E2-4EED-9C09-4383074A0EB1}">
  <ds:schemaRefs/>
</ds:datastoreItem>
</file>

<file path=customXml/itemProps16.xml><?xml version="1.0" encoding="utf-8"?>
<ds:datastoreItem xmlns:ds="http://schemas.openxmlformats.org/officeDocument/2006/customXml" ds:itemID="{5A45F1DF-17D6-4F2A-A0AE-8BC2C92F977A}">
  <ds:schemaRefs/>
</ds:datastoreItem>
</file>

<file path=customXml/itemProps17.xml><?xml version="1.0" encoding="utf-8"?>
<ds:datastoreItem xmlns:ds="http://schemas.openxmlformats.org/officeDocument/2006/customXml" ds:itemID="{89FCBFD2-262E-45BC-96F8-7DCD6D46B83D}">
  <ds:schemaRefs/>
</ds:datastoreItem>
</file>

<file path=customXml/itemProps18.xml><?xml version="1.0" encoding="utf-8"?>
<ds:datastoreItem xmlns:ds="http://schemas.openxmlformats.org/officeDocument/2006/customXml" ds:itemID="{534D4E8C-573E-4452-A100-B9475361D33A}">
  <ds:schemaRefs/>
</ds:datastoreItem>
</file>

<file path=customXml/itemProps19.xml><?xml version="1.0" encoding="utf-8"?>
<ds:datastoreItem xmlns:ds="http://schemas.openxmlformats.org/officeDocument/2006/customXml" ds:itemID="{380ABACA-8F10-482F-8D46-9F2337A9F58F}">
  <ds:schemaRefs/>
</ds:datastoreItem>
</file>

<file path=customXml/itemProps20.xml><?xml version="1.0" encoding="utf-8"?>
<ds:datastoreItem xmlns:ds="http://schemas.openxmlformats.org/officeDocument/2006/customXml" ds:itemID="{1142B44C-43CF-4D83-B36B-605D131B1717}">
  <ds:schemaRefs/>
</ds:datastoreItem>
</file>

<file path=customXml/itemProps21.xml><?xml version="1.0" encoding="utf-8"?>
<ds:datastoreItem xmlns:ds="http://schemas.openxmlformats.org/officeDocument/2006/customXml" ds:itemID="{7207391A-8EDF-4078-9168-D01440DF23E5}">
  <ds:schemaRefs/>
</ds:datastoreItem>
</file>

<file path=customXml/itemProps22.xml><?xml version="1.0" encoding="utf-8"?>
<ds:datastoreItem xmlns:ds="http://schemas.openxmlformats.org/officeDocument/2006/customXml" ds:itemID="{DE315B41-421B-488B-8EBD-B79F1CF76D30}">
  <ds:schemaRefs/>
</ds:datastoreItem>
</file>

<file path=customXml/itemProps23.xml><?xml version="1.0" encoding="utf-8"?>
<ds:datastoreItem xmlns:ds="http://schemas.openxmlformats.org/officeDocument/2006/customXml" ds:itemID="{0DCC9C51-B1B0-4DD0-B65E-EA53C993AC74}">
  <ds:schemaRefs/>
</ds:datastoreItem>
</file>

<file path=customXml/itemProps24.xml><?xml version="1.0" encoding="utf-8"?>
<ds:datastoreItem xmlns:ds="http://schemas.openxmlformats.org/officeDocument/2006/customXml" ds:itemID="{22DBB832-5E1C-4648-A2CD-4FB10EB98BEC}">
  <ds:schemaRefs/>
</ds:datastoreItem>
</file>

<file path=customXml/itemProps25.xml><?xml version="1.0" encoding="utf-8"?>
<ds:datastoreItem xmlns:ds="http://schemas.openxmlformats.org/officeDocument/2006/customXml" ds:itemID="{BEBADF1F-B44C-42EF-AD57-DCB73C0A6492}">
  <ds:schemaRefs/>
</ds:datastoreItem>
</file>

<file path=customXml/itemProps26.xml><?xml version="1.0" encoding="utf-8"?>
<ds:datastoreItem xmlns:ds="http://schemas.openxmlformats.org/officeDocument/2006/customXml" ds:itemID="{F45D48E8-EE4F-413C-A2FE-6BA1F6C84619}">
  <ds:schemaRefs/>
</ds:datastoreItem>
</file>

<file path=customXml/itemProps27.xml><?xml version="1.0" encoding="utf-8"?>
<ds:datastoreItem xmlns:ds="http://schemas.openxmlformats.org/officeDocument/2006/customXml" ds:itemID="{69530730-C47C-47C6-BA93-4760280E538F}">
  <ds:schemaRefs/>
</ds:datastoreItem>
</file>

<file path=customXml/itemProps28.xml><?xml version="1.0" encoding="utf-8"?>
<ds:datastoreItem xmlns:ds="http://schemas.openxmlformats.org/officeDocument/2006/customXml" ds:itemID="{B5ACC165-9A4D-47FE-9028-DBD34B8299F6}">
  <ds:schemaRefs/>
</ds:datastoreItem>
</file>

<file path=customXml/itemProps29.xml><?xml version="1.0" encoding="utf-8"?>
<ds:datastoreItem xmlns:ds="http://schemas.openxmlformats.org/officeDocument/2006/customXml" ds:itemID="{94547424-2647-4F09-9CA3-967AE74C00D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Sales &amp; Profit</vt:lpstr>
      <vt:lpstr>Trends</vt:lpstr>
      <vt:lpstr>Distribution</vt:lpstr>
      <vt:lpstr>Sales Map</vt:lpstr>
      <vt:lpstr>Pivot_tables</vt:lpstr>
      <vt:lpstr>DataSheet</vt:lpstr>
      <vt:lpstr>DataSheet!ExternalData_1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Saurabh Lakhanpal</dc:creator>
  <cp:lastModifiedBy>Saurabh Lakhanpal</cp:lastModifiedBy>
  <dcterms:created xsi:type="dcterms:W3CDTF">2023-10-07T23:24:56Z</dcterms:created>
  <dcterms:modified xsi:type="dcterms:W3CDTF">2023-10-20T23:37:12Z</dcterms:modified>
</cp:coreProperties>
</file>